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D:\"/>
    </mc:Choice>
  </mc:AlternateContent>
  <bookViews>
    <workbookView xWindow="-120" yWindow="-120" windowWidth="20736" windowHeight="11160" firstSheet="6" activeTab="6"/>
  </bookViews>
  <sheets>
    <sheet name="PLAN FINANCIERO COMPLETO" sheetId="11" state="hidden" r:id="rId1"/>
    <sheet name="RESUMEN PLAN FINANCIERO (2)" sheetId="28" state="hidden" r:id="rId2"/>
    <sheet name="RESUMEN PLAN FINANCIERO" sheetId="18" state="hidden" r:id="rId3"/>
    <sheet name="HOMOLOGACION 2020" sheetId="20" state="hidden" r:id="rId4"/>
    <sheet name="MATRIZ PLURIANUAL (2)" sheetId="22" state="hidden" r:id="rId5"/>
    <sheet name="ANEXO AJUSTES SEGUNDO DEBATE" sheetId="29" state="hidden" r:id="rId6"/>
    <sheet name="PLAN PLURIANUAL DE INVERSIONES" sheetId="23" r:id="rId7"/>
    <sheet name="PLAN DE USOS POR VIGENCIA" sheetId="30" state="hidden" r:id="rId8"/>
    <sheet name="PLAN DE USOS PARA DIPUTADOS ini" sheetId="31" state="hidden" r:id="rId9"/>
    <sheet name="PLAN DE USOS PARA DIPUTADOS (2" sheetId="33" state="hidden" r:id="rId10"/>
    <sheet name="PLAN DE USOS POR VIGENCIA VIEJO" sheetId="27" state="hidden" r:id="rId11"/>
    <sheet name="PLAN DE USOS Y FUENTES" sheetId="25" state="hidden" r:id="rId12"/>
    <sheet name="PLAN DE USOS Y FUENTES % " sheetId="26" state="hidden" r:id="rId13"/>
    <sheet name="ANEXO 2 INVERSION" sheetId="21" state="hidden" r:id="rId14"/>
    <sheet name="ICLD" sheetId="14" state="hidden" r:id="rId15"/>
    <sheet name="ESTAMPILLAS" sheetId="15" state="hidden" r:id="rId16"/>
    <sheet name="DESTINACIÓN ESPECÍFICA" sheetId="16" state="hidden" r:id="rId17"/>
  </sheets>
  <externalReferences>
    <externalReference r:id="rId18"/>
    <externalReference r:id="rId19"/>
  </externalReferences>
  <definedNames>
    <definedName name="_xlnm._FilterDatabase" localSheetId="13" hidden="1">'ANEXO 2 INVERSION'!$A$5:$P$441</definedName>
    <definedName name="_xlnm._FilterDatabase" localSheetId="4" hidden="1">'MATRIZ PLURIANUAL (2)'!$A$4:$BA$116</definedName>
    <definedName name="_xlnm._FilterDatabase" localSheetId="9" hidden="1">'PLAN DE USOS PARA DIPUTADOS (2'!$B$9:$X$9</definedName>
    <definedName name="_xlnm._FilterDatabase" localSheetId="8" hidden="1">'PLAN DE USOS PARA DIPUTADOS ini'!$B$9:$P$9</definedName>
    <definedName name="_xlnm._FilterDatabase" localSheetId="7" hidden="1">'PLAN DE USOS POR VIGENCIA'!$B$9:$I$9</definedName>
    <definedName name="_xlnm._FilterDatabase" localSheetId="10" hidden="1">'PLAN DE USOS POR VIGENCIA VIEJO'!$B$9:$I$9</definedName>
    <definedName name="_xlnm._FilterDatabase" localSheetId="11" hidden="1">'PLAN DE USOS Y FUENTES'!$A$10:$K$10</definedName>
    <definedName name="_xlnm._FilterDatabase" localSheetId="12" hidden="1">'PLAN DE USOS Y FUENTES % '!$A$10:$K$10</definedName>
    <definedName name="_xlnm._FilterDatabase" localSheetId="6" hidden="1">'PLAN PLURIANUAL DE INVERSIONES'!$B$10:$AT$10</definedName>
    <definedName name="_xlnm.Print_Area" localSheetId="13">'ANEXO 2 INVERSION'!$A$5:$M$429</definedName>
    <definedName name="_xlnm.Print_Area" localSheetId="5">'ANEXO AJUSTES SEGUNDO DEBATE'!$A$1:$E$55</definedName>
    <definedName name="_xlnm.Print_Area" localSheetId="9">'PLAN DE USOS PARA DIPUTADOS (2'!$B$4:$X$47</definedName>
    <definedName name="_xlnm.Print_Area" localSheetId="8">'PLAN DE USOS PARA DIPUTADOS ini'!$B$4:$P$47</definedName>
    <definedName name="_xlnm.Print_Area" localSheetId="10">'PLAN DE USOS POR VIGENCIA VIEJO'!$B$4:$I$107</definedName>
    <definedName name="_xlnm.Print_Area" localSheetId="11">'PLAN DE USOS Y FUENTES'!$A$3:$K$108</definedName>
    <definedName name="_xlnm.Print_Area" localSheetId="12">'PLAN DE USOS Y FUENTES % '!$A$3:$K$108</definedName>
    <definedName name="_xlnm.Print_Area" localSheetId="0">'PLAN FINANCIERO COMPLETO'!$A$1:$Q$188</definedName>
    <definedName name="_xlnm.Print_Area" localSheetId="2">'RESUMEN PLAN FINANCIERO'!$A$1:$I$76</definedName>
    <definedName name="_xlnm.Print_Area" localSheetId="1">'RESUMEN PLAN FINANCIERO (2)'!$A$1:$H$101</definedName>
    <definedName name="_xlnm.Print_Titles" localSheetId="13">'ANEXO 2 INVERSION'!$4:$5</definedName>
    <definedName name="_xlnm.Print_Titles" localSheetId="9">'PLAN DE USOS PARA DIPUTADOS (2'!$9:$9</definedName>
    <definedName name="_xlnm.Print_Titles" localSheetId="8">'PLAN DE USOS PARA DIPUTADOS ini'!$9:$9</definedName>
    <definedName name="_xlnm.Print_Titles" localSheetId="7">'PLAN DE USOS POR VIGENCIA'!$9:$9</definedName>
    <definedName name="_xlnm.Print_Titles" localSheetId="10">'PLAN DE USOS POR VIGENCIA VIEJO'!$9:$9</definedName>
    <definedName name="_xlnm.Print_Titles" localSheetId="11">'PLAN DE USOS Y FUENTES'!$10:$10</definedName>
    <definedName name="_xlnm.Print_Titles" localSheetId="12">'PLAN DE USOS Y FUENTES % '!$10:$10</definedName>
    <definedName name="_xlnm.Print_Titles" localSheetId="0">'PLAN FINANCIERO COMPLETO'!$10:$11</definedName>
    <definedName name="_xlnm.Print_Titles" localSheetId="6">'PLAN PLURIANUAL DE INVERSIONES'!$10:$10</definedName>
  </definedNames>
  <calcPr calcId="152511"/>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A12" i="33" l="1"/>
  <c r="AA13" i="33"/>
  <c r="AA14" i="33"/>
  <c r="AA15" i="33"/>
  <c r="AA16" i="33"/>
  <c r="AA17" i="33"/>
  <c r="AA18" i="33"/>
  <c r="AA19" i="33"/>
  <c r="AA20" i="33"/>
  <c r="AA21" i="33"/>
  <c r="AA22" i="33"/>
  <c r="AA23" i="33"/>
  <c r="AA24" i="33"/>
  <c r="AA25" i="33"/>
  <c r="AA26" i="33"/>
  <c r="AA27" i="33"/>
  <c r="AA28" i="33"/>
  <c r="AA29" i="33"/>
  <c r="AA30" i="33"/>
  <c r="AA31" i="33"/>
  <c r="AA32" i="33"/>
  <c r="AA33" i="33"/>
  <c r="AA34" i="33"/>
  <c r="AA35" i="33"/>
  <c r="AA36" i="33"/>
  <c r="AA37" i="33"/>
  <c r="AA38" i="33"/>
  <c r="AA39" i="33"/>
  <c r="AA40" i="33"/>
  <c r="AA41" i="33"/>
  <c r="AA42" i="33"/>
  <c r="AA43" i="33"/>
  <c r="AA44" i="33"/>
  <c r="AA45" i="33"/>
  <c r="AA11" i="33"/>
  <c r="L46" i="33"/>
  <c r="N46" i="33"/>
  <c r="P46" i="33"/>
  <c r="S46" i="33"/>
  <c r="U46" i="33"/>
  <c r="X46" i="33"/>
  <c r="Z46" i="33"/>
  <c r="D46" i="33"/>
  <c r="E46" i="33"/>
  <c r="G46" i="33"/>
  <c r="H46" i="33"/>
  <c r="Y12" i="33"/>
  <c r="Y13" i="33"/>
  <c r="Y14" i="33"/>
  <c r="Y15" i="33"/>
  <c r="Y16" i="33"/>
  <c r="Y17" i="33"/>
  <c r="Y18" i="33"/>
  <c r="Y19" i="33"/>
  <c r="Y20" i="33"/>
  <c r="Y21" i="33"/>
  <c r="Y22" i="33"/>
  <c r="Y23" i="33"/>
  <c r="Y24" i="33"/>
  <c r="Y25" i="33"/>
  <c r="Y26" i="33"/>
  <c r="Y27" i="33"/>
  <c r="Y28" i="33"/>
  <c r="Y29" i="33"/>
  <c r="Y30" i="33"/>
  <c r="Y31" i="33"/>
  <c r="Y32" i="33"/>
  <c r="Y33" i="33"/>
  <c r="Y34" i="33"/>
  <c r="Y35" i="33"/>
  <c r="Y36" i="33"/>
  <c r="Y37" i="33"/>
  <c r="Y38" i="33"/>
  <c r="Y39" i="33"/>
  <c r="Y40" i="33"/>
  <c r="Y41" i="33"/>
  <c r="Y42" i="33"/>
  <c r="Y43" i="33"/>
  <c r="Y44" i="33"/>
  <c r="Y46" i="33" s="1"/>
  <c r="Y45" i="33"/>
  <c r="Y11" i="33"/>
  <c r="AB11" i="33"/>
  <c r="AB12" i="33"/>
  <c r="AB13" i="33"/>
  <c r="AB14" i="33"/>
  <c r="AB15" i="33"/>
  <c r="AB16" i="33"/>
  <c r="AB17" i="33"/>
  <c r="AB18" i="33"/>
  <c r="AB19" i="33"/>
  <c r="AB20" i="33"/>
  <c r="AB21" i="33"/>
  <c r="AB22" i="33"/>
  <c r="AB23" i="33"/>
  <c r="AB24" i="33"/>
  <c r="AB25" i="33"/>
  <c r="AB26" i="33"/>
  <c r="AB27" i="33"/>
  <c r="AB28" i="33"/>
  <c r="AB29" i="33"/>
  <c r="AB30" i="33"/>
  <c r="AB31" i="33"/>
  <c r="AB32" i="33"/>
  <c r="AB33" i="33"/>
  <c r="AB34" i="33"/>
  <c r="AB35" i="33"/>
  <c r="AB36" i="33"/>
  <c r="AB37" i="33"/>
  <c r="AB38" i="33"/>
  <c r="AB39" i="33"/>
  <c r="AB40" i="33"/>
  <c r="AB41" i="33"/>
  <c r="AB42" i="33"/>
  <c r="AB43" i="33"/>
  <c r="AB44" i="33"/>
  <c r="AB46" i="33" s="1"/>
  <c r="AB45" i="33"/>
  <c r="AB10" i="33"/>
  <c r="W11" i="33"/>
  <c r="W12" i="33"/>
  <c r="W13" i="33"/>
  <c r="W14" i="33"/>
  <c r="W15" i="33"/>
  <c r="W16" i="33"/>
  <c r="W17" i="33"/>
  <c r="W18" i="33"/>
  <c r="W19" i="33"/>
  <c r="W20" i="33"/>
  <c r="W21" i="33"/>
  <c r="W22" i="33"/>
  <c r="W23" i="33"/>
  <c r="W24" i="33"/>
  <c r="W25" i="33"/>
  <c r="W26" i="33"/>
  <c r="W27" i="33"/>
  <c r="W28" i="33"/>
  <c r="W29" i="33"/>
  <c r="W30" i="33"/>
  <c r="W31" i="33"/>
  <c r="W32" i="33"/>
  <c r="W33" i="33"/>
  <c r="W34" i="33"/>
  <c r="W35" i="33"/>
  <c r="W36" i="33"/>
  <c r="W37" i="33"/>
  <c r="W38" i="33"/>
  <c r="W39" i="33"/>
  <c r="W40" i="33"/>
  <c r="W41" i="33"/>
  <c r="W42" i="33"/>
  <c r="W43" i="33"/>
  <c r="W44" i="33"/>
  <c r="W46" i="33" s="1"/>
  <c r="W45" i="33"/>
  <c r="W10" i="33"/>
  <c r="V12" i="33"/>
  <c r="V13" i="33"/>
  <c r="V14" i="33"/>
  <c r="V15" i="33"/>
  <c r="V16" i="33"/>
  <c r="V17" i="33"/>
  <c r="V18" i="33"/>
  <c r="V19" i="33"/>
  <c r="V20" i="33"/>
  <c r="V21" i="33"/>
  <c r="V22" i="33"/>
  <c r="V23" i="33"/>
  <c r="V24" i="33"/>
  <c r="V25" i="33"/>
  <c r="V26" i="33"/>
  <c r="V27" i="33"/>
  <c r="V28" i="33"/>
  <c r="V29" i="33"/>
  <c r="V30" i="33"/>
  <c r="V31" i="33"/>
  <c r="V32" i="33"/>
  <c r="V33" i="33"/>
  <c r="V34" i="33"/>
  <c r="V35" i="33"/>
  <c r="V36" i="33"/>
  <c r="V37" i="33"/>
  <c r="V38" i="33"/>
  <c r="V39" i="33"/>
  <c r="V40" i="33"/>
  <c r="V41" i="33"/>
  <c r="V42" i="33"/>
  <c r="V43" i="33"/>
  <c r="V44" i="33"/>
  <c r="V46" i="33" s="1"/>
  <c r="V45" i="33"/>
  <c r="V11" i="33"/>
  <c r="T12" i="33"/>
  <c r="T13" i="33"/>
  <c r="T14" i="33"/>
  <c r="T15" i="33"/>
  <c r="T16" i="33"/>
  <c r="T17" i="33"/>
  <c r="T18" i="33"/>
  <c r="T19" i="33"/>
  <c r="T20" i="33"/>
  <c r="T21" i="33"/>
  <c r="T22" i="33"/>
  <c r="T23" i="33"/>
  <c r="T24" i="33"/>
  <c r="T25" i="33"/>
  <c r="T26" i="33"/>
  <c r="T27" i="33"/>
  <c r="T28" i="33"/>
  <c r="T29" i="33"/>
  <c r="T30" i="33"/>
  <c r="T31" i="33"/>
  <c r="T32" i="33"/>
  <c r="T33" i="33"/>
  <c r="T34" i="33"/>
  <c r="T35" i="33"/>
  <c r="T46" i="33" s="1"/>
  <c r="T36" i="33"/>
  <c r="T37" i="33"/>
  <c r="T38" i="33"/>
  <c r="T39" i="33"/>
  <c r="T40" i="33"/>
  <c r="T41" i="33"/>
  <c r="T42" i="33"/>
  <c r="T43" i="33"/>
  <c r="T44" i="33"/>
  <c r="T45" i="33"/>
  <c r="T11" i="33"/>
  <c r="R11" i="33"/>
  <c r="R12" i="33"/>
  <c r="R13" i="33"/>
  <c r="R14" i="33"/>
  <c r="R15" i="33"/>
  <c r="R16" i="33"/>
  <c r="R17" i="33"/>
  <c r="R18" i="33"/>
  <c r="R19" i="33"/>
  <c r="R20" i="33"/>
  <c r="R21" i="33"/>
  <c r="R22" i="33"/>
  <c r="R23" i="33"/>
  <c r="R24" i="33"/>
  <c r="R25" i="33"/>
  <c r="R26" i="33"/>
  <c r="R27" i="33"/>
  <c r="R28" i="33"/>
  <c r="R29" i="33"/>
  <c r="R30" i="33"/>
  <c r="R31" i="33"/>
  <c r="R32" i="33"/>
  <c r="R33" i="33"/>
  <c r="R34" i="33"/>
  <c r="R35" i="33"/>
  <c r="R46" i="33" s="1"/>
  <c r="R36" i="33"/>
  <c r="R37" i="33"/>
  <c r="R38" i="33"/>
  <c r="R39" i="33"/>
  <c r="R40" i="33"/>
  <c r="R41" i="33"/>
  <c r="R42" i="33"/>
  <c r="R43" i="33"/>
  <c r="R44" i="33"/>
  <c r="R45" i="33"/>
  <c r="R10" i="33"/>
  <c r="Q12" i="33"/>
  <c r="Q13" i="33"/>
  <c r="Q14" i="33"/>
  <c r="Q15" i="33"/>
  <c r="Q16" i="33"/>
  <c r="Q17" i="33"/>
  <c r="Q18" i="33"/>
  <c r="Q19" i="33"/>
  <c r="Q20" i="33"/>
  <c r="Q21" i="33"/>
  <c r="Q22" i="33"/>
  <c r="Q23" i="33"/>
  <c r="Q24" i="33"/>
  <c r="Q25" i="33"/>
  <c r="Q26" i="33"/>
  <c r="Q27" i="33"/>
  <c r="Q28" i="33"/>
  <c r="Q29" i="33"/>
  <c r="Q30" i="33"/>
  <c r="Q31" i="33"/>
  <c r="Q32" i="33"/>
  <c r="Q33" i="33"/>
  <c r="Q34" i="33"/>
  <c r="Q35" i="33"/>
  <c r="Q36" i="33"/>
  <c r="Q37" i="33"/>
  <c r="Q38" i="33"/>
  <c r="Q39" i="33"/>
  <c r="Q40" i="33"/>
  <c r="Q41" i="33"/>
  <c r="Q42" i="33"/>
  <c r="Q43" i="33"/>
  <c r="Q44" i="33"/>
  <c r="Q46" i="33" s="1"/>
  <c r="Q45" i="33"/>
  <c r="Q11" i="33"/>
  <c r="O12" i="33"/>
  <c r="O13" i="33"/>
  <c r="O14" i="33"/>
  <c r="O15" i="33"/>
  <c r="O16" i="33"/>
  <c r="O17" i="33"/>
  <c r="O18" i="33"/>
  <c r="O19" i="33"/>
  <c r="O20" i="33"/>
  <c r="O21" i="33"/>
  <c r="O22" i="33"/>
  <c r="O23" i="33"/>
  <c r="O24" i="33"/>
  <c r="O25" i="33"/>
  <c r="O26" i="33"/>
  <c r="O27" i="33"/>
  <c r="O28" i="33"/>
  <c r="O29" i="33"/>
  <c r="O30" i="33"/>
  <c r="O31" i="33"/>
  <c r="O32" i="33"/>
  <c r="O33" i="33"/>
  <c r="O34" i="33"/>
  <c r="O35" i="33"/>
  <c r="O36" i="33"/>
  <c r="O37" i="33"/>
  <c r="O38" i="33"/>
  <c r="O39" i="33"/>
  <c r="O40" i="33"/>
  <c r="O41" i="33"/>
  <c r="O42" i="33"/>
  <c r="O43" i="33"/>
  <c r="O44" i="33"/>
  <c r="O46" i="33" s="1"/>
  <c r="O45" i="33"/>
  <c r="O11" i="33"/>
  <c r="K46" i="33"/>
  <c r="I46" i="33"/>
  <c r="M45" i="33"/>
  <c r="L45" i="33"/>
  <c r="J45" i="33"/>
  <c r="H45" i="33"/>
  <c r="F45" i="33"/>
  <c r="D45" i="33"/>
  <c r="M44" i="33"/>
  <c r="L44" i="33"/>
  <c r="J44" i="33"/>
  <c r="H44" i="33"/>
  <c r="F44" i="33"/>
  <c r="D44" i="33"/>
  <c r="M43" i="33"/>
  <c r="L43" i="33"/>
  <c r="J43" i="33"/>
  <c r="H43" i="33"/>
  <c r="F43" i="33"/>
  <c r="D43" i="33"/>
  <c r="M42" i="33"/>
  <c r="L42" i="33"/>
  <c r="J42" i="33"/>
  <c r="H42" i="33"/>
  <c r="F42" i="33"/>
  <c r="D42" i="33"/>
  <c r="M41" i="33"/>
  <c r="L41" i="33"/>
  <c r="J41" i="33"/>
  <c r="H41" i="33"/>
  <c r="F41" i="33"/>
  <c r="D41" i="33"/>
  <c r="M40" i="33"/>
  <c r="L40" i="33"/>
  <c r="J40" i="33"/>
  <c r="H40" i="33"/>
  <c r="F40" i="33"/>
  <c r="D40" i="33"/>
  <c r="M39" i="33"/>
  <c r="L39" i="33"/>
  <c r="J39" i="33"/>
  <c r="H39" i="33"/>
  <c r="F39" i="33"/>
  <c r="D39" i="33"/>
  <c r="M38" i="33"/>
  <c r="L38" i="33"/>
  <c r="J38" i="33"/>
  <c r="H38" i="33"/>
  <c r="F38" i="33"/>
  <c r="D38" i="33"/>
  <c r="M37" i="33"/>
  <c r="L37" i="33"/>
  <c r="J37" i="33"/>
  <c r="H37" i="33"/>
  <c r="F37" i="33"/>
  <c r="D37" i="33"/>
  <c r="M36" i="33"/>
  <c r="L36" i="33"/>
  <c r="J36" i="33"/>
  <c r="H36" i="33"/>
  <c r="F36" i="33"/>
  <c r="D36" i="33"/>
  <c r="M35" i="33"/>
  <c r="L35" i="33"/>
  <c r="J35" i="33"/>
  <c r="H35" i="33"/>
  <c r="F35" i="33"/>
  <c r="D35" i="33"/>
  <c r="M34" i="33"/>
  <c r="L34" i="33"/>
  <c r="J34" i="33"/>
  <c r="H34" i="33"/>
  <c r="F34" i="33"/>
  <c r="D34" i="33"/>
  <c r="M33" i="33"/>
  <c r="L33" i="33"/>
  <c r="J33" i="33"/>
  <c r="H33" i="33"/>
  <c r="F33" i="33"/>
  <c r="D33" i="33"/>
  <c r="M32" i="33"/>
  <c r="L32" i="33"/>
  <c r="J32" i="33"/>
  <c r="H32" i="33"/>
  <c r="F32" i="33"/>
  <c r="D32" i="33"/>
  <c r="M31" i="33"/>
  <c r="L31" i="33"/>
  <c r="J31" i="33"/>
  <c r="H31" i="33"/>
  <c r="F31" i="33"/>
  <c r="D31" i="33"/>
  <c r="M30" i="33"/>
  <c r="L30" i="33"/>
  <c r="J30" i="33"/>
  <c r="H30" i="33"/>
  <c r="F30" i="33"/>
  <c r="D30" i="33"/>
  <c r="M29" i="33"/>
  <c r="L29" i="33"/>
  <c r="J29" i="33"/>
  <c r="H29" i="33"/>
  <c r="F29" i="33"/>
  <c r="D29" i="33"/>
  <c r="M28" i="33"/>
  <c r="L28" i="33"/>
  <c r="J28" i="33"/>
  <c r="H28" i="33"/>
  <c r="F28" i="33"/>
  <c r="D28" i="33"/>
  <c r="M27" i="33"/>
  <c r="L27" i="33"/>
  <c r="J27" i="33"/>
  <c r="H27" i="33"/>
  <c r="F27" i="33"/>
  <c r="D27" i="33"/>
  <c r="M26" i="33"/>
  <c r="L26" i="33"/>
  <c r="J26" i="33"/>
  <c r="H26" i="33"/>
  <c r="F26" i="33"/>
  <c r="D26" i="33"/>
  <c r="M25" i="33"/>
  <c r="L25" i="33"/>
  <c r="J25" i="33"/>
  <c r="H25" i="33"/>
  <c r="F25" i="33"/>
  <c r="D25" i="33"/>
  <c r="M24" i="33"/>
  <c r="L24" i="33"/>
  <c r="J24" i="33"/>
  <c r="H24" i="33"/>
  <c r="F24" i="33"/>
  <c r="D24" i="33"/>
  <c r="M23" i="33"/>
  <c r="L23" i="33"/>
  <c r="J23" i="33"/>
  <c r="H23" i="33"/>
  <c r="F23" i="33"/>
  <c r="D23" i="33"/>
  <c r="M22" i="33"/>
  <c r="L22" i="33"/>
  <c r="J22" i="33"/>
  <c r="H22" i="33"/>
  <c r="F22" i="33"/>
  <c r="D22" i="33"/>
  <c r="M21" i="33"/>
  <c r="L21" i="33"/>
  <c r="J21" i="33"/>
  <c r="H21" i="33"/>
  <c r="F21" i="33"/>
  <c r="D21" i="33"/>
  <c r="M20" i="33"/>
  <c r="L20" i="33"/>
  <c r="J20" i="33"/>
  <c r="H20" i="33"/>
  <c r="F20" i="33"/>
  <c r="D20" i="33"/>
  <c r="M19" i="33"/>
  <c r="L19" i="33"/>
  <c r="J19" i="33"/>
  <c r="H19" i="33"/>
  <c r="F19" i="33"/>
  <c r="D19" i="33"/>
  <c r="M18" i="33"/>
  <c r="L18" i="33"/>
  <c r="J18" i="33"/>
  <c r="H18" i="33"/>
  <c r="F18" i="33"/>
  <c r="D18" i="33"/>
  <c r="M17" i="33"/>
  <c r="L17" i="33"/>
  <c r="J17" i="33"/>
  <c r="H17" i="33"/>
  <c r="F17" i="33"/>
  <c r="D17" i="33"/>
  <c r="M16" i="33"/>
  <c r="L16" i="33"/>
  <c r="J16" i="33"/>
  <c r="H16" i="33"/>
  <c r="F16" i="33"/>
  <c r="D16" i="33"/>
  <c r="M15" i="33"/>
  <c r="L15" i="33"/>
  <c r="J15" i="33"/>
  <c r="H15" i="33"/>
  <c r="F15" i="33"/>
  <c r="D15" i="33"/>
  <c r="M14" i="33"/>
  <c r="L14" i="33"/>
  <c r="J14" i="33"/>
  <c r="H14" i="33"/>
  <c r="F14" i="33"/>
  <c r="D14" i="33"/>
  <c r="M13" i="33"/>
  <c r="L13" i="33"/>
  <c r="J13" i="33"/>
  <c r="H13" i="33"/>
  <c r="F13" i="33"/>
  <c r="D13" i="33"/>
  <c r="M12" i="33"/>
  <c r="L12" i="33"/>
  <c r="J12" i="33"/>
  <c r="H12" i="33"/>
  <c r="F12" i="33"/>
  <c r="D12" i="33"/>
  <c r="M11" i="33"/>
  <c r="L11" i="33"/>
  <c r="J11" i="33"/>
  <c r="H11" i="33"/>
  <c r="F11" i="33"/>
  <c r="D11" i="33"/>
  <c r="M10" i="33"/>
  <c r="H10" i="33"/>
  <c r="R54" i="22"/>
  <c r="R79" i="22"/>
  <c r="R51" i="22"/>
  <c r="R25" i="22"/>
  <c r="R49" i="22"/>
  <c r="H11" i="31"/>
  <c r="H12" i="31"/>
  <c r="H13" i="31"/>
  <c r="H14" i="31"/>
  <c r="H15" i="31"/>
  <c r="H16" i="31"/>
  <c r="H17" i="31"/>
  <c r="H18" i="31"/>
  <c r="H19" i="31"/>
  <c r="H20" i="31"/>
  <c r="H21" i="31"/>
  <c r="H22" i="31"/>
  <c r="H23" i="31"/>
  <c r="H24" i="31"/>
  <c r="H25" i="31"/>
  <c r="H26" i="31"/>
  <c r="H27" i="31"/>
  <c r="H28" i="31"/>
  <c r="H29" i="31"/>
  <c r="H30" i="31"/>
  <c r="H31" i="31"/>
  <c r="H32" i="31"/>
  <c r="H33" i="31"/>
  <c r="H34" i="31"/>
  <c r="H35" i="31"/>
  <c r="H36" i="31"/>
  <c r="H37" i="31"/>
  <c r="H38" i="31"/>
  <c r="H39" i="31"/>
  <c r="H40" i="31"/>
  <c r="H41" i="31"/>
  <c r="H42" i="31"/>
  <c r="H43" i="31"/>
  <c r="H44" i="31"/>
  <c r="H45" i="31"/>
  <c r="H10" i="31"/>
  <c r="M11" i="31"/>
  <c r="M12" i="31"/>
  <c r="M13" i="31"/>
  <c r="M14" i="31"/>
  <c r="M15" i="31"/>
  <c r="M16" i="31"/>
  <c r="M17" i="31"/>
  <c r="M18" i="31"/>
  <c r="M19" i="31"/>
  <c r="M20" i="31"/>
  <c r="M21" i="31"/>
  <c r="M22" i="31"/>
  <c r="M23" i="31"/>
  <c r="M24" i="31"/>
  <c r="M25" i="31"/>
  <c r="M26" i="31"/>
  <c r="M27" i="31"/>
  <c r="M28" i="31"/>
  <c r="M29" i="31"/>
  <c r="M30" i="31"/>
  <c r="M31" i="31"/>
  <c r="M32" i="31"/>
  <c r="M33" i="31"/>
  <c r="M34" i="31"/>
  <c r="M35" i="31"/>
  <c r="M36" i="31"/>
  <c r="M37" i="31"/>
  <c r="M38" i="31"/>
  <c r="M39" i="31"/>
  <c r="M40" i="31"/>
  <c r="M41" i="31"/>
  <c r="M42" i="31"/>
  <c r="M43" i="31"/>
  <c r="M44" i="31"/>
  <c r="M45" i="31"/>
  <c r="M10" i="31"/>
  <c r="D19" i="18"/>
  <c r="H58" i="11"/>
  <c r="H59" i="11"/>
  <c r="H60" i="11"/>
  <c r="H61" i="11"/>
  <c r="H62" i="11"/>
  <c r="H63" i="11"/>
  <c r="H64" i="11"/>
  <c r="H65" i="11"/>
  <c r="H66" i="11"/>
  <c r="H67" i="11"/>
  <c r="H68" i="11"/>
  <c r="H69" i="11"/>
  <c r="H70" i="11"/>
  <c r="H71" i="11"/>
  <c r="H72" i="11"/>
  <c r="H57" i="11"/>
  <c r="M46" i="33" l="1"/>
  <c r="F46" i="33"/>
  <c r="J46" i="33"/>
  <c r="AA46" i="33"/>
  <c r="K46" i="31"/>
  <c r="I46" i="31"/>
  <c r="L45" i="31"/>
  <c r="J45" i="31"/>
  <c r="F45" i="31"/>
  <c r="D45" i="31"/>
  <c r="L44" i="31"/>
  <c r="J44" i="31"/>
  <c r="F44" i="31"/>
  <c r="D44" i="31"/>
  <c r="L43" i="31"/>
  <c r="J43" i="31"/>
  <c r="F43" i="31"/>
  <c r="D43" i="31"/>
  <c r="L42" i="31"/>
  <c r="J42" i="31"/>
  <c r="F42" i="31"/>
  <c r="D42" i="31"/>
  <c r="L41" i="31"/>
  <c r="J41" i="31"/>
  <c r="F41" i="31"/>
  <c r="D41" i="31"/>
  <c r="L40" i="31"/>
  <c r="J40" i="31"/>
  <c r="F40" i="31"/>
  <c r="D40" i="31"/>
  <c r="L39" i="31"/>
  <c r="J39" i="31"/>
  <c r="F39" i="31"/>
  <c r="D39" i="31"/>
  <c r="L38" i="31"/>
  <c r="J38" i="31"/>
  <c r="F38" i="31"/>
  <c r="D38" i="31"/>
  <c r="L37" i="31"/>
  <c r="J37" i="31"/>
  <c r="F37" i="31"/>
  <c r="D37" i="31"/>
  <c r="L36" i="31"/>
  <c r="J36" i="31"/>
  <c r="F36" i="31"/>
  <c r="D36" i="31"/>
  <c r="L35" i="31"/>
  <c r="J35" i="31"/>
  <c r="F35" i="31"/>
  <c r="D35" i="31"/>
  <c r="L34" i="31"/>
  <c r="J34" i="31"/>
  <c r="F34" i="31"/>
  <c r="D34" i="31"/>
  <c r="L33" i="31"/>
  <c r="J33" i="31"/>
  <c r="F33" i="31"/>
  <c r="D33" i="31"/>
  <c r="L32" i="31"/>
  <c r="J32" i="31"/>
  <c r="F32" i="31"/>
  <c r="D32" i="31"/>
  <c r="L31" i="31"/>
  <c r="J31" i="31"/>
  <c r="F31" i="31"/>
  <c r="D31" i="31"/>
  <c r="L30" i="31"/>
  <c r="J30" i="31"/>
  <c r="F30" i="31"/>
  <c r="D30" i="31"/>
  <c r="L29" i="31"/>
  <c r="J29" i="31"/>
  <c r="F29" i="31"/>
  <c r="D29" i="31"/>
  <c r="L28" i="31"/>
  <c r="J28" i="31"/>
  <c r="F28" i="31"/>
  <c r="D28" i="31"/>
  <c r="L27" i="31"/>
  <c r="J27" i="31"/>
  <c r="F27" i="31"/>
  <c r="D27" i="31"/>
  <c r="L26" i="31"/>
  <c r="J26" i="31"/>
  <c r="F26" i="31"/>
  <c r="D26" i="31"/>
  <c r="L25" i="31"/>
  <c r="J25" i="31"/>
  <c r="F25" i="31"/>
  <c r="D25" i="31"/>
  <c r="L24" i="31"/>
  <c r="J24" i="31"/>
  <c r="F24" i="31"/>
  <c r="D24" i="31"/>
  <c r="L23" i="31"/>
  <c r="J23" i="31"/>
  <c r="F23" i="31"/>
  <c r="D23" i="31"/>
  <c r="L22" i="31"/>
  <c r="J22" i="31"/>
  <c r="F22" i="31"/>
  <c r="D22" i="31"/>
  <c r="L21" i="31"/>
  <c r="J21" i="31"/>
  <c r="F21" i="31"/>
  <c r="D21" i="31"/>
  <c r="L20" i="31"/>
  <c r="J20" i="31"/>
  <c r="F20" i="31"/>
  <c r="D20" i="31"/>
  <c r="L19" i="31"/>
  <c r="J19" i="31"/>
  <c r="F19" i="31"/>
  <c r="D19" i="31"/>
  <c r="L18" i="31"/>
  <c r="J18" i="31"/>
  <c r="F18" i="31"/>
  <c r="D18" i="31"/>
  <c r="L17" i="31"/>
  <c r="J17" i="31"/>
  <c r="F17" i="31"/>
  <c r="D17" i="31"/>
  <c r="L16" i="31"/>
  <c r="J16" i="31"/>
  <c r="F16" i="31"/>
  <c r="D16" i="31"/>
  <c r="L15" i="31"/>
  <c r="J15" i="31"/>
  <c r="F15" i="31"/>
  <c r="D15" i="31"/>
  <c r="L14" i="31"/>
  <c r="J14" i="31"/>
  <c r="F14" i="31"/>
  <c r="D14" i="31"/>
  <c r="L13" i="31"/>
  <c r="J13" i="31"/>
  <c r="F13" i="31"/>
  <c r="D13" i="31"/>
  <c r="L12" i="31"/>
  <c r="J12" i="31"/>
  <c r="F12" i="31"/>
  <c r="D12" i="31"/>
  <c r="L11" i="31"/>
  <c r="J11" i="31"/>
  <c r="F11" i="31"/>
  <c r="D11" i="31"/>
  <c r="E11" i="27"/>
  <c r="E10" i="27" s="1"/>
  <c r="O43" i="22"/>
  <c r="N43" i="22"/>
  <c r="J46" i="31" l="1"/>
  <c r="L46" i="31"/>
  <c r="T43" i="22" l="1"/>
  <c r="O65" i="22" l="1"/>
  <c r="O100" i="22"/>
  <c r="P49" i="22"/>
  <c r="Q82" i="22"/>
  <c r="O32" i="22"/>
  <c r="O12" i="22"/>
  <c r="O49" i="22"/>
  <c r="O51" i="22"/>
  <c r="N49" i="22"/>
  <c r="O84" i="22"/>
  <c r="O79" i="22"/>
  <c r="O91" i="22"/>
  <c r="C45" i="29"/>
  <c r="C41" i="29"/>
  <c r="C38" i="29" l="1"/>
  <c r="C46" i="29" s="1"/>
  <c r="M160" i="11"/>
  <c r="N160" i="11"/>
  <c r="H18" i="18"/>
  <c r="J38" i="29" l="1"/>
  <c r="J24" i="29"/>
  <c r="C16" i="29"/>
  <c r="C25" i="29" s="1"/>
  <c r="C13" i="29"/>
  <c r="C12" i="29" s="1"/>
  <c r="C14" i="29" s="1"/>
  <c r="C26" i="29" l="1"/>
  <c r="J25" i="29"/>
  <c r="J26" i="29"/>
  <c r="J27" i="29" l="1"/>
  <c r="J39" i="29" s="1"/>
  <c r="J41" i="29" s="1"/>
  <c r="I18" i="18" l="1"/>
  <c r="L49" i="18" s="1"/>
  <c r="I161" i="11"/>
  <c r="J161" i="11"/>
  <c r="K161" i="11"/>
  <c r="L161" i="11"/>
  <c r="M161" i="11"/>
  <c r="N161" i="11"/>
  <c r="J158" i="11"/>
  <c r="K158" i="11"/>
  <c r="L158" i="11"/>
  <c r="J153" i="11"/>
  <c r="K153" i="11"/>
  <c r="L153" i="11"/>
  <c r="J121" i="11"/>
  <c r="K121" i="11"/>
  <c r="L121" i="11"/>
  <c r="J94" i="11"/>
  <c r="K94" i="11"/>
  <c r="L94" i="11"/>
  <c r="J87" i="11"/>
  <c r="K87" i="11"/>
  <c r="L87" i="11"/>
  <c r="K73" i="11"/>
  <c r="L73" i="11"/>
  <c r="J55" i="11"/>
  <c r="K55" i="11"/>
  <c r="L55" i="11"/>
  <c r="J35" i="11"/>
  <c r="K35" i="11"/>
  <c r="L35" i="11"/>
  <c r="I156" i="11"/>
  <c r="N156" i="11" s="1"/>
  <c r="I157" i="11"/>
  <c r="N157" i="11" s="1"/>
  <c r="I155" i="11"/>
  <c r="N155" i="11" s="1"/>
  <c r="I124" i="11"/>
  <c r="N124" i="11" s="1"/>
  <c r="I125" i="11"/>
  <c r="N125" i="11" s="1"/>
  <c r="I126" i="11"/>
  <c r="N126" i="11" s="1"/>
  <c r="I127" i="11"/>
  <c r="N127" i="11" s="1"/>
  <c r="I128" i="11"/>
  <c r="N128" i="11" s="1"/>
  <c r="I129" i="11"/>
  <c r="N129" i="11" s="1"/>
  <c r="I130" i="11"/>
  <c r="N130" i="11" s="1"/>
  <c r="I131" i="11"/>
  <c r="N131" i="11" s="1"/>
  <c r="I132" i="11"/>
  <c r="N132" i="11" s="1"/>
  <c r="I133" i="11"/>
  <c r="N133" i="11" s="1"/>
  <c r="I134" i="11"/>
  <c r="N134" i="11" s="1"/>
  <c r="I135" i="11"/>
  <c r="N135" i="11" s="1"/>
  <c r="I136" i="11"/>
  <c r="N136" i="11" s="1"/>
  <c r="I137" i="11"/>
  <c r="N137" i="11" s="1"/>
  <c r="I138" i="11"/>
  <c r="N138" i="11" s="1"/>
  <c r="I139" i="11"/>
  <c r="N139" i="11" s="1"/>
  <c r="I140" i="11"/>
  <c r="N140" i="11" s="1"/>
  <c r="I141" i="11"/>
  <c r="N141" i="11" s="1"/>
  <c r="I142" i="11"/>
  <c r="N142" i="11" s="1"/>
  <c r="I143" i="11"/>
  <c r="N143" i="11" s="1"/>
  <c r="I144" i="11"/>
  <c r="N144" i="11" s="1"/>
  <c r="I145" i="11"/>
  <c r="N145" i="11" s="1"/>
  <c r="I146" i="11"/>
  <c r="N146" i="11" s="1"/>
  <c r="I147" i="11"/>
  <c r="N147" i="11" s="1"/>
  <c r="I148" i="11"/>
  <c r="N148" i="11" s="1"/>
  <c r="I149" i="11"/>
  <c r="N149" i="11" s="1"/>
  <c r="I150" i="11"/>
  <c r="N150" i="11" s="1"/>
  <c r="I151" i="11"/>
  <c r="N151" i="11" s="1"/>
  <c r="I152" i="11"/>
  <c r="N152" i="11" s="1"/>
  <c r="I123" i="11"/>
  <c r="N123" i="11" s="1"/>
  <c r="I97" i="11"/>
  <c r="N97" i="11" s="1"/>
  <c r="I98" i="11"/>
  <c r="N98" i="11" s="1"/>
  <c r="I99" i="11"/>
  <c r="N99" i="11" s="1"/>
  <c r="I100" i="11"/>
  <c r="N100" i="11" s="1"/>
  <c r="I101" i="11"/>
  <c r="N101" i="11" s="1"/>
  <c r="I102" i="11"/>
  <c r="N102" i="11" s="1"/>
  <c r="I103" i="11"/>
  <c r="N103" i="11" s="1"/>
  <c r="I104" i="11"/>
  <c r="N104" i="11" s="1"/>
  <c r="I105" i="11"/>
  <c r="N105" i="11" s="1"/>
  <c r="I106" i="11"/>
  <c r="N106" i="11" s="1"/>
  <c r="I107" i="11"/>
  <c r="N107" i="11" s="1"/>
  <c r="I108" i="11"/>
  <c r="N108" i="11" s="1"/>
  <c r="I109" i="11"/>
  <c r="N109" i="11" s="1"/>
  <c r="I110" i="11"/>
  <c r="N110" i="11" s="1"/>
  <c r="I111" i="11"/>
  <c r="N111" i="11" s="1"/>
  <c r="I112" i="11"/>
  <c r="N112" i="11" s="1"/>
  <c r="I113" i="11"/>
  <c r="N113" i="11" s="1"/>
  <c r="I114" i="11"/>
  <c r="N114" i="11" s="1"/>
  <c r="I115" i="11"/>
  <c r="N115" i="11" s="1"/>
  <c r="I116" i="11"/>
  <c r="N116" i="11" s="1"/>
  <c r="I117" i="11"/>
  <c r="N117" i="11" s="1"/>
  <c r="I118" i="11"/>
  <c r="N118" i="11" s="1"/>
  <c r="I119" i="11"/>
  <c r="N119" i="11" s="1"/>
  <c r="I120" i="11"/>
  <c r="N120" i="11" s="1"/>
  <c r="I96" i="11"/>
  <c r="I121" i="11" s="1"/>
  <c r="I90" i="11"/>
  <c r="N90" i="11" s="1"/>
  <c r="I91" i="11"/>
  <c r="N91" i="11" s="1"/>
  <c r="I92" i="11"/>
  <c r="N92" i="11" s="1"/>
  <c r="I93" i="11"/>
  <c r="N93" i="11" s="1"/>
  <c r="I89" i="11"/>
  <c r="N89" i="11" s="1"/>
  <c r="I76" i="11"/>
  <c r="N76" i="11" s="1"/>
  <c r="I77" i="11"/>
  <c r="N77" i="11" s="1"/>
  <c r="I78" i="11"/>
  <c r="N78" i="11" s="1"/>
  <c r="I79" i="11"/>
  <c r="N79" i="11" s="1"/>
  <c r="I80" i="11"/>
  <c r="N80" i="11" s="1"/>
  <c r="I81" i="11"/>
  <c r="N81" i="11" s="1"/>
  <c r="I82" i="11"/>
  <c r="N82" i="11" s="1"/>
  <c r="I83" i="11"/>
  <c r="N83" i="11" s="1"/>
  <c r="I84" i="11"/>
  <c r="N84" i="11" s="1"/>
  <c r="I85" i="11"/>
  <c r="N85" i="11" s="1"/>
  <c r="I86" i="11"/>
  <c r="N86" i="11" s="1"/>
  <c r="I58" i="11"/>
  <c r="N58" i="11" s="1"/>
  <c r="I59" i="11"/>
  <c r="N59" i="11" s="1"/>
  <c r="I60" i="11"/>
  <c r="N60" i="11" s="1"/>
  <c r="I61" i="11"/>
  <c r="I62" i="11"/>
  <c r="N62" i="11" s="1"/>
  <c r="I63" i="11"/>
  <c r="N63" i="11" s="1"/>
  <c r="I64" i="11"/>
  <c r="N64" i="11" s="1"/>
  <c r="I65" i="11"/>
  <c r="N65" i="11" s="1"/>
  <c r="I66" i="11"/>
  <c r="N66" i="11" s="1"/>
  <c r="I67" i="11"/>
  <c r="N67" i="11" s="1"/>
  <c r="I68" i="11"/>
  <c r="N68" i="11" s="1"/>
  <c r="I69" i="11"/>
  <c r="N69" i="11" s="1"/>
  <c r="I70" i="11"/>
  <c r="N70" i="11" s="1"/>
  <c r="I71" i="11"/>
  <c r="N71" i="11" s="1"/>
  <c r="I72" i="11"/>
  <c r="N72" i="11" s="1"/>
  <c r="I57" i="11"/>
  <c r="N57" i="11" s="1"/>
  <c r="I38" i="11"/>
  <c r="N38" i="11" s="1"/>
  <c r="I39" i="11"/>
  <c r="N39" i="11" s="1"/>
  <c r="I40" i="11"/>
  <c r="N40" i="11" s="1"/>
  <c r="I41" i="11"/>
  <c r="N41" i="11" s="1"/>
  <c r="I42" i="11"/>
  <c r="N42" i="11" s="1"/>
  <c r="I43" i="11"/>
  <c r="N43" i="11" s="1"/>
  <c r="I44" i="11"/>
  <c r="N44" i="11" s="1"/>
  <c r="I45" i="11"/>
  <c r="N45" i="11" s="1"/>
  <c r="I46" i="11"/>
  <c r="N46" i="11" s="1"/>
  <c r="I47" i="11"/>
  <c r="N47" i="11" s="1"/>
  <c r="I48" i="11"/>
  <c r="N48" i="11" s="1"/>
  <c r="I49" i="11"/>
  <c r="N49" i="11" s="1"/>
  <c r="I50" i="11"/>
  <c r="N50" i="11" s="1"/>
  <c r="I51" i="11"/>
  <c r="N51" i="11" s="1"/>
  <c r="I52" i="11"/>
  <c r="N52" i="11" s="1"/>
  <c r="I53" i="11"/>
  <c r="N53" i="11" s="1"/>
  <c r="I54" i="11"/>
  <c r="N54" i="11" s="1"/>
  <c r="I37" i="11"/>
  <c r="N37" i="11" s="1"/>
  <c r="I14" i="11"/>
  <c r="N14" i="11" s="1"/>
  <c r="I15" i="11"/>
  <c r="N15" i="11" s="1"/>
  <c r="I16" i="11"/>
  <c r="N16" i="11" s="1"/>
  <c r="I17" i="11"/>
  <c r="N17" i="11" s="1"/>
  <c r="I18" i="11"/>
  <c r="N18" i="11" s="1"/>
  <c r="I19" i="11"/>
  <c r="N19" i="11" s="1"/>
  <c r="I20" i="11"/>
  <c r="N20" i="11" s="1"/>
  <c r="I21" i="11"/>
  <c r="N21" i="11" s="1"/>
  <c r="I22" i="11"/>
  <c r="N22" i="11" s="1"/>
  <c r="I23" i="11"/>
  <c r="N23" i="11" s="1"/>
  <c r="I24" i="11"/>
  <c r="N24" i="11" s="1"/>
  <c r="I25" i="11"/>
  <c r="N25" i="11" s="1"/>
  <c r="I26" i="11"/>
  <c r="N26" i="11" s="1"/>
  <c r="I27" i="11"/>
  <c r="N27" i="11" s="1"/>
  <c r="I28" i="11"/>
  <c r="N28" i="11" s="1"/>
  <c r="I29" i="11"/>
  <c r="N29" i="11" s="1"/>
  <c r="I30" i="11"/>
  <c r="N30" i="11" s="1"/>
  <c r="I32" i="11"/>
  <c r="N32" i="11" s="1"/>
  <c r="I33" i="11"/>
  <c r="N33" i="11" s="1"/>
  <c r="I34" i="11"/>
  <c r="N34" i="11" s="1"/>
  <c r="I13" i="11"/>
  <c r="N13" i="11" s="1"/>
  <c r="D121" i="11"/>
  <c r="E121" i="11"/>
  <c r="F121" i="11"/>
  <c r="G121" i="11"/>
  <c r="C121" i="11"/>
  <c r="G55" i="11"/>
  <c r="D158" i="11"/>
  <c r="E158" i="11"/>
  <c r="F158" i="11"/>
  <c r="G158" i="11"/>
  <c r="C158" i="11"/>
  <c r="D153" i="11"/>
  <c r="E153" i="11"/>
  <c r="F153" i="11"/>
  <c r="G153" i="11"/>
  <c r="C153" i="11"/>
  <c r="D94" i="11"/>
  <c r="E94" i="11"/>
  <c r="F94" i="11"/>
  <c r="G94" i="11"/>
  <c r="C94" i="11"/>
  <c r="D87" i="11"/>
  <c r="E87" i="11"/>
  <c r="F87" i="11"/>
  <c r="G87" i="11"/>
  <c r="C73" i="11"/>
  <c r="C55" i="11"/>
  <c r="G161" i="11"/>
  <c r="G73" i="11"/>
  <c r="G35" i="11"/>
  <c r="I153" i="11" l="1"/>
  <c r="D16" i="18" s="1"/>
  <c r="I73" i="11"/>
  <c r="N153" i="11"/>
  <c r="N55" i="11"/>
  <c r="N94" i="11"/>
  <c r="N158" i="11"/>
  <c r="L162" i="11"/>
  <c r="I94" i="11"/>
  <c r="D14" i="18" s="1"/>
  <c r="K162" i="11"/>
  <c r="I19" i="18"/>
  <c r="I55" i="11"/>
  <c r="D12" i="18" s="1"/>
  <c r="N96" i="11"/>
  <c r="N121" i="11" s="1"/>
  <c r="I158" i="11"/>
  <c r="D15" i="18" s="1"/>
  <c r="G162" i="11"/>
  <c r="G163" i="11" s="1"/>
  <c r="G164" i="11"/>
  <c r="H89" i="11" l="1"/>
  <c r="H96" i="11"/>
  <c r="H97" i="11"/>
  <c r="H98" i="11"/>
  <c r="H99" i="11"/>
  <c r="H100" i="11"/>
  <c r="H101" i="11"/>
  <c r="H102" i="11"/>
  <c r="H103" i="11"/>
  <c r="H111" i="11"/>
  <c r="H112" i="11"/>
  <c r="H113" i="11"/>
  <c r="H114" i="11"/>
  <c r="H116" i="11"/>
  <c r="H123" i="11"/>
  <c r="H124" i="11"/>
  <c r="H125" i="11"/>
  <c r="H126" i="11"/>
  <c r="H127" i="11"/>
  <c r="H128" i="11"/>
  <c r="H129" i="11"/>
  <c r="H130" i="11"/>
  <c r="H131" i="11"/>
  <c r="H132" i="11"/>
  <c r="H133" i="11"/>
  <c r="H134" i="11"/>
  <c r="H135" i="11"/>
  <c r="H136" i="11"/>
  <c r="H76" i="11"/>
  <c r="H77" i="11"/>
  <c r="H78" i="11"/>
  <c r="H79" i="11"/>
  <c r="H80" i="11"/>
  <c r="M65" i="11"/>
  <c r="M66" i="11"/>
  <c r="F161" i="11"/>
  <c r="F55" i="11"/>
  <c r="F73" i="11"/>
  <c r="H13" i="11"/>
  <c r="H121" i="11" l="1"/>
  <c r="H73" i="11"/>
  <c r="H153" i="11"/>
  <c r="D35" i="11"/>
  <c r="E35" i="11"/>
  <c r="N38" i="22" s="1"/>
  <c r="F35" i="11"/>
  <c r="F162" i="11" l="1"/>
  <c r="F163" i="11" s="1"/>
  <c r="F164" i="11"/>
  <c r="P14" i="25"/>
  <c r="P15" i="25"/>
  <c r="P17" i="25"/>
  <c r="P19" i="25"/>
  <c r="P21" i="25"/>
  <c r="P22" i="25"/>
  <c r="P23" i="25"/>
  <c r="P24" i="25"/>
  <c r="P27" i="25"/>
  <c r="P28" i="25"/>
  <c r="P29" i="25"/>
  <c r="P30" i="25"/>
  <c r="P31" i="25"/>
  <c r="P33" i="25"/>
  <c r="P34" i="25"/>
  <c r="P35" i="25"/>
  <c r="P36" i="25"/>
  <c r="P38" i="25"/>
  <c r="P39" i="25"/>
  <c r="P42" i="25"/>
  <c r="P43" i="25"/>
  <c r="P44" i="25"/>
  <c r="P47" i="25"/>
  <c r="P49" i="25"/>
  <c r="P51" i="25"/>
  <c r="P54" i="25"/>
  <c r="P59" i="25"/>
  <c r="P60" i="25"/>
  <c r="P61" i="25"/>
  <c r="P62" i="25"/>
  <c r="P63" i="25"/>
  <c r="P64" i="25"/>
  <c r="P65" i="25"/>
  <c r="P66" i="25"/>
  <c r="P68" i="25"/>
  <c r="P69" i="25"/>
  <c r="P70" i="25"/>
  <c r="P71" i="25"/>
  <c r="P72" i="25"/>
  <c r="P73" i="25"/>
  <c r="P74" i="25"/>
  <c r="P75" i="25"/>
  <c r="P76" i="25"/>
  <c r="P77" i="25"/>
  <c r="P78" i="25"/>
  <c r="P83" i="25"/>
  <c r="P86" i="25"/>
  <c r="P88" i="25"/>
  <c r="P91" i="25"/>
  <c r="P92" i="25"/>
  <c r="P94" i="25"/>
  <c r="P95" i="25"/>
  <c r="P96" i="25"/>
  <c r="P97" i="25"/>
  <c r="P101" i="25"/>
  <c r="P102" i="25"/>
  <c r="P103" i="25"/>
  <c r="P104" i="25"/>
  <c r="P105" i="25"/>
  <c r="P106" i="25"/>
  <c r="G18" i="28"/>
  <c r="K39" i="28" s="1"/>
  <c r="G19" i="28"/>
  <c r="AQ67" i="22"/>
  <c r="AQ48" i="22"/>
  <c r="F19" i="28"/>
  <c r="N19" i="28" s="1"/>
  <c r="E19" i="28"/>
  <c r="D19" i="28"/>
  <c r="L19" i="28" s="1"/>
  <c r="C19" i="28"/>
  <c r="O19" i="28"/>
  <c r="M19" i="28"/>
  <c r="K19" i="28"/>
  <c r="O18" i="28"/>
  <c r="N18" i="28"/>
  <c r="M18" i="28"/>
  <c r="L18" i="28"/>
  <c r="K18" i="28"/>
  <c r="J67" i="22"/>
  <c r="I58" i="25" s="1"/>
  <c r="N58" i="25" s="1"/>
  <c r="C75" i="11"/>
  <c r="I75" i="11" s="1"/>
  <c r="D13" i="28"/>
  <c r="L13" i="28" s="1"/>
  <c r="E13" i="28"/>
  <c r="M13" i="28" s="1"/>
  <c r="F13" i="28"/>
  <c r="N13" i="28" s="1"/>
  <c r="H90" i="11"/>
  <c r="H91" i="11"/>
  <c r="M91" i="11" s="1"/>
  <c r="D14" i="28"/>
  <c r="L14" i="28" s="1"/>
  <c r="E14" i="28"/>
  <c r="M14" i="28" s="1"/>
  <c r="F14" i="28"/>
  <c r="N14" i="28" s="1"/>
  <c r="H155" i="11"/>
  <c r="H156" i="11"/>
  <c r="M156" i="11" s="1"/>
  <c r="H157" i="11"/>
  <c r="M157" i="11" s="1"/>
  <c r="D15" i="28"/>
  <c r="L15" i="28" s="1"/>
  <c r="F15" i="18"/>
  <c r="F15" i="28"/>
  <c r="N15" i="28" s="1"/>
  <c r="H19" i="18"/>
  <c r="P19" i="18" s="1"/>
  <c r="H14" i="11"/>
  <c r="H15" i="11"/>
  <c r="M15" i="11" s="1"/>
  <c r="H18" i="11"/>
  <c r="M18" i="11" s="1"/>
  <c r="H19" i="11"/>
  <c r="M19" i="11" s="1"/>
  <c r="H20" i="11"/>
  <c r="H21" i="11"/>
  <c r="M21" i="11" s="1"/>
  <c r="H22" i="11"/>
  <c r="M22" i="11" s="1"/>
  <c r="H23" i="11"/>
  <c r="M23" i="11" s="1"/>
  <c r="H24" i="11"/>
  <c r="H25" i="11"/>
  <c r="H26" i="11"/>
  <c r="H27" i="11"/>
  <c r="M27" i="11" s="1"/>
  <c r="H28" i="11"/>
  <c r="H29" i="11"/>
  <c r="M29" i="11" s="1"/>
  <c r="H30" i="11"/>
  <c r="M30" i="11" s="1"/>
  <c r="C31" i="11"/>
  <c r="H32" i="11"/>
  <c r="H33" i="11"/>
  <c r="M33" i="11" s="1"/>
  <c r="E11" i="18"/>
  <c r="F11" i="18"/>
  <c r="G11" i="18"/>
  <c r="H37" i="11"/>
  <c r="H38" i="11"/>
  <c r="M38" i="11" s="1"/>
  <c r="H39" i="11"/>
  <c r="H40" i="11"/>
  <c r="H41" i="11"/>
  <c r="M41" i="11" s="1"/>
  <c r="H42" i="11"/>
  <c r="M42" i="11" s="1"/>
  <c r="H43" i="11"/>
  <c r="H44" i="11"/>
  <c r="H45" i="11"/>
  <c r="M45" i="11" s="1"/>
  <c r="H46" i="11"/>
  <c r="H47" i="11"/>
  <c r="H48" i="11"/>
  <c r="H49" i="11"/>
  <c r="M49" i="11" s="1"/>
  <c r="H50" i="11"/>
  <c r="M50" i="11" s="1"/>
  <c r="H51" i="11"/>
  <c r="H52" i="11"/>
  <c r="H53" i="11"/>
  <c r="M53" i="11" s="1"/>
  <c r="H54" i="11"/>
  <c r="M54" i="11" s="1"/>
  <c r="M63" i="11"/>
  <c r="M68" i="11"/>
  <c r="M70" i="11"/>
  <c r="J61" i="11"/>
  <c r="Q91" i="11"/>
  <c r="C16" i="28"/>
  <c r="K16" i="28" s="1"/>
  <c r="E16" i="28"/>
  <c r="M16" i="28" s="1"/>
  <c r="M18" i="18"/>
  <c r="N18" i="18"/>
  <c r="O18" i="18"/>
  <c r="E19" i="18"/>
  <c r="M19" i="18" s="1"/>
  <c r="F19" i="18"/>
  <c r="N19" i="18" s="1"/>
  <c r="G19" i="18"/>
  <c r="O19" i="18" s="1"/>
  <c r="L18" i="18"/>
  <c r="C19" i="18"/>
  <c r="W100" i="22"/>
  <c r="AE100" i="22"/>
  <c r="AM100" i="22"/>
  <c r="AN98" i="23" s="1"/>
  <c r="N89" i="23"/>
  <c r="N12" i="23"/>
  <c r="N25" i="23"/>
  <c r="N40" i="23"/>
  <c r="N45" i="23"/>
  <c r="N81" i="23"/>
  <c r="N99" i="23"/>
  <c r="O37" i="23"/>
  <c r="E73" i="11"/>
  <c r="O38" i="22" s="1"/>
  <c r="Y82" i="22"/>
  <c r="P20" i="23"/>
  <c r="M64" i="11"/>
  <c r="O6" i="22"/>
  <c r="O42" i="22"/>
  <c r="O90" i="22"/>
  <c r="N6" i="22"/>
  <c r="N42" i="22"/>
  <c r="O40" i="23" s="1"/>
  <c r="X6" i="22"/>
  <c r="X24" i="22"/>
  <c r="X42" i="22"/>
  <c r="X78" i="22"/>
  <c r="X90" i="22"/>
  <c r="X107" i="22"/>
  <c r="P6" i="22"/>
  <c r="P24" i="22"/>
  <c r="P42" i="22"/>
  <c r="P48" i="22"/>
  <c r="Q45" i="23" s="1"/>
  <c r="P78" i="22"/>
  <c r="P90" i="22"/>
  <c r="P107" i="22"/>
  <c r="AF6" i="22"/>
  <c r="AF24" i="22"/>
  <c r="AF42" i="22"/>
  <c r="AF78" i="22"/>
  <c r="AF90" i="22"/>
  <c r="AF107" i="22"/>
  <c r="AN6" i="22"/>
  <c r="AN24" i="22"/>
  <c r="AN42" i="22"/>
  <c r="G42" i="22" s="1"/>
  <c r="G40" i="23" s="1"/>
  <c r="AN78" i="22"/>
  <c r="AN90" i="22"/>
  <c r="AN107" i="22"/>
  <c r="Y6" i="22"/>
  <c r="Y24" i="22"/>
  <c r="Y42" i="22"/>
  <c r="Y48" i="22"/>
  <c r="Y90" i="22"/>
  <c r="Y107" i="22"/>
  <c r="Q6" i="22"/>
  <c r="Q24" i="22"/>
  <c r="Q42" i="22"/>
  <c r="Q48" i="22"/>
  <c r="Q78" i="22"/>
  <c r="Q90" i="22"/>
  <c r="Q107" i="22"/>
  <c r="AG6" i="22"/>
  <c r="AG24" i="22"/>
  <c r="AG42" i="22"/>
  <c r="AG48" i="22"/>
  <c r="AG90" i="22"/>
  <c r="AG107" i="22"/>
  <c r="AO6" i="22"/>
  <c r="AO24" i="22"/>
  <c r="AO42" i="22"/>
  <c r="AO48" i="22"/>
  <c r="AO90" i="22"/>
  <c r="AO107" i="22"/>
  <c r="AP99" i="23" s="1"/>
  <c r="T42" i="22"/>
  <c r="U40" i="23" s="1"/>
  <c r="T90" i="22"/>
  <c r="T107" i="22"/>
  <c r="R6" i="22"/>
  <c r="R24" i="22"/>
  <c r="R42" i="22"/>
  <c r="R90" i="22"/>
  <c r="R107" i="22"/>
  <c r="S6" i="22"/>
  <c r="S24" i="22"/>
  <c r="S42" i="22"/>
  <c r="S48" i="22"/>
  <c r="S78" i="22"/>
  <c r="S90" i="22"/>
  <c r="S107" i="22"/>
  <c r="AA6" i="22"/>
  <c r="AA24" i="22"/>
  <c r="AA42" i="22"/>
  <c r="AA48" i="22"/>
  <c r="AA78" i="22"/>
  <c r="AA90" i="22"/>
  <c r="AA107" i="22"/>
  <c r="AI6" i="22"/>
  <c r="AI24" i="22"/>
  <c r="AI42" i="22"/>
  <c r="AI48" i="22"/>
  <c r="AI78" i="22"/>
  <c r="AI90" i="22"/>
  <c r="AI107" i="22"/>
  <c r="AQ6" i="22"/>
  <c r="AQ24" i="22"/>
  <c r="AQ42" i="22"/>
  <c r="AQ78" i="22"/>
  <c r="AQ90" i="22"/>
  <c r="AQ107" i="22"/>
  <c r="M132" i="11"/>
  <c r="M39" i="11"/>
  <c r="M40" i="11"/>
  <c r="M43" i="11"/>
  <c r="M44" i="11"/>
  <c r="M46" i="11"/>
  <c r="M47" i="11"/>
  <c r="M48" i="11"/>
  <c r="M51" i="11"/>
  <c r="M52" i="11"/>
  <c r="M13" i="11"/>
  <c r="M57" i="11"/>
  <c r="M59" i="11"/>
  <c r="M60" i="11"/>
  <c r="M61" i="11"/>
  <c r="M62" i="11"/>
  <c r="M67" i="11"/>
  <c r="M69" i="11"/>
  <c r="M71" i="11"/>
  <c r="M72" i="11"/>
  <c r="M76" i="11"/>
  <c r="M77" i="11"/>
  <c r="M78" i="11"/>
  <c r="M79" i="11"/>
  <c r="M80" i="11"/>
  <c r="M123" i="11"/>
  <c r="M124" i="11"/>
  <c r="M125" i="11"/>
  <c r="M126" i="11"/>
  <c r="M127" i="11"/>
  <c r="M128" i="11"/>
  <c r="M129" i="11"/>
  <c r="M130" i="11"/>
  <c r="M131" i="11"/>
  <c r="M133" i="11"/>
  <c r="M134" i="11"/>
  <c r="M135" i="11"/>
  <c r="M136" i="11"/>
  <c r="M14" i="11"/>
  <c r="M24" i="11"/>
  <c r="M25" i="11"/>
  <c r="M26" i="11"/>
  <c r="Q26" i="11" s="1"/>
  <c r="M32" i="11"/>
  <c r="M20" i="11"/>
  <c r="M28" i="11"/>
  <c r="M89" i="11"/>
  <c r="M96" i="11"/>
  <c r="M97" i="11"/>
  <c r="M98" i="11"/>
  <c r="M99" i="11"/>
  <c r="M100" i="11"/>
  <c r="M101" i="11"/>
  <c r="M102" i="11"/>
  <c r="M103" i="11"/>
  <c r="M111" i="11"/>
  <c r="M112" i="11"/>
  <c r="M113" i="11"/>
  <c r="M114" i="11"/>
  <c r="M116" i="11"/>
  <c r="H161" i="11"/>
  <c r="E55" i="11"/>
  <c r="E161" i="11"/>
  <c r="G108" i="22"/>
  <c r="G100" i="23" s="1"/>
  <c r="H108" i="22"/>
  <c r="H100" i="23" s="1"/>
  <c r="E100" i="22"/>
  <c r="E98" i="23" s="1"/>
  <c r="G100" i="22"/>
  <c r="G98" i="23" s="1"/>
  <c r="H100" i="22"/>
  <c r="H98" i="23" s="1"/>
  <c r="I100" i="22"/>
  <c r="K100" i="22"/>
  <c r="K98" i="23" s="1"/>
  <c r="F96" i="22"/>
  <c r="F93" i="23" s="1"/>
  <c r="G96" i="22"/>
  <c r="G93" i="23" s="1"/>
  <c r="H96" i="22"/>
  <c r="G91" i="22"/>
  <c r="G90" i="23" s="1"/>
  <c r="H91" i="22"/>
  <c r="H90" i="23" s="1"/>
  <c r="F87" i="22"/>
  <c r="G87" i="22"/>
  <c r="G87" i="23" s="1"/>
  <c r="H87" i="22"/>
  <c r="H87" i="23" s="1"/>
  <c r="G84" i="22"/>
  <c r="G85" i="23" s="1"/>
  <c r="H84" i="22"/>
  <c r="H85" i="23" s="1"/>
  <c r="E82" i="22"/>
  <c r="E84" i="23" s="1"/>
  <c r="G82" i="22"/>
  <c r="G84" i="23" s="1"/>
  <c r="I82" i="22"/>
  <c r="I84" i="23" s="1"/>
  <c r="K82" i="22"/>
  <c r="K84" i="23" s="1"/>
  <c r="G79" i="22"/>
  <c r="G82" i="23" s="1"/>
  <c r="H79" i="22"/>
  <c r="H82" i="23" s="1"/>
  <c r="G78" i="22"/>
  <c r="G81" i="23" s="1"/>
  <c r="F76" i="22"/>
  <c r="F80" i="23" s="1"/>
  <c r="G76" i="22"/>
  <c r="H76" i="22"/>
  <c r="H80" i="23" s="1"/>
  <c r="F74" i="22"/>
  <c r="F79" i="23" s="1"/>
  <c r="G74" i="22"/>
  <c r="G79" i="23" s="1"/>
  <c r="H74" i="22"/>
  <c r="G72" i="22"/>
  <c r="G67" i="23" s="1"/>
  <c r="H72" i="22"/>
  <c r="H67" i="23" s="1"/>
  <c r="F67" i="22"/>
  <c r="G67" i="22"/>
  <c r="G58" i="23" s="1"/>
  <c r="H67" i="22"/>
  <c r="H58" i="23" s="1"/>
  <c r="G65" i="22"/>
  <c r="G57" i="23" s="1"/>
  <c r="H65" i="22"/>
  <c r="G57" i="25" s="1"/>
  <c r="F63" i="22"/>
  <c r="F56" i="23" s="1"/>
  <c r="G63" i="22"/>
  <c r="G56" i="23" s="1"/>
  <c r="H63" i="22"/>
  <c r="H56" i="23" s="1"/>
  <c r="F61" i="22"/>
  <c r="G61" i="22"/>
  <c r="G55" i="23" s="1"/>
  <c r="H61" i="22"/>
  <c r="H55" i="23" s="1"/>
  <c r="F59" i="22"/>
  <c r="F53" i="23" s="1"/>
  <c r="G59" i="22"/>
  <c r="H59" i="22"/>
  <c r="H53" i="23" s="1"/>
  <c r="F57" i="22"/>
  <c r="F52" i="23" s="1"/>
  <c r="G57" i="22"/>
  <c r="G52" i="23" s="1"/>
  <c r="H57" i="22"/>
  <c r="H52" i="23" s="1"/>
  <c r="H49" i="22"/>
  <c r="H46" i="23" s="1"/>
  <c r="F54" i="22"/>
  <c r="F50" i="23" s="1"/>
  <c r="G54" i="22"/>
  <c r="G50" i="23" s="1"/>
  <c r="H54" i="22"/>
  <c r="H50" i="23" s="1"/>
  <c r="G51" i="22"/>
  <c r="G48" i="23" s="1"/>
  <c r="H51" i="22"/>
  <c r="G43" i="22"/>
  <c r="G41" i="23" s="1"/>
  <c r="H43" i="22"/>
  <c r="H41" i="23" s="1"/>
  <c r="G38" i="22"/>
  <c r="G37" i="23" s="1"/>
  <c r="H38" i="22"/>
  <c r="H37" i="23" s="1"/>
  <c r="G32" i="22"/>
  <c r="H32" i="22"/>
  <c r="H32" i="23" s="1"/>
  <c r="G25" i="22"/>
  <c r="F26" i="25" s="1"/>
  <c r="H25" i="22"/>
  <c r="H26" i="23" s="1"/>
  <c r="H24" i="22"/>
  <c r="F18" i="22"/>
  <c r="G18" i="22"/>
  <c r="G20" i="23" s="1"/>
  <c r="F15" i="22"/>
  <c r="F18" i="23" s="1"/>
  <c r="G15" i="22"/>
  <c r="G18" i="23" s="1"/>
  <c r="H15" i="22"/>
  <c r="E12" i="22"/>
  <c r="E16" i="23" s="1"/>
  <c r="G12" i="22"/>
  <c r="H12" i="22"/>
  <c r="H16" i="23" s="1"/>
  <c r="I12" i="22"/>
  <c r="F7" i="22"/>
  <c r="F13" i="23" s="1"/>
  <c r="G7" i="22"/>
  <c r="G13" i="23" s="1"/>
  <c r="H7" i="22"/>
  <c r="M14" i="23"/>
  <c r="M15" i="23"/>
  <c r="M17" i="23"/>
  <c r="M19" i="23"/>
  <c r="M21" i="23"/>
  <c r="M22" i="23"/>
  <c r="M23" i="23"/>
  <c r="M24" i="23"/>
  <c r="M27" i="23"/>
  <c r="M28" i="23"/>
  <c r="M29" i="23"/>
  <c r="M30" i="23"/>
  <c r="M31" i="23"/>
  <c r="M33" i="23"/>
  <c r="M34" i="23"/>
  <c r="M35" i="23"/>
  <c r="M36" i="23"/>
  <c r="M38" i="23"/>
  <c r="M39" i="23"/>
  <c r="M42" i="23"/>
  <c r="M43" i="23"/>
  <c r="M44" i="23"/>
  <c r="M47" i="23"/>
  <c r="M49" i="23"/>
  <c r="M51" i="23"/>
  <c r="M54" i="23"/>
  <c r="M59" i="23"/>
  <c r="M60" i="23"/>
  <c r="M61" i="23"/>
  <c r="M62" i="23"/>
  <c r="M63" i="23"/>
  <c r="M64" i="23"/>
  <c r="M65" i="23"/>
  <c r="M66" i="23"/>
  <c r="M68" i="23"/>
  <c r="M69" i="23"/>
  <c r="M70" i="23"/>
  <c r="M71" i="23"/>
  <c r="M72" i="23"/>
  <c r="M73" i="23"/>
  <c r="M74" i="23"/>
  <c r="M75" i="23"/>
  <c r="M76" i="23"/>
  <c r="M77" i="23"/>
  <c r="M78" i="23"/>
  <c r="M83" i="23"/>
  <c r="M86" i="23"/>
  <c r="M88" i="23"/>
  <c r="M91" i="23"/>
  <c r="M92" i="23"/>
  <c r="M94" i="23"/>
  <c r="M95" i="23"/>
  <c r="M96" i="23"/>
  <c r="M97" i="23"/>
  <c r="M101" i="23"/>
  <c r="M102" i="23"/>
  <c r="M103" i="23"/>
  <c r="M104" i="23"/>
  <c r="M105" i="23"/>
  <c r="M106" i="23"/>
  <c r="J7" i="22"/>
  <c r="I13" i="25" s="1"/>
  <c r="N13" i="25" s="1"/>
  <c r="F13" i="25"/>
  <c r="F58" i="25"/>
  <c r="G58" i="25"/>
  <c r="G16" i="25"/>
  <c r="D16" i="25"/>
  <c r="E18" i="25"/>
  <c r="F18" i="25"/>
  <c r="F20" i="25"/>
  <c r="G26" i="25"/>
  <c r="G32" i="25"/>
  <c r="F37" i="25"/>
  <c r="G46" i="25"/>
  <c r="F48" i="25"/>
  <c r="F50" i="25"/>
  <c r="E52" i="25"/>
  <c r="F52" i="25"/>
  <c r="E53" i="25"/>
  <c r="G53" i="25"/>
  <c r="F55" i="25"/>
  <c r="G55" i="25"/>
  <c r="E56" i="25"/>
  <c r="F56" i="25"/>
  <c r="G56" i="25"/>
  <c r="F57" i="25"/>
  <c r="F67" i="25"/>
  <c r="G67" i="25"/>
  <c r="E79" i="25"/>
  <c r="F79" i="25"/>
  <c r="E80" i="25"/>
  <c r="G80" i="25"/>
  <c r="F82" i="25"/>
  <c r="F84" i="25"/>
  <c r="D84" i="25"/>
  <c r="H84" i="25"/>
  <c r="J84" i="25"/>
  <c r="F85" i="25"/>
  <c r="G85" i="25"/>
  <c r="F87" i="25"/>
  <c r="G87" i="25"/>
  <c r="F90" i="25"/>
  <c r="G90" i="25"/>
  <c r="E93" i="25"/>
  <c r="F93" i="25"/>
  <c r="F98" i="25"/>
  <c r="G98" i="25"/>
  <c r="D98" i="25"/>
  <c r="J98" i="25"/>
  <c r="F100" i="25"/>
  <c r="G100" i="25"/>
  <c r="F81" i="25"/>
  <c r="F40" i="25"/>
  <c r="J108" i="22"/>
  <c r="J100" i="22"/>
  <c r="J96" i="22"/>
  <c r="I93" i="25" s="1"/>
  <c r="N93" i="25" s="1"/>
  <c r="J91" i="22"/>
  <c r="J87" i="22"/>
  <c r="J84" i="22"/>
  <c r="J82" i="22"/>
  <c r="J79" i="22"/>
  <c r="J82" i="23" s="1"/>
  <c r="J76" i="22"/>
  <c r="J74" i="22"/>
  <c r="J72" i="22"/>
  <c r="J67" i="23" s="1"/>
  <c r="J65" i="22"/>
  <c r="J63" i="22"/>
  <c r="J61" i="22"/>
  <c r="J59" i="22"/>
  <c r="J57" i="22"/>
  <c r="J52" i="23" s="1"/>
  <c r="J54" i="22"/>
  <c r="J51" i="22"/>
  <c r="J49" i="22"/>
  <c r="J43" i="22"/>
  <c r="J38" i="22"/>
  <c r="J32" i="22"/>
  <c r="J25" i="22"/>
  <c r="I26" i="25" s="1"/>
  <c r="N26" i="25" s="1"/>
  <c r="H18" i="22"/>
  <c r="J18" i="22"/>
  <c r="J15" i="22"/>
  <c r="I18" i="25" s="1"/>
  <c r="N18" i="25" s="1"/>
  <c r="J12" i="22"/>
  <c r="J107" i="22"/>
  <c r="I99" i="25" s="1"/>
  <c r="N99" i="25" s="1"/>
  <c r="J90" i="22"/>
  <c r="J42" i="22"/>
  <c r="I40" i="25" s="1"/>
  <c r="N40" i="25" s="1"/>
  <c r="J24" i="22"/>
  <c r="I100" i="25"/>
  <c r="N100" i="25" s="1"/>
  <c r="I98" i="25"/>
  <c r="N98" i="25" s="1"/>
  <c r="I89" i="25"/>
  <c r="N89" i="25" s="1"/>
  <c r="I87" i="25"/>
  <c r="N87" i="25" s="1"/>
  <c r="I85" i="25"/>
  <c r="N85" i="25" s="1"/>
  <c r="I80" i="25"/>
  <c r="N80" i="25" s="1"/>
  <c r="I79" i="25"/>
  <c r="N79" i="25" s="1"/>
  <c r="I67" i="25"/>
  <c r="N67" i="25" s="1"/>
  <c r="I56" i="25"/>
  <c r="N56" i="25" s="1"/>
  <c r="I55" i="25"/>
  <c r="N55" i="25" s="1"/>
  <c r="I50" i="25"/>
  <c r="N50" i="25" s="1"/>
  <c r="I48" i="25"/>
  <c r="N48" i="25" s="1"/>
  <c r="I37" i="25"/>
  <c r="N37" i="25" s="1"/>
  <c r="I32" i="25"/>
  <c r="N32" i="25" s="1"/>
  <c r="I25" i="25"/>
  <c r="N25" i="25" s="1"/>
  <c r="I20" i="25"/>
  <c r="N20" i="25" s="1"/>
  <c r="I16" i="25"/>
  <c r="N16" i="25" s="1"/>
  <c r="L14" i="25"/>
  <c r="M14" i="25"/>
  <c r="N14" i="25"/>
  <c r="L15" i="25"/>
  <c r="M15" i="25"/>
  <c r="O15" i="25" s="1"/>
  <c r="N15" i="25"/>
  <c r="L17" i="25"/>
  <c r="O17" i="25" s="1"/>
  <c r="M17" i="25"/>
  <c r="N17" i="25"/>
  <c r="L19" i="25"/>
  <c r="M19" i="25"/>
  <c r="N19" i="25"/>
  <c r="L21" i="25"/>
  <c r="M21" i="25"/>
  <c r="N21" i="25"/>
  <c r="L22" i="25"/>
  <c r="O22" i="25" s="1"/>
  <c r="M22" i="25"/>
  <c r="N22" i="25"/>
  <c r="L23" i="25"/>
  <c r="O23" i="25" s="1"/>
  <c r="M23" i="25"/>
  <c r="N23" i="25"/>
  <c r="L24" i="25"/>
  <c r="M24" i="25"/>
  <c r="N24" i="25"/>
  <c r="L27" i="25"/>
  <c r="M27" i="25"/>
  <c r="N27" i="25"/>
  <c r="L28" i="25"/>
  <c r="M28" i="25"/>
  <c r="N28" i="25"/>
  <c r="L29" i="25"/>
  <c r="O29" i="25" s="1"/>
  <c r="M29" i="25"/>
  <c r="N29" i="25"/>
  <c r="L30" i="25"/>
  <c r="M30" i="25"/>
  <c r="N30" i="25"/>
  <c r="L31" i="25"/>
  <c r="M31" i="25"/>
  <c r="N31" i="25"/>
  <c r="L33" i="25"/>
  <c r="M33" i="25"/>
  <c r="O33" i="25" s="1"/>
  <c r="N33" i="25"/>
  <c r="L34" i="25"/>
  <c r="O34" i="25" s="1"/>
  <c r="M34" i="25"/>
  <c r="N34" i="25"/>
  <c r="L35" i="25"/>
  <c r="M35" i="25"/>
  <c r="N35" i="25"/>
  <c r="L36" i="25"/>
  <c r="M36" i="25"/>
  <c r="N36" i="25"/>
  <c r="L38" i="25"/>
  <c r="O38" i="25" s="1"/>
  <c r="M38" i="25"/>
  <c r="N38" i="25"/>
  <c r="L39" i="25"/>
  <c r="O39" i="25" s="1"/>
  <c r="M39" i="25"/>
  <c r="N39" i="25"/>
  <c r="L42" i="25"/>
  <c r="M42" i="25"/>
  <c r="N42" i="25"/>
  <c r="L43" i="25"/>
  <c r="M43" i="25"/>
  <c r="N43" i="25"/>
  <c r="L44" i="25"/>
  <c r="M44" i="25"/>
  <c r="O44" i="25" s="1"/>
  <c r="N44" i="25"/>
  <c r="L47" i="25"/>
  <c r="O47" i="25" s="1"/>
  <c r="M47" i="25"/>
  <c r="N47" i="25"/>
  <c r="L49" i="25"/>
  <c r="M49" i="25"/>
  <c r="N49" i="25"/>
  <c r="L51" i="25"/>
  <c r="M51" i="25"/>
  <c r="N51" i="25"/>
  <c r="L54" i="25"/>
  <c r="M54" i="25"/>
  <c r="N54" i="25"/>
  <c r="L59" i="25"/>
  <c r="O59" i="25" s="1"/>
  <c r="M59" i="25"/>
  <c r="N59" i="25"/>
  <c r="L60" i="25"/>
  <c r="M60" i="25"/>
  <c r="N60" i="25"/>
  <c r="L61" i="25"/>
  <c r="M61" i="25"/>
  <c r="N61" i="25"/>
  <c r="L62" i="25"/>
  <c r="M62" i="25"/>
  <c r="O62" i="25" s="1"/>
  <c r="N62" i="25"/>
  <c r="L63" i="25"/>
  <c r="O63" i="25" s="1"/>
  <c r="M63" i="25"/>
  <c r="N63" i="25"/>
  <c r="L64" i="25"/>
  <c r="M64" i="25"/>
  <c r="N64" i="25"/>
  <c r="L65" i="25"/>
  <c r="M65" i="25"/>
  <c r="N65" i="25"/>
  <c r="L66" i="25"/>
  <c r="M66" i="25"/>
  <c r="O66" i="25" s="1"/>
  <c r="N66" i="25"/>
  <c r="L68" i="25"/>
  <c r="O68" i="25" s="1"/>
  <c r="M68" i="25"/>
  <c r="N68" i="25"/>
  <c r="L69" i="25"/>
  <c r="M69" i="25"/>
  <c r="N69" i="25"/>
  <c r="L70" i="25"/>
  <c r="M70" i="25"/>
  <c r="N70" i="25"/>
  <c r="L71" i="25"/>
  <c r="O71" i="25" s="1"/>
  <c r="M71" i="25"/>
  <c r="N71" i="25"/>
  <c r="L72" i="25"/>
  <c r="O72" i="25" s="1"/>
  <c r="M72" i="25"/>
  <c r="N72" i="25"/>
  <c r="L73" i="25"/>
  <c r="M73" i="25"/>
  <c r="N73" i="25"/>
  <c r="L74" i="25"/>
  <c r="M74" i="25"/>
  <c r="N74" i="25"/>
  <c r="L75" i="25"/>
  <c r="M75" i="25"/>
  <c r="N75" i="25"/>
  <c r="L76" i="25"/>
  <c r="O76" i="25" s="1"/>
  <c r="M76" i="25"/>
  <c r="N76" i="25"/>
  <c r="L77" i="25"/>
  <c r="M77" i="25"/>
  <c r="N77" i="25"/>
  <c r="L78" i="25"/>
  <c r="M78" i="25"/>
  <c r="N78" i="25"/>
  <c r="L83" i="25"/>
  <c r="M83" i="25"/>
  <c r="O83" i="25" s="1"/>
  <c r="N83" i="25"/>
  <c r="L86" i="25"/>
  <c r="O86" i="25" s="1"/>
  <c r="M86" i="25"/>
  <c r="N86" i="25"/>
  <c r="L88" i="25"/>
  <c r="M88" i="25"/>
  <c r="N88" i="25"/>
  <c r="L91" i="25"/>
  <c r="M91" i="25"/>
  <c r="N91" i="25"/>
  <c r="L92" i="25"/>
  <c r="O92" i="25" s="1"/>
  <c r="M92" i="25"/>
  <c r="N92" i="25"/>
  <c r="L94" i="25"/>
  <c r="O94" i="25" s="1"/>
  <c r="M94" i="25"/>
  <c r="N94" i="25"/>
  <c r="L95" i="25"/>
  <c r="M95" i="25"/>
  <c r="N95" i="25"/>
  <c r="L96" i="25"/>
  <c r="M96" i="25"/>
  <c r="N96" i="25"/>
  <c r="L97" i="25"/>
  <c r="M97" i="25"/>
  <c r="O97" i="25" s="1"/>
  <c r="N97" i="25"/>
  <c r="L101" i="25"/>
  <c r="O101" i="25" s="1"/>
  <c r="M101" i="25"/>
  <c r="N101" i="25"/>
  <c r="L102" i="25"/>
  <c r="M102" i="25"/>
  <c r="N102" i="25"/>
  <c r="L103" i="25"/>
  <c r="M103" i="25"/>
  <c r="N103" i="25"/>
  <c r="L104" i="25"/>
  <c r="M104" i="25"/>
  <c r="N104" i="25"/>
  <c r="L105" i="25"/>
  <c r="O105" i="25" s="1"/>
  <c r="M105" i="25"/>
  <c r="N105" i="25"/>
  <c r="L106" i="25"/>
  <c r="M106" i="25"/>
  <c r="N106" i="25"/>
  <c r="V43" i="22"/>
  <c r="V42" i="22" s="1"/>
  <c r="AM72" i="22"/>
  <c r="AN67" i="23" s="1"/>
  <c r="AE72" i="22"/>
  <c r="W72" i="22"/>
  <c r="O72" i="22"/>
  <c r="AM84" i="23"/>
  <c r="AO84" i="23"/>
  <c r="AQ84" i="23"/>
  <c r="AR84" i="23"/>
  <c r="AS84" i="23"/>
  <c r="Q26" i="23"/>
  <c r="R26" i="23"/>
  <c r="S26" i="23"/>
  <c r="T26" i="23"/>
  <c r="U26" i="23"/>
  <c r="Y26" i="23"/>
  <c r="Z26" i="23"/>
  <c r="AB26" i="23"/>
  <c r="AG26" i="23"/>
  <c r="AH26" i="23"/>
  <c r="AJ26" i="23"/>
  <c r="AO26" i="23"/>
  <c r="AP26" i="23"/>
  <c r="AR26" i="23"/>
  <c r="Q32" i="23"/>
  <c r="R32" i="23"/>
  <c r="S32" i="23"/>
  <c r="T32" i="23"/>
  <c r="U32" i="23"/>
  <c r="Y32" i="23"/>
  <c r="Z32" i="23"/>
  <c r="AB32" i="23"/>
  <c r="AG32" i="23"/>
  <c r="AH32" i="23"/>
  <c r="AJ32" i="23"/>
  <c r="AO32" i="23"/>
  <c r="AP32" i="23"/>
  <c r="AR32" i="23"/>
  <c r="AO37" i="23"/>
  <c r="AP37" i="23"/>
  <c r="AR37" i="23"/>
  <c r="AR41" i="23"/>
  <c r="AP41" i="23"/>
  <c r="AO41" i="23"/>
  <c r="AP46" i="23"/>
  <c r="AR46" i="23"/>
  <c r="AO48" i="23"/>
  <c r="AP48" i="23"/>
  <c r="AR48" i="23"/>
  <c r="AO52" i="23"/>
  <c r="AP52" i="23"/>
  <c r="AR52" i="23"/>
  <c r="P50" i="23"/>
  <c r="Q50" i="23"/>
  <c r="R50" i="23"/>
  <c r="S50" i="23"/>
  <c r="T50" i="23"/>
  <c r="U50" i="23"/>
  <c r="X50" i="23"/>
  <c r="Y50" i="23"/>
  <c r="Z50" i="23"/>
  <c r="AB50" i="23"/>
  <c r="AF50" i="23"/>
  <c r="AG50" i="23"/>
  <c r="AH50" i="23"/>
  <c r="AJ50" i="23"/>
  <c r="AN50" i="23"/>
  <c r="AO50" i="23"/>
  <c r="AP50" i="23"/>
  <c r="AR50" i="23"/>
  <c r="AO53" i="23"/>
  <c r="AP53" i="23"/>
  <c r="AR53" i="23"/>
  <c r="AO55" i="23"/>
  <c r="AP55" i="23"/>
  <c r="AR55" i="23"/>
  <c r="AO56" i="23"/>
  <c r="AP56" i="23"/>
  <c r="AR56" i="23"/>
  <c r="AO57" i="23"/>
  <c r="AP57" i="23"/>
  <c r="AR57" i="23"/>
  <c r="AO67" i="23"/>
  <c r="AP67" i="23"/>
  <c r="AR67" i="23"/>
  <c r="AO79" i="23"/>
  <c r="AP79" i="23"/>
  <c r="AR79" i="23"/>
  <c r="AO80" i="23"/>
  <c r="AP80" i="23"/>
  <c r="AR80" i="23"/>
  <c r="P58" i="23"/>
  <c r="Q58" i="23"/>
  <c r="R58" i="23"/>
  <c r="T58" i="23"/>
  <c r="U58" i="23"/>
  <c r="X58" i="23"/>
  <c r="Y58" i="23"/>
  <c r="Z58" i="23"/>
  <c r="AB58" i="23"/>
  <c r="AF58" i="23"/>
  <c r="AG58" i="23"/>
  <c r="AH58" i="23"/>
  <c r="AJ58" i="23"/>
  <c r="AN58" i="23"/>
  <c r="AO58" i="23"/>
  <c r="AP58" i="23"/>
  <c r="AR58" i="23"/>
  <c r="AO82" i="23"/>
  <c r="AP82" i="23"/>
  <c r="AR82" i="23"/>
  <c r="P82" i="23"/>
  <c r="Q82" i="23"/>
  <c r="R82" i="23"/>
  <c r="T82" i="23"/>
  <c r="Y82" i="23"/>
  <c r="Z82" i="23"/>
  <c r="AB82" i="23"/>
  <c r="AG82" i="23"/>
  <c r="AH82" i="23"/>
  <c r="AJ82" i="23"/>
  <c r="Q85" i="23"/>
  <c r="R85" i="23"/>
  <c r="S85" i="23"/>
  <c r="T85" i="23"/>
  <c r="Y85" i="23"/>
  <c r="Z85" i="23"/>
  <c r="AB85" i="23"/>
  <c r="AG85" i="23"/>
  <c r="AH85" i="23"/>
  <c r="AJ85" i="23"/>
  <c r="AO85" i="23"/>
  <c r="AP85" i="23"/>
  <c r="AR85" i="23"/>
  <c r="O87" i="23"/>
  <c r="P87" i="23"/>
  <c r="Q87" i="23"/>
  <c r="R87" i="23"/>
  <c r="S87" i="23"/>
  <c r="T87" i="23"/>
  <c r="U87" i="23"/>
  <c r="X87" i="23"/>
  <c r="Y87" i="23"/>
  <c r="Z87" i="23"/>
  <c r="AB87" i="23"/>
  <c r="AF87" i="23"/>
  <c r="AG87" i="23"/>
  <c r="AH87" i="23"/>
  <c r="AJ87" i="23"/>
  <c r="AN87" i="23"/>
  <c r="AO87" i="23"/>
  <c r="AP87" i="23"/>
  <c r="AR87" i="23"/>
  <c r="Q90" i="23"/>
  <c r="R90" i="23"/>
  <c r="S90" i="23"/>
  <c r="T90" i="23"/>
  <c r="U90" i="23"/>
  <c r="Y90" i="23"/>
  <c r="Z90" i="23"/>
  <c r="AB90" i="23"/>
  <c r="AG90" i="23"/>
  <c r="AH90" i="23"/>
  <c r="AJ90" i="23"/>
  <c r="AO90" i="23"/>
  <c r="AP90" i="23"/>
  <c r="AR90" i="23"/>
  <c r="AN93" i="23"/>
  <c r="AO93" i="23"/>
  <c r="AP93" i="23"/>
  <c r="AR93" i="23"/>
  <c r="Z93" i="23"/>
  <c r="AB93" i="23"/>
  <c r="AF93" i="23"/>
  <c r="AG93" i="23"/>
  <c r="AH93" i="23"/>
  <c r="AJ93" i="23"/>
  <c r="P93" i="23"/>
  <c r="Q93" i="23"/>
  <c r="R93" i="23"/>
  <c r="S93" i="23"/>
  <c r="T93" i="23"/>
  <c r="U93" i="23"/>
  <c r="X93" i="23"/>
  <c r="Y93" i="23"/>
  <c r="O98" i="23"/>
  <c r="P98" i="23"/>
  <c r="Q98" i="23"/>
  <c r="R98" i="23"/>
  <c r="S98" i="23"/>
  <c r="T98" i="23"/>
  <c r="U98" i="23"/>
  <c r="Y98" i="23"/>
  <c r="Z98" i="23"/>
  <c r="AB98" i="23"/>
  <c r="AG98" i="23"/>
  <c r="AH98" i="23"/>
  <c r="AJ98" i="23"/>
  <c r="AO98" i="23"/>
  <c r="AP98" i="23"/>
  <c r="AR98" i="23"/>
  <c r="AO100" i="23"/>
  <c r="AP100" i="23"/>
  <c r="AR100" i="23"/>
  <c r="AO13" i="23"/>
  <c r="AP13" i="23"/>
  <c r="AR13" i="23"/>
  <c r="AO16" i="23"/>
  <c r="AP16" i="23"/>
  <c r="AQ16" i="23"/>
  <c r="AR16" i="23"/>
  <c r="AO18" i="23"/>
  <c r="AP18" i="23"/>
  <c r="AR18" i="23"/>
  <c r="AO20" i="23"/>
  <c r="AP20" i="23"/>
  <c r="AR20" i="23"/>
  <c r="U7" i="22"/>
  <c r="AU115" i="22"/>
  <c r="AT115" i="22"/>
  <c r="U115" i="22"/>
  <c r="AU114" i="22"/>
  <c r="AT114" i="22"/>
  <c r="U114" i="22"/>
  <c r="AU113" i="22"/>
  <c r="AT113" i="22"/>
  <c r="U113" i="22"/>
  <c r="AU112" i="22"/>
  <c r="AT112" i="22"/>
  <c r="U112" i="22"/>
  <c r="AU111" i="22"/>
  <c r="AT111" i="22"/>
  <c r="U111" i="22"/>
  <c r="AU110" i="22"/>
  <c r="AT110" i="22"/>
  <c r="U110" i="22"/>
  <c r="AU106" i="22"/>
  <c r="AT106" i="22"/>
  <c r="U106" i="22"/>
  <c r="AU105" i="22"/>
  <c r="AT105" i="22"/>
  <c r="U105" i="22"/>
  <c r="AU104" i="22"/>
  <c r="AT104" i="22"/>
  <c r="U104" i="22"/>
  <c r="AU103" i="22"/>
  <c r="AT103" i="22"/>
  <c r="U103" i="22"/>
  <c r="AU102" i="22"/>
  <c r="AT102" i="22"/>
  <c r="U102" i="22"/>
  <c r="AU99" i="22"/>
  <c r="AT99" i="22"/>
  <c r="U99" i="22"/>
  <c r="AU98" i="22"/>
  <c r="AT98" i="22"/>
  <c r="U98" i="22"/>
  <c r="AU95" i="22"/>
  <c r="AT95" i="22"/>
  <c r="U95" i="22"/>
  <c r="AU94" i="22"/>
  <c r="AT94" i="22"/>
  <c r="U94" i="22"/>
  <c r="AU93" i="22"/>
  <c r="AT93" i="22"/>
  <c r="U93" i="22"/>
  <c r="AU89" i="22"/>
  <c r="AT89" i="22"/>
  <c r="U89" i="22"/>
  <c r="AU86" i="22"/>
  <c r="AT86" i="22"/>
  <c r="U86" i="22"/>
  <c r="AU81" i="22"/>
  <c r="AT81" i="22"/>
  <c r="U81" i="22"/>
  <c r="AU71" i="22"/>
  <c r="AT71" i="22"/>
  <c r="U71" i="22"/>
  <c r="AU70" i="22"/>
  <c r="AT70" i="22"/>
  <c r="U70" i="22"/>
  <c r="AU69" i="22"/>
  <c r="AT69" i="22"/>
  <c r="U69" i="22"/>
  <c r="AU56" i="22"/>
  <c r="AT56" i="22"/>
  <c r="U56" i="22"/>
  <c r="U47" i="22"/>
  <c r="U41" i="22"/>
  <c r="AU37" i="22"/>
  <c r="AT37" i="22"/>
  <c r="U37" i="22"/>
  <c r="AU36" i="22"/>
  <c r="AT36" i="22"/>
  <c r="U36" i="22"/>
  <c r="AU35" i="22"/>
  <c r="AT35" i="22"/>
  <c r="U35" i="22"/>
  <c r="AU34" i="22"/>
  <c r="AT34" i="22"/>
  <c r="U34" i="22"/>
  <c r="AU17" i="22"/>
  <c r="AT17" i="22"/>
  <c r="U17" i="22"/>
  <c r="D161" i="11"/>
  <c r="C161" i="11"/>
  <c r="F59" i="14"/>
  <c r="AH99" i="23"/>
  <c r="AJ99" i="23"/>
  <c r="AO99" i="23"/>
  <c r="AR99" i="23"/>
  <c r="Z99" i="23"/>
  <c r="AB99" i="23"/>
  <c r="S99" i="23"/>
  <c r="T99" i="23"/>
  <c r="U99" i="23"/>
  <c r="AO89" i="23"/>
  <c r="AP89" i="23"/>
  <c r="AR89" i="23"/>
  <c r="AO81" i="23"/>
  <c r="AR81" i="23"/>
  <c r="AP45" i="23"/>
  <c r="AR45" i="23"/>
  <c r="AO40" i="23"/>
  <c r="AP40" i="23"/>
  <c r="AR40" i="23"/>
  <c r="AO25" i="23"/>
  <c r="AP25" i="23"/>
  <c r="AR25" i="23"/>
  <c r="AR12" i="22"/>
  <c r="AS16" i="23"/>
  <c r="B33" i="20"/>
  <c r="C33" i="20"/>
  <c r="O108" i="22" s="1"/>
  <c r="O107" i="22" s="1"/>
  <c r="P99" i="23" s="1"/>
  <c r="K52" i="14"/>
  <c r="W108" i="22" s="1"/>
  <c r="K101" i="14"/>
  <c r="AE108" i="22" s="1"/>
  <c r="AE107" i="22" s="1"/>
  <c r="AF99" i="23" s="1"/>
  <c r="K76" i="14"/>
  <c r="AM108" i="22" s="1"/>
  <c r="AM107" i="22" s="1"/>
  <c r="AN99" i="23" s="1"/>
  <c r="J100" i="23"/>
  <c r="J98" i="23"/>
  <c r="N96" i="22"/>
  <c r="O93" i="23" s="1"/>
  <c r="J93" i="23"/>
  <c r="N91" i="22"/>
  <c r="E27" i="15"/>
  <c r="F27" i="15" s="1"/>
  <c r="R27" i="15" s="1"/>
  <c r="R37" i="15" s="1"/>
  <c r="V33" i="15"/>
  <c r="E48" i="15"/>
  <c r="F48" i="15" s="1"/>
  <c r="V54" i="15"/>
  <c r="E70" i="15"/>
  <c r="F70" i="15" s="1"/>
  <c r="V76" i="15"/>
  <c r="P89" i="23"/>
  <c r="Q89" i="23"/>
  <c r="Y89" i="23"/>
  <c r="R89" i="23"/>
  <c r="AH89" i="23"/>
  <c r="S89" i="23"/>
  <c r="AJ89" i="23"/>
  <c r="U89" i="23"/>
  <c r="J87" i="23"/>
  <c r="N84" i="22"/>
  <c r="O85" i="23" s="1"/>
  <c r="P85" i="23"/>
  <c r="E26" i="15"/>
  <c r="F26" i="15" s="1"/>
  <c r="J32" i="15"/>
  <c r="K32" i="15"/>
  <c r="E25" i="15"/>
  <c r="E47" i="15"/>
  <c r="F47" i="15" s="1"/>
  <c r="K47" i="15"/>
  <c r="J47" i="15"/>
  <c r="J53" i="15"/>
  <c r="K53" i="15"/>
  <c r="E46" i="15"/>
  <c r="F46" i="15" s="1"/>
  <c r="L46" i="15" s="1"/>
  <c r="L59" i="15" s="1"/>
  <c r="E69" i="15"/>
  <c r="F69" i="15" s="1"/>
  <c r="J69" i="15" s="1"/>
  <c r="J75" i="15"/>
  <c r="K75" i="15"/>
  <c r="E68" i="15"/>
  <c r="F68" i="15" s="1"/>
  <c r="L68" i="15" s="1"/>
  <c r="L82" i="15" s="1"/>
  <c r="J85" i="23"/>
  <c r="T84" i="22"/>
  <c r="U85" i="23" s="1"/>
  <c r="O82" i="22"/>
  <c r="D24" i="15"/>
  <c r="N31" i="15"/>
  <c r="S33" i="15"/>
  <c r="D45" i="15"/>
  <c r="M45" i="15" s="1"/>
  <c r="N45" i="15"/>
  <c r="N59" i="15" s="1"/>
  <c r="N52" i="15"/>
  <c r="S54" i="15"/>
  <c r="D67" i="15"/>
  <c r="N67" i="15"/>
  <c r="N82" i="15" s="1"/>
  <c r="N74" i="15"/>
  <c r="S76" i="15"/>
  <c r="AP12" i="23"/>
  <c r="N79" i="22"/>
  <c r="Q33" i="15"/>
  <c r="Q54" i="15"/>
  <c r="Q76" i="15"/>
  <c r="T79" i="22"/>
  <c r="U82" i="23" s="1"/>
  <c r="Q81" i="23"/>
  <c r="AG81" i="23"/>
  <c r="R81" i="23"/>
  <c r="AJ81" i="23"/>
  <c r="N76" i="22"/>
  <c r="T76" i="22"/>
  <c r="T48" i="22" s="1"/>
  <c r="N74" i="22"/>
  <c r="J79" i="23"/>
  <c r="N72" i="22"/>
  <c r="N67" i="22"/>
  <c r="O58" i="23"/>
  <c r="F29" i="15"/>
  <c r="W34" i="15"/>
  <c r="X34" i="15"/>
  <c r="F50" i="15"/>
  <c r="W50" i="15" s="1"/>
  <c r="W55" i="15"/>
  <c r="X50" i="15"/>
  <c r="X59" i="15" s="1"/>
  <c r="X55" i="15"/>
  <c r="F72" i="15"/>
  <c r="W72" i="15" s="1"/>
  <c r="W82" i="15" s="1"/>
  <c r="W77" i="15"/>
  <c r="X77" i="15"/>
  <c r="N63" i="22"/>
  <c r="J56" i="23"/>
  <c r="N61" i="22"/>
  <c r="O55" i="23" s="1"/>
  <c r="J55" i="23"/>
  <c r="N59" i="22"/>
  <c r="N57" i="22"/>
  <c r="N54" i="22"/>
  <c r="O50" i="23" s="1"/>
  <c r="J50" i="23"/>
  <c r="N51" i="22"/>
  <c r="L52" i="14"/>
  <c r="O31" i="15"/>
  <c r="L101" i="14"/>
  <c r="O52" i="15"/>
  <c r="L76" i="14"/>
  <c r="O74" i="15"/>
  <c r="J48" i="23"/>
  <c r="M31" i="15"/>
  <c r="R33" i="15"/>
  <c r="M52" i="15"/>
  <c r="R54" i="15"/>
  <c r="M74" i="15"/>
  <c r="R76" i="15"/>
  <c r="AO12" i="23"/>
  <c r="R45" i="23"/>
  <c r="Z45" i="23"/>
  <c r="T45" i="23"/>
  <c r="AB45" i="23"/>
  <c r="AJ45" i="23"/>
  <c r="U45" i="23"/>
  <c r="P33" i="15"/>
  <c r="P54" i="15"/>
  <c r="P76" i="15"/>
  <c r="Q40" i="23"/>
  <c r="Y40" i="23"/>
  <c r="AG40" i="23"/>
  <c r="Z40" i="23"/>
  <c r="AH40" i="23"/>
  <c r="T40" i="23"/>
  <c r="AB40" i="23"/>
  <c r="I52" i="14"/>
  <c r="W38" i="22" s="1"/>
  <c r="X37" i="23" s="1"/>
  <c r="I101" i="14"/>
  <c r="AE38" i="22" s="1"/>
  <c r="AF37" i="23" s="1"/>
  <c r="I76" i="14"/>
  <c r="AM38" i="22" s="1"/>
  <c r="AN37" i="23" s="1"/>
  <c r="J37" i="23"/>
  <c r="N32" i="22"/>
  <c r="P32" i="23"/>
  <c r="H52" i="14"/>
  <c r="U33" i="15"/>
  <c r="H101" i="14"/>
  <c r="U54" i="15"/>
  <c r="H76" i="14"/>
  <c r="U76" i="15"/>
  <c r="J32" i="23"/>
  <c r="N25" i="22"/>
  <c r="O25" i="22"/>
  <c r="P26" i="23" s="1"/>
  <c r="J52" i="14"/>
  <c r="T33" i="15"/>
  <c r="J101" i="14"/>
  <c r="T54" i="15"/>
  <c r="J76" i="14"/>
  <c r="T76" i="15"/>
  <c r="J26" i="23"/>
  <c r="Q25" i="23"/>
  <c r="AG25" i="23"/>
  <c r="R25" i="23"/>
  <c r="AH25" i="23"/>
  <c r="AB25" i="23"/>
  <c r="AJ25" i="23"/>
  <c r="J20" i="23"/>
  <c r="J18" i="23"/>
  <c r="E28" i="15"/>
  <c r="H28" i="15"/>
  <c r="I28" i="15"/>
  <c r="G30" i="15"/>
  <c r="H35" i="15"/>
  <c r="E49" i="15"/>
  <c r="H49" i="15"/>
  <c r="I49" i="15"/>
  <c r="G51" i="15"/>
  <c r="H56" i="15"/>
  <c r="E71" i="15"/>
  <c r="H71" i="15"/>
  <c r="I71" i="15"/>
  <c r="G73" i="15"/>
  <c r="H78" i="15"/>
  <c r="H82" i="15"/>
  <c r="J16" i="23"/>
  <c r="T12" i="22"/>
  <c r="AB12" i="22"/>
  <c r="AJ12" i="22"/>
  <c r="AK16" i="23" s="1"/>
  <c r="J13" i="23"/>
  <c r="O12" i="23"/>
  <c r="P12" i="23"/>
  <c r="Y12" i="23"/>
  <c r="AG12" i="23"/>
  <c r="AH12" i="23"/>
  <c r="S12" i="23"/>
  <c r="T12" i="23"/>
  <c r="AJ12" i="23"/>
  <c r="AR12" i="23"/>
  <c r="C34" i="20"/>
  <c r="P100" i="23"/>
  <c r="Q100" i="23"/>
  <c r="R100" i="23"/>
  <c r="S100" i="23"/>
  <c r="T100" i="23"/>
  <c r="U100" i="23"/>
  <c r="Y100" i="23"/>
  <c r="Z100" i="23"/>
  <c r="AB100" i="23"/>
  <c r="AF100" i="23"/>
  <c r="AG100" i="23"/>
  <c r="AH100" i="23"/>
  <c r="AJ100" i="23"/>
  <c r="U91" i="22"/>
  <c r="U96" i="22"/>
  <c r="U100" i="22"/>
  <c r="O84" i="23"/>
  <c r="P84" i="23"/>
  <c r="Q84" i="23"/>
  <c r="R84" i="23"/>
  <c r="S84" i="23"/>
  <c r="T84" i="23"/>
  <c r="U84" i="23"/>
  <c r="U82" i="22"/>
  <c r="Y84" i="23"/>
  <c r="AB84" i="23"/>
  <c r="AG84" i="23"/>
  <c r="AJ84" i="23"/>
  <c r="U87" i="22"/>
  <c r="U54" i="22"/>
  <c r="P52" i="23"/>
  <c r="Q52" i="23"/>
  <c r="R52" i="23"/>
  <c r="S52" i="23"/>
  <c r="T52" i="23"/>
  <c r="U52" i="23"/>
  <c r="X52" i="23"/>
  <c r="Y52" i="23"/>
  <c r="Z52" i="23"/>
  <c r="AB52" i="23"/>
  <c r="AF52" i="23"/>
  <c r="AG52" i="23"/>
  <c r="AH52" i="23"/>
  <c r="AJ52" i="23"/>
  <c r="AN52" i="23"/>
  <c r="O53" i="23"/>
  <c r="P53" i="23"/>
  <c r="Q53" i="23"/>
  <c r="R53" i="23"/>
  <c r="S53" i="23"/>
  <c r="T53" i="23"/>
  <c r="U53" i="23"/>
  <c r="U59" i="22"/>
  <c r="F52" i="30" s="1"/>
  <c r="X53" i="23"/>
  <c r="Y53" i="23"/>
  <c r="Z53" i="23"/>
  <c r="AB53" i="23"/>
  <c r="AF53" i="23"/>
  <c r="AG53" i="23"/>
  <c r="AH53" i="23"/>
  <c r="AJ53" i="23"/>
  <c r="AN53" i="23"/>
  <c r="P55" i="23"/>
  <c r="Q55" i="23"/>
  <c r="R55" i="23"/>
  <c r="S55" i="23"/>
  <c r="T55" i="23"/>
  <c r="U55" i="23"/>
  <c r="U61" i="22"/>
  <c r="X55" i="23"/>
  <c r="Y55" i="23"/>
  <c r="Z55" i="23"/>
  <c r="AB55" i="23"/>
  <c r="AF55" i="23"/>
  <c r="AG55" i="23"/>
  <c r="AH55" i="23"/>
  <c r="AJ55" i="23"/>
  <c r="AN55" i="23"/>
  <c r="O56" i="23"/>
  <c r="P56" i="23"/>
  <c r="Q56" i="23"/>
  <c r="R56" i="23"/>
  <c r="S56" i="23"/>
  <c r="T56" i="23"/>
  <c r="U56" i="23"/>
  <c r="U63" i="22"/>
  <c r="F55" i="30" s="1"/>
  <c r="X56" i="23"/>
  <c r="Y56" i="23"/>
  <c r="Z56" i="23"/>
  <c r="AB56" i="23"/>
  <c r="AF56" i="23"/>
  <c r="AG56" i="23"/>
  <c r="AH56" i="23"/>
  <c r="AJ56" i="23"/>
  <c r="AN56" i="23"/>
  <c r="O57" i="23"/>
  <c r="P57" i="23"/>
  <c r="Q57" i="23"/>
  <c r="R57" i="23"/>
  <c r="S57" i="23"/>
  <c r="T57" i="23"/>
  <c r="U57" i="23"/>
  <c r="U65" i="22"/>
  <c r="Y57" i="23"/>
  <c r="Z57" i="23"/>
  <c r="AB57" i="23"/>
  <c r="AG57" i="23"/>
  <c r="AH57" i="23"/>
  <c r="AJ57" i="23"/>
  <c r="P67" i="23"/>
  <c r="Q67" i="23"/>
  <c r="R67" i="23"/>
  <c r="T67" i="23"/>
  <c r="U67" i="23"/>
  <c r="X67" i="23"/>
  <c r="Y67" i="23"/>
  <c r="Z67" i="23"/>
  <c r="AB67" i="23"/>
  <c r="AF67" i="23"/>
  <c r="AG67" i="23"/>
  <c r="AH67" i="23"/>
  <c r="AJ67" i="23"/>
  <c r="O79" i="23"/>
  <c r="P79" i="23"/>
  <c r="Q79" i="23"/>
  <c r="R79" i="23"/>
  <c r="S79" i="23"/>
  <c r="T79" i="23"/>
  <c r="U79" i="23"/>
  <c r="U74" i="22"/>
  <c r="X79" i="23"/>
  <c r="Y79" i="23"/>
  <c r="Z79" i="23"/>
  <c r="AB79" i="23"/>
  <c r="AF79" i="23"/>
  <c r="AG79" i="23"/>
  <c r="AH79" i="23"/>
  <c r="AJ79" i="23"/>
  <c r="AN79" i="23"/>
  <c r="P80" i="23"/>
  <c r="Q80" i="23"/>
  <c r="R80" i="23"/>
  <c r="S80" i="23"/>
  <c r="T80" i="23"/>
  <c r="U80" i="23"/>
  <c r="X80" i="23"/>
  <c r="Y80" i="23"/>
  <c r="Z80" i="23"/>
  <c r="AB80" i="23"/>
  <c r="AF80" i="23"/>
  <c r="AG80" i="23"/>
  <c r="AH80" i="23"/>
  <c r="AJ80" i="23"/>
  <c r="AN80" i="23"/>
  <c r="AG99" i="23"/>
  <c r="Y99" i="23"/>
  <c r="AB89" i="23"/>
  <c r="U18" i="22"/>
  <c r="U15" i="22"/>
  <c r="F17" i="30" s="1"/>
  <c r="P48" i="23"/>
  <c r="Q48" i="23"/>
  <c r="R48" i="23"/>
  <c r="S48" i="23"/>
  <c r="T48" i="23"/>
  <c r="U48" i="23"/>
  <c r="U51" i="22"/>
  <c r="Y48" i="23"/>
  <c r="Z48" i="23"/>
  <c r="AB48" i="23"/>
  <c r="AG48" i="23"/>
  <c r="AH48" i="23"/>
  <c r="AJ48" i="23"/>
  <c r="O46" i="23"/>
  <c r="Q46" i="23"/>
  <c r="R46" i="23"/>
  <c r="T46" i="23"/>
  <c r="U46" i="23"/>
  <c r="Z46" i="23"/>
  <c r="AB46" i="23"/>
  <c r="AH46" i="23"/>
  <c r="AJ46" i="23"/>
  <c r="O41" i="23"/>
  <c r="P41" i="23"/>
  <c r="Q41" i="23"/>
  <c r="R41" i="23"/>
  <c r="T41" i="23"/>
  <c r="U41" i="23"/>
  <c r="Y41" i="23"/>
  <c r="Z41" i="23"/>
  <c r="AB41" i="23"/>
  <c r="AG41" i="23"/>
  <c r="AH41" i="23"/>
  <c r="AJ41" i="23"/>
  <c r="Q37" i="23"/>
  <c r="R37" i="23"/>
  <c r="S37" i="23"/>
  <c r="T37" i="23"/>
  <c r="Y37" i="23"/>
  <c r="Z37" i="23"/>
  <c r="AB37" i="23"/>
  <c r="AG37" i="23"/>
  <c r="AH37" i="23"/>
  <c r="AJ37" i="23"/>
  <c r="U25" i="22"/>
  <c r="O20" i="23"/>
  <c r="Q20" i="23"/>
  <c r="R20" i="23"/>
  <c r="S20" i="23"/>
  <c r="T20" i="23"/>
  <c r="U20" i="23"/>
  <c r="X20" i="23"/>
  <c r="Y20" i="23"/>
  <c r="Z20" i="23"/>
  <c r="AB20" i="23"/>
  <c r="AF20" i="23"/>
  <c r="AG20" i="23"/>
  <c r="AH20" i="23"/>
  <c r="AJ20" i="23"/>
  <c r="AN20" i="23"/>
  <c r="O18" i="23"/>
  <c r="P18" i="23"/>
  <c r="Q18" i="23"/>
  <c r="R18" i="23"/>
  <c r="S18" i="23"/>
  <c r="T18" i="23"/>
  <c r="U18" i="23"/>
  <c r="X18" i="23"/>
  <c r="Y18" i="23"/>
  <c r="Z18" i="23"/>
  <c r="AB18" i="23"/>
  <c r="AF18" i="23"/>
  <c r="AG18" i="23"/>
  <c r="AH18" i="23"/>
  <c r="AJ18" i="23"/>
  <c r="AN18" i="23"/>
  <c r="O16" i="23"/>
  <c r="P16" i="23"/>
  <c r="Q16" i="23"/>
  <c r="R16" i="23"/>
  <c r="S16" i="23"/>
  <c r="T16" i="23"/>
  <c r="U16" i="23"/>
  <c r="W16" i="23"/>
  <c r="Y16" i="23"/>
  <c r="Z16" i="23"/>
  <c r="AA16" i="23"/>
  <c r="AB16" i="23"/>
  <c r="AC16" i="23"/>
  <c r="AE16" i="23"/>
  <c r="AG16" i="23"/>
  <c r="AH16" i="23"/>
  <c r="AI16" i="23"/>
  <c r="AJ16" i="23"/>
  <c r="AM16" i="23"/>
  <c r="O13" i="23"/>
  <c r="P13" i="23"/>
  <c r="Q13" i="23"/>
  <c r="R13" i="23"/>
  <c r="S13" i="23"/>
  <c r="T13" i="23"/>
  <c r="U13" i="23"/>
  <c r="X13" i="23"/>
  <c r="Y13" i="23"/>
  <c r="Z13" i="23"/>
  <c r="AB13" i="23"/>
  <c r="AF13" i="23"/>
  <c r="AG13" i="23"/>
  <c r="AH13" i="23"/>
  <c r="AJ13" i="23"/>
  <c r="AN13" i="23"/>
  <c r="F49" i="15"/>
  <c r="B38" i="20"/>
  <c r="E67" i="15"/>
  <c r="F67" i="15" s="1"/>
  <c r="E45" i="15"/>
  <c r="E59" i="15" s="1"/>
  <c r="E24" i="15"/>
  <c r="F24" i="15"/>
  <c r="AT6" i="22"/>
  <c r="AT5" i="22" s="1"/>
  <c r="AU6" i="22"/>
  <c r="U8" i="22"/>
  <c r="U9" i="22"/>
  <c r="U10" i="22"/>
  <c r="U11" i="22"/>
  <c r="U13" i="22"/>
  <c r="U14" i="22"/>
  <c r="U16" i="22"/>
  <c r="U19" i="22"/>
  <c r="U20" i="22"/>
  <c r="U21" i="22"/>
  <c r="U22" i="22"/>
  <c r="U23" i="22"/>
  <c r="U26" i="22"/>
  <c r="U28" i="22"/>
  <c r="U30" i="22"/>
  <c r="U29" i="22"/>
  <c r="U27" i="22"/>
  <c r="U31" i="22"/>
  <c r="U33" i="22"/>
  <c r="U39" i="22"/>
  <c r="U40" i="22"/>
  <c r="U44" i="22"/>
  <c r="U45" i="22"/>
  <c r="U46" i="22"/>
  <c r="U50" i="22"/>
  <c r="U52" i="22"/>
  <c r="U53" i="22"/>
  <c r="U55" i="22"/>
  <c r="U58" i="22"/>
  <c r="U60" i="22"/>
  <c r="U62" i="22"/>
  <c r="U64" i="22"/>
  <c r="U66" i="22"/>
  <c r="U68" i="22"/>
  <c r="U73" i="22"/>
  <c r="U75" i="22"/>
  <c r="U77" i="22"/>
  <c r="U80" i="22"/>
  <c r="U83" i="22"/>
  <c r="U85" i="22"/>
  <c r="U88" i="22"/>
  <c r="U92" i="22"/>
  <c r="U97" i="22"/>
  <c r="U101" i="22"/>
  <c r="U109" i="22"/>
  <c r="D25" i="15"/>
  <c r="D26" i="15"/>
  <c r="D27" i="15"/>
  <c r="D28" i="15"/>
  <c r="M116" i="22"/>
  <c r="AU109" i="22"/>
  <c r="AT109" i="22"/>
  <c r="AU101" i="22"/>
  <c r="AT101" i="22"/>
  <c r="AU97" i="22"/>
  <c r="AT97" i="22"/>
  <c r="AU92" i="22"/>
  <c r="AT92" i="22"/>
  <c r="AU88" i="22"/>
  <c r="AT88" i="22"/>
  <c r="AU85" i="22"/>
  <c r="AT85" i="22"/>
  <c r="AU83" i="22"/>
  <c r="AT83" i="22"/>
  <c r="AU80" i="22"/>
  <c r="AT80" i="22"/>
  <c r="AU77" i="22"/>
  <c r="AT77" i="22"/>
  <c r="AU75" i="22"/>
  <c r="AT75" i="22"/>
  <c r="AU73" i="22"/>
  <c r="AT73" i="22"/>
  <c r="AU68" i="22"/>
  <c r="AT68" i="22"/>
  <c r="AU66" i="22"/>
  <c r="AT66" i="22"/>
  <c r="AU64" i="22"/>
  <c r="AT64" i="22"/>
  <c r="AU62" i="22"/>
  <c r="AT62" i="22"/>
  <c r="AU60" i="22"/>
  <c r="AT60" i="22"/>
  <c r="AU58" i="22"/>
  <c r="AT58" i="22"/>
  <c r="AU55" i="22"/>
  <c r="AT55" i="22"/>
  <c r="AU52" i="22"/>
  <c r="AT52" i="22"/>
  <c r="AU50" i="22"/>
  <c r="AT50" i="22"/>
  <c r="AU44" i="22"/>
  <c r="AT44" i="22"/>
  <c r="AU39" i="22"/>
  <c r="AT39" i="22"/>
  <c r="AU33" i="22"/>
  <c r="AT33" i="22"/>
  <c r="AU26" i="22"/>
  <c r="AT26" i="22"/>
  <c r="AU19" i="22"/>
  <c r="AT19" i="22"/>
  <c r="AU16" i="22"/>
  <c r="AT16" i="22"/>
  <c r="AU13" i="22"/>
  <c r="AT13" i="22"/>
  <c r="AU8" i="22"/>
  <c r="AT8" i="22"/>
  <c r="AT116" i="22" s="1"/>
  <c r="C82" i="15"/>
  <c r="D71" i="15"/>
  <c r="D70" i="15"/>
  <c r="D69" i="15"/>
  <c r="D68" i="15"/>
  <c r="C59" i="15"/>
  <c r="I59" i="15"/>
  <c r="D49" i="15"/>
  <c r="D48" i="15"/>
  <c r="D47" i="15"/>
  <c r="D46" i="15"/>
  <c r="C37" i="15"/>
  <c r="D101" i="14"/>
  <c r="C101" i="14"/>
  <c r="M100" i="14"/>
  <c r="E100" i="14"/>
  <c r="M99" i="14"/>
  <c r="E99" i="14"/>
  <c r="M98" i="14"/>
  <c r="E98" i="14"/>
  <c r="M97" i="14"/>
  <c r="E97" i="14"/>
  <c r="M96" i="14"/>
  <c r="E96" i="14"/>
  <c r="M95" i="14"/>
  <c r="E95" i="14"/>
  <c r="M94" i="14"/>
  <c r="E94" i="14"/>
  <c r="M93" i="14"/>
  <c r="E93" i="14"/>
  <c r="M92" i="14"/>
  <c r="E92" i="14"/>
  <c r="M91" i="14"/>
  <c r="E91" i="14"/>
  <c r="M90" i="14"/>
  <c r="E90" i="14"/>
  <c r="M89" i="14"/>
  <c r="E89" i="14"/>
  <c r="M88" i="14"/>
  <c r="E88" i="14"/>
  <c r="M87" i="14"/>
  <c r="E87" i="14"/>
  <c r="M86" i="14"/>
  <c r="E86" i="14"/>
  <c r="M85" i="14"/>
  <c r="E85" i="14"/>
  <c r="M84" i="14"/>
  <c r="E84" i="14"/>
  <c r="M83" i="14"/>
  <c r="E83" i="14"/>
  <c r="M82" i="14"/>
  <c r="E82" i="14"/>
  <c r="E101" i="14"/>
  <c r="D76" i="14"/>
  <c r="C76" i="14"/>
  <c r="M75" i="14"/>
  <c r="E75" i="14"/>
  <c r="M74" i="14"/>
  <c r="E74" i="14"/>
  <c r="M73" i="14"/>
  <c r="E73" i="14"/>
  <c r="M72" i="14"/>
  <c r="E72" i="14"/>
  <c r="M71" i="14"/>
  <c r="E71" i="14"/>
  <c r="M70" i="14"/>
  <c r="E70" i="14"/>
  <c r="M69" i="14"/>
  <c r="E69" i="14"/>
  <c r="M68" i="14"/>
  <c r="E68" i="14"/>
  <c r="M67" i="14"/>
  <c r="E67" i="14"/>
  <c r="M66" i="14"/>
  <c r="E66" i="14"/>
  <c r="M65" i="14"/>
  <c r="E65" i="14"/>
  <c r="M64" i="14"/>
  <c r="E64" i="14"/>
  <c r="M63" i="14"/>
  <c r="E63" i="14"/>
  <c r="M62" i="14"/>
  <c r="E62" i="14"/>
  <c r="M61" i="14"/>
  <c r="E61" i="14"/>
  <c r="M60" i="14"/>
  <c r="E60" i="14"/>
  <c r="M59" i="14"/>
  <c r="E59" i="14"/>
  <c r="M58" i="14"/>
  <c r="E58" i="14"/>
  <c r="M57" i="14"/>
  <c r="M76" i="14" s="1"/>
  <c r="E57" i="14"/>
  <c r="D52" i="14"/>
  <c r="C52" i="14"/>
  <c r="M51" i="14"/>
  <c r="E51" i="14"/>
  <c r="M50" i="14"/>
  <c r="E50" i="14"/>
  <c r="M49" i="14"/>
  <c r="E49" i="14"/>
  <c r="M48" i="14"/>
  <c r="E48" i="14"/>
  <c r="M47" i="14"/>
  <c r="E47" i="14"/>
  <c r="M46" i="14"/>
  <c r="E46" i="14"/>
  <c r="M45" i="14"/>
  <c r="E45" i="14"/>
  <c r="M44" i="14"/>
  <c r="E44" i="14"/>
  <c r="M43" i="14"/>
  <c r="E43" i="14"/>
  <c r="M42" i="14"/>
  <c r="E42" i="14"/>
  <c r="M41" i="14"/>
  <c r="E41" i="14"/>
  <c r="M40" i="14"/>
  <c r="E40" i="14"/>
  <c r="M39" i="14"/>
  <c r="E39" i="14"/>
  <c r="M38" i="14"/>
  <c r="E38" i="14"/>
  <c r="M37" i="14"/>
  <c r="E37" i="14"/>
  <c r="M36" i="14"/>
  <c r="E36" i="14"/>
  <c r="M35" i="14"/>
  <c r="E35" i="14"/>
  <c r="M34" i="14"/>
  <c r="E34" i="14"/>
  <c r="M33" i="14"/>
  <c r="M52" i="14" s="1"/>
  <c r="E33" i="14"/>
  <c r="D59" i="15"/>
  <c r="D34" i="20"/>
  <c r="E34" i="20"/>
  <c r="F34" i="20"/>
  <c r="G34" i="20"/>
  <c r="H34" i="20"/>
  <c r="I34" i="20"/>
  <c r="J26" i="14"/>
  <c r="I25" i="14"/>
  <c r="I27" i="14"/>
  <c r="H25" i="14"/>
  <c r="N32" i="21"/>
  <c r="N10" i="21"/>
  <c r="J7" i="20"/>
  <c r="J8" i="20"/>
  <c r="J20" i="20"/>
  <c r="J26" i="20"/>
  <c r="J28" i="20"/>
  <c r="J5" i="20"/>
  <c r="J32" i="20"/>
  <c r="N50" i="21"/>
  <c r="N71" i="21"/>
  <c r="O71" i="21" s="1"/>
  <c r="J29" i="20"/>
  <c r="N65" i="21"/>
  <c r="J12" i="20"/>
  <c r="J10" i="20"/>
  <c r="J6" i="20"/>
  <c r="J9" i="20"/>
  <c r="J11" i="20"/>
  <c r="J13" i="20"/>
  <c r="J14" i="20"/>
  <c r="J15" i="20"/>
  <c r="J16" i="20"/>
  <c r="J17" i="20"/>
  <c r="J18" i="20"/>
  <c r="J19" i="20"/>
  <c r="J21" i="20"/>
  <c r="J22" i="20"/>
  <c r="J23" i="20"/>
  <c r="J24" i="20"/>
  <c r="J25" i="20"/>
  <c r="J27" i="20"/>
  <c r="J30" i="20"/>
  <c r="J31" i="20"/>
  <c r="K311" i="21"/>
  <c r="L310" i="21" s="1"/>
  <c r="K446" i="21"/>
  <c r="L441" i="21"/>
  <c r="L430" i="21"/>
  <c r="M429" i="21" s="1"/>
  <c r="L427" i="21"/>
  <c r="M424" i="21" s="1"/>
  <c r="L425" i="21"/>
  <c r="L421" i="21"/>
  <c r="L419" i="21"/>
  <c r="L417" i="21"/>
  <c r="L414" i="21"/>
  <c r="M413" i="21"/>
  <c r="L409" i="21"/>
  <c r="L406" i="21"/>
  <c r="M405" i="21" s="1"/>
  <c r="L403" i="21"/>
  <c r="M402" i="21" s="1"/>
  <c r="L400" i="21"/>
  <c r="M399" i="21" s="1"/>
  <c r="L396" i="21"/>
  <c r="L392" i="21"/>
  <c r="M391" i="21" s="1"/>
  <c r="L389" i="21"/>
  <c r="L386" i="21"/>
  <c r="L383" i="21"/>
  <c r="L375" i="21"/>
  <c r="L355" i="21"/>
  <c r="L333" i="21"/>
  <c r="L324" i="21"/>
  <c r="L319" i="21"/>
  <c r="L317" i="21"/>
  <c r="K435" i="21"/>
  <c r="L308" i="21"/>
  <c r="L302" i="21"/>
  <c r="L299" i="21"/>
  <c r="L291" i="21"/>
  <c r="L288" i="21"/>
  <c r="L280" i="21"/>
  <c r="L278" i="21"/>
  <c r="L276" i="21"/>
  <c r="L274" i="21"/>
  <c r="L272" i="21"/>
  <c r="L270" i="21"/>
  <c r="L268" i="21"/>
  <c r="L266" i="21"/>
  <c r="L264" i="21"/>
  <c r="L262" i="21"/>
  <c r="L260" i="21"/>
  <c r="L258" i="21"/>
  <c r="L256" i="21"/>
  <c r="L254" i="21"/>
  <c r="L252" i="21"/>
  <c r="L250" i="21"/>
  <c r="L248" i="21"/>
  <c r="L246" i="21"/>
  <c r="L244" i="21"/>
  <c r="L242" i="21"/>
  <c r="L240" i="21"/>
  <c r="L238" i="21"/>
  <c r="L236" i="21"/>
  <c r="L234" i="21"/>
  <c r="L232" i="21"/>
  <c r="L230" i="21"/>
  <c r="L228" i="21"/>
  <c r="L226" i="21"/>
  <c r="L224" i="21"/>
  <c r="L222" i="21"/>
  <c r="L220" i="21"/>
  <c r="L218" i="21"/>
  <c r="L216" i="21"/>
  <c r="L214" i="21"/>
  <c r="L212" i="21"/>
  <c r="L210" i="21"/>
  <c r="L208" i="21"/>
  <c r="L206" i="21"/>
  <c r="L204" i="21"/>
  <c r="L202" i="21"/>
  <c r="L200" i="21"/>
  <c r="L184" i="21"/>
  <c r="M183" i="21" s="1"/>
  <c r="L181" i="21"/>
  <c r="L177" i="21"/>
  <c r="L169" i="21"/>
  <c r="L165" i="21"/>
  <c r="L158" i="21"/>
  <c r="L151" i="21"/>
  <c r="L127" i="21"/>
  <c r="L124" i="21"/>
  <c r="L115" i="21"/>
  <c r="M114" i="21" s="1"/>
  <c r="L110" i="21"/>
  <c r="L103" i="21"/>
  <c r="L98" i="21"/>
  <c r="L95" i="21"/>
  <c r="L90" i="21"/>
  <c r="L84" i="21"/>
  <c r="L81" i="21"/>
  <c r="O81" i="21" s="1"/>
  <c r="L74" i="21"/>
  <c r="L72" i="21"/>
  <c r="L66" i="21"/>
  <c r="L58" i="21"/>
  <c r="L51" i="21"/>
  <c r="L48" i="21"/>
  <c r="L44" i="21"/>
  <c r="L42" i="21"/>
  <c r="L33" i="21"/>
  <c r="L26" i="21"/>
  <c r="L22" i="21"/>
  <c r="L15" i="21"/>
  <c r="L11" i="21"/>
  <c r="M354" i="21"/>
  <c r="N354" i="21" s="1"/>
  <c r="B34" i="20"/>
  <c r="Q21" i="11"/>
  <c r="D73" i="11"/>
  <c r="D55" i="11"/>
  <c r="O17" i="16"/>
  <c r="P6" i="16"/>
  <c r="Q6" i="16" s="1"/>
  <c r="P7" i="16"/>
  <c r="Q7" i="16" s="1"/>
  <c r="P8" i="16"/>
  <c r="Q8" i="16" s="1"/>
  <c r="P9" i="16"/>
  <c r="Q9" i="16"/>
  <c r="P10" i="16"/>
  <c r="Q10" i="16" s="1"/>
  <c r="P11" i="16"/>
  <c r="Q11" i="16" s="1"/>
  <c r="P12" i="16"/>
  <c r="Q12" i="16" s="1"/>
  <c r="P13" i="16"/>
  <c r="Q13" i="16"/>
  <c r="P14" i="16"/>
  <c r="Q14" i="16" s="1"/>
  <c r="P15" i="16"/>
  <c r="Q15" i="16" s="1"/>
  <c r="P16" i="16"/>
  <c r="Q16" i="16" s="1"/>
  <c r="F17" i="16"/>
  <c r="I17" i="16"/>
  <c r="J17" i="16"/>
  <c r="L17" i="16"/>
  <c r="M17" i="16"/>
  <c r="C17" i="16"/>
  <c r="E5" i="16"/>
  <c r="E17" i="16" s="1"/>
  <c r="D4" i="16"/>
  <c r="D17" i="16" s="1"/>
  <c r="C17" i="15"/>
  <c r="U13" i="15"/>
  <c r="S15" i="15"/>
  <c r="T15" i="15"/>
  <c r="U16" i="15"/>
  <c r="R14" i="15"/>
  <c r="R17" i="15" s="1"/>
  <c r="Q14" i="15"/>
  <c r="Q17" i="15" s="1"/>
  <c r="P14" i="15"/>
  <c r="P17" i="15" s="1"/>
  <c r="O14" i="15"/>
  <c r="O17" i="15" s="1"/>
  <c r="N14" i="15"/>
  <c r="N17" i="15" s="1"/>
  <c r="L14" i="15"/>
  <c r="L17" i="15" s="1"/>
  <c r="M14" i="15"/>
  <c r="H17" i="16"/>
  <c r="G17" i="16"/>
  <c r="K12" i="15"/>
  <c r="K17" i="15" s="1"/>
  <c r="J12" i="15"/>
  <c r="J17" i="15" s="1"/>
  <c r="I12" i="15"/>
  <c r="I17" i="15"/>
  <c r="D17" i="15"/>
  <c r="E17" i="15"/>
  <c r="F17" i="15"/>
  <c r="G17" i="15"/>
  <c r="H17" i="15"/>
  <c r="U6" i="15"/>
  <c r="U7" i="15"/>
  <c r="V7" i="15"/>
  <c r="U8" i="15"/>
  <c r="V8" i="15" s="1"/>
  <c r="U9" i="15"/>
  <c r="V9" i="15" s="1"/>
  <c r="U10" i="15"/>
  <c r="V10" i="15" s="1"/>
  <c r="U11" i="15"/>
  <c r="U5" i="15"/>
  <c r="V5" i="15" s="1"/>
  <c r="J25" i="14"/>
  <c r="K25" i="14"/>
  <c r="L25" i="14"/>
  <c r="M7" i="14"/>
  <c r="N7" i="14" s="1"/>
  <c r="M8" i="14"/>
  <c r="M25" i="14" s="1"/>
  <c r="M9" i="14"/>
  <c r="N9" i="14"/>
  <c r="M10" i="14"/>
  <c r="N10" i="14"/>
  <c r="M11" i="14"/>
  <c r="N11" i="14"/>
  <c r="M12" i="14"/>
  <c r="N12" i="14"/>
  <c r="M13" i="14"/>
  <c r="N13" i="14"/>
  <c r="M14" i="14"/>
  <c r="N14" i="14"/>
  <c r="M15" i="14"/>
  <c r="N15" i="14"/>
  <c r="M16" i="14"/>
  <c r="N16" i="14"/>
  <c r="M17" i="14"/>
  <c r="N17" i="14"/>
  <c r="M18" i="14"/>
  <c r="N18" i="14"/>
  <c r="M19" i="14"/>
  <c r="N19" i="14"/>
  <c r="M20" i="14"/>
  <c r="N20" i="14"/>
  <c r="M21" i="14"/>
  <c r="N21" i="14"/>
  <c r="M22" i="14"/>
  <c r="N22" i="14"/>
  <c r="M23" i="14"/>
  <c r="N23" i="14"/>
  <c r="M24" i="14"/>
  <c r="N24" i="14"/>
  <c r="M6" i="14"/>
  <c r="N6" i="14" s="1"/>
  <c r="C25" i="14"/>
  <c r="D25" i="14"/>
  <c r="E7" i="14"/>
  <c r="E8" i="14"/>
  <c r="E9" i="14"/>
  <c r="E10" i="14"/>
  <c r="E11" i="14"/>
  <c r="E12" i="14"/>
  <c r="E13" i="14"/>
  <c r="E14" i="14"/>
  <c r="E15" i="14"/>
  <c r="E16" i="14"/>
  <c r="E17" i="14"/>
  <c r="E18" i="14"/>
  <c r="E19" i="14"/>
  <c r="E20" i="14"/>
  <c r="E21" i="14"/>
  <c r="E22" i="14"/>
  <c r="E23" i="14"/>
  <c r="E24" i="14"/>
  <c r="E6" i="14"/>
  <c r="N8" i="14"/>
  <c r="P4" i="16"/>
  <c r="Q4" i="16" s="1"/>
  <c r="AN100" i="23"/>
  <c r="Z84" i="23"/>
  <c r="AA98" i="23"/>
  <c r="AQ98" i="23"/>
  <c r="W98" i="23"/>
  <c r="AC98" i="23"/>
  <c r="W41" i="23"/>
  <c r="AM98" i="23"/>
  <c r="W84" i="23"/>
  <c r="AI98" i="23"/>
  <c r="AI84" i="23"/>
  <c r="AK98" i="23"/>
  <c r="AE84" i="23"/>
  <c r="AA84" i="23"/>
  <c r="AS98" i="23"/>
  <c r="AU5" i="22"/>
  <c r="Q99" i="23"/>
  <c r="S25" i="23"/>
  <c r="T89" i="23"/>
  <c r="Z89" i="23"/>
  <c r="J89" i="23"/>
  <c r="AC84" i="23"/>
  <c r="AE98" i="23"/>
  <c r="W40" i="23"/>
  <c r="S46" i="23"/>
  <c r="Y25" i="23"/>
  <c r="AK84" i="23"/>
  <c r="M17" i="15"/>
  <c r="U14" i="15"/>
  <c r="T17" i="15"/>
  <c r="V6" i="15"/>
  <c r="N33" i="21"/>
  <c r="Q12" i="23"/>
  <c r="F71" i="15"/>
  <c r="I82" i="15"/>
  <c r="P5" i="16"/>
  <c r="Q5" i="16" s="1"/>
  <c r="O32" i="23"/>
  <c r="U32" i="22"/>
  <c r="X100" i="23"/>
  <c r="P46" i="23"/>
  <c r="M80" i="21"/>
  <c r="R12" i="23"/>
  <c r="Z25" i="23"/>
  <c r="T81" i="23"/>
  <c r="Y81" i="23"/>
  <c r="N24" i="15"/>
  <c r="N37" i="15"/>
  <c r="O24" i="15"/>
  <c r="O37" i="15"/>
  <c r="M24" i="15"/>
  <c r="M37" i="15" s="1"/>
  <c r="D37" i="15"/>
  <c r="V48" i="15"/>
  <c r="V59" i="15"/>
  <c r="AE91" i="22" s="1"/>
  <c r="S48" i="15"/>
  <c r="S59" i="15"/>
  <c r="T48" i="15"/>
  <c r="T59" i="15"/>
  <c r="J25" i="23"/>
  <c r="T25" i="23"/>
  <c r="O26" i="23"/>
  <c r="O67" i="23"/>
  <c r="F25" i="15"/>
  <c r="L25" i="15" s="1"/>
  <c r="L37" i="15" s="1"/>
  <c r="E37" i="15"/>
  <c r="G28" i="15"/>
  <c r="G37" i="15" s="1"/>
  <c r="H37" i="15"/>
  <c r="J40" i="23"/>
  <c r="AJ40" i="23"/>
  <c r="K69" i="15"/>
  <c r="K82" i="15" s="1"/>
  <c r="P90" i="23"/>
  <c r="M59" i="15"/>
  <c r="O90" i="23"/>
  <c r="N199" i="21"/>
  <c r="AF90" i="23"/>
  <c r="P40" i="23"/>
  <c r="S41" i="23"/>
  <c r="U43" i="22"/>
  <c r="S40" i="23"/>
  <c r="J58" i="23"/>
  <c r="J80" i="23"/>
  <c r="K26" i="15" l="1"/>
  <c r="K37" i="15" s="1"/>
  <c r="J26" i="15"/>
  <c r="J37" i="15" s="1"/>
  <c r="W84" i="22" s="1"/>
  <c r="W12" i="22"/>
  <c r="X16" i="23" s="1"/>
  <c r="Q17" i="16"/>
  <c r="M164" i="21"/>
  <c r="M416" i="21"/>
  <c r="AU116" i="22"/>
  <c r="V56" i="23"/>
  <c r="V53" i="23"/>
  <c r="H59" i="15"/>
  <c r="X72" i="15"/>
  <c r="X82" i="15" s="1"/>
  <c r="W59" i="15"/>
  <c r="J82" i="15"/>
  <c r="O106" i="25"/>
  <c r="O102" i="25"/>
  <c r="O95" i="25"/>
  <c r="O91" i="25"/>
  <c r="O88" i="25"/>
  <c r="O77" i="25"/>
  <c r="O73" i="25"/>
  <c r="O69" i="25"/>
  <c r="O64" i="25"/>
  <c r="O61" i="25"/>
  <c r="O60" i="25"/>
  <c r="O54" i="25"/>
  <c r="O49" i="25"/>
  <c r="O42" i="25"/>
  <c r="O36" i="25"/>
  <c r="O35" i="25"/>
  <c r="O30" i="25"/>
  <c r="O28" i="25"/>
  <c r="O24" i="25"/>
  <c r="O19" i="25"/>
  <c r="N11" i="23"/>
  <c r="AH65" i="22"/>
  <c r="AI57" i="23" s="1"/>
  <c r="AH76" i="22"/>
  <c r="AH7" i="22"/>
  <c r="AH49" i="22"/>
  <c r="AH79" i="22"/>
  <c r="AH25" i="22"/>
  <c r="M316" i="21"/>
  <c r="E52" i="14"/>
  <c r="E76" i="14"/>
  <c r="M101" i="14"/>
  <c r="AE82" i="22"/>
  <c r="AF84" i="23" s="1"/>
  <c r="J48" i="22"/>
  <c r="H90" i="22"/>
  <c r="G6" i="22"/>
  <c r="G107" i="22"/>
  <c r="G24" i="22"/>
  <c r="L19" i="18"/>
  <c r="K29" i="28"/>
  <c r="AM84" i="22"/>
  <c r="AN85" i="23" s="1"/>
  <c r="P70" i="15"/>
  <c r="P82" i="15" s="1"/>
  <c r="AM43" i="22" s="1"/>
  <c r="S70" i="15"/>
  <c r="S82" i="15" s="1"/>
  <c r="AM82" i="22" s="1"/>
  <c r="AN84" i="23" s="1"/>
  <c r="V70" i="15"/>
  <c r="V82" i="15" s="1"/>
  <c r="AM91" i="22" s="1"/>
  <c r="AN90" i="23" s="1"/>
  <c r="Q70" i="15"/>
  <c r="Q82" i="15" s="1"/>
  <c r="AM79" i="22" s="1"/>
  <c r="AM78" i="22" s="1"/>
  <c r="AN81" i="23" s="1"/>
  <c r="T70" i="15"/>
  <c r="T82" i="15" s="1"/>
  <c r="R70" i="15"/>
  <c r="R82" i="15" s="1"/>
  <c r="U70" i="15"/>
  <c r="U82" i="15" s="1"/>
  <c r="AM32" i="22" s="1"/>
  <c r="AN32" i="23" s="1"/>
  <c r="X85" i="23"/>
  <c r="F54" i="30"/>
  <c r="V55" i="23"/>
  <c r="N78" i="22"/>
  <c r="O81" i="23" s="1"/>
  <c r="O82" i="23"/>
  <c r="U49" i="22"/>
  <c r="O119" i="22"/>
  <c r="I41" i="25"/>
  <c r="N41" i="25" s="1"/>
  <c r="J41" i="23"/>
  <c r="J57" i="23"/>
  <c r="I57" i="25"/>
  <c r="N57" i="25" s="1"/>
  <c r="I90" i="25"/>
  <c r="N90" i="25" s="1"/>
  <c r="J90" i="23"/>
  <c r="H13" i="23"/>
  <c r="G13" i="25"/>
  <c r="H25" i="23"/>
  <c r="G25" i="25"/>
  <c r="G53" i="23"/>
  <c r="F53" i="25"/>
  <c r="F55" i="23"/>
  <c r="E55" i="25"/>
  <c r="M55" i="25" s="1"/>
  <c r="F58" i="23"/>
  <c r="E58" i="25"/>
  <c r="M58" i="25" s="1"/>
  <c r="E87" i="25"/>
  <c r="M87" i="25" s="1"/>
  <c r="F87" i="23"/>
  <c r="F28" i="15"/>
  <c r="F37" i="15" s="1"/>
  <c r="I37" i="15"/>
  <c r="W29" i="15"/>
  <c r="W37" i="15" s="1"/>
  <c r="W65" i="22" s="1"/>
  <c r="X29" i="15"/>
  <c r="X37" i="15" s="1"/>
  <c r="P27" i="15"/>
  <c r="P37" i="15" s="1"/>
  <c r="W43" i="22" s="1"/>
  <c r="U27" i="15"/>
  <c r="U37" i="15" s="1"/>
  <c r="W32" i="22" s="1"/>
  <c r="T27" i="15"/>
  <c r="T37" i="15" s="1"/>
  <c r="Q27" i="15"/>
  <c r="Q37" i="15" s="1"/>
  <c r="W79" i="22" s="1"/>
  <c r="V13" i="23"/>
  <c r="F12" i="30"/>
  <c r="N80" i="21"/>
  <c r="P17" i="16"/>
  <c r="W49" i="22"/>
  <c r="X46" i="23" s="1"/>
  <c r="V32" i="23"/>
  <c r="F31" i="30"/>
  <c r="E25" i="14"/>
  <c r="M123" i="21"/>
  <c r="N123" i="21" s="1"/>
  <c r="V48" i="23"/>
  <c r="F47" i="30"/>
  <c r="V20" i="23"/>
  <c r="F19" i="30"/>
  <c r="V79" i="23"/>
  <c r="F78" i="30"/>
  <c r="V57" i="23"/>
  <c r="F56" i="30"/>
  <c r="V87" i="23"/>
  <c r="F86" i="30"/>
  <c r="V90" i="23"/>
  <c r="F89" i="30"/>
  <c r="G49" i="15"/>
  <c r="G59" i="15" s="1"/>
  <c r="M67" i="15"/>
  <c r="M82" i="15" s="1"/>
  <c r="AM49" i="22" s="1"/>
  <c r="AN46" i="23" s="1"/>
  <c r="O67" i="15"/>
  <c r="O82" i="15" s="1"/>
  <c r="D82" i="15"/>
  <c r="P48" i="15"/>
  <c r="P59" i="15" s="1"/>
  <c r="AE43" i="22" s="1"/>
  <c r="U48" i="15"/>
  <c r="U59" i="15" s="1"/>
  <c r="AE32" i="22" s="1"/>
  <c r="R48" i="15"/>
  <c r="R59" i="15" s="1"/>
  <c r="AE49" i="22" s="1"/>
  <c r="O78" i="25"/>
  <c r="O65" i="25"/>
  <c r="O31" i="25"/>
  <c r="O14" i="25"/>
  <c r="I52" i="25"/>
  <c r="N52" i="25" s="1"/>
  <c r="I82" i="25"/>
  <c r="N82" i="25" s="1"/>
  <c r="I46" i="25"/>
  <c r="N46" i="25" s="1"/>
  <c r="J46" i="23"/>
  <c r="I53" i="25"/>
  <c r="N53" i="25" s="1"/>
  <c r="J53" i="23"/>
  <c r="I84" i="25"/>
  <c r="N84" i="25" s="1"/>
  <c r="J84" i="23"/>
  <c r="U84" i="22"/>
  <c r="W25" i="22"/>
  <c r="X26" i="23" s="1"/>
  <c r="W51" i="22"/>
  <c r="X48" i="23" s="1"/>
  <c r="AM65" i="22"/>
  <c r="AN57" i="23" s="1"/>
  <c r="AE65" i="22"/>
  <c r="AF57" i="23" s="1"/>
  <c r="Q48" i="15"/>
  <c r="Q59" i="15" s="1"/>
  <c r="AE79" i="22" s="1"/>
  <c r="AF82" i="23" s="1"/>
  <c r="J59" i="15"/>
  <c r="N108" i="22"/>
  <c r="J33" i="20"/>
  <c r="J34" i="20" s="1"/>
  <c r="J36" i="20" s="1"/>
  <c r="M53" i="25"/>
  <c r="G50" i="25"/>
  <c r="G41" i="25"/>
  <c r="H57" i="23"/>
  <c r="V41" i="23"/>
  <c r="F40" i="30"/>
  <c r="U12" i="15"/>
  <c r="S17" i="15"/>
  <c r="U15" i="15"/>
  <c r="J99" i="23"/>
  <c r="L434" i="21"/>
  <c r="M298" i="21"/>
  <c r="N298" i="21" s="1"/>
  <c r="E82" i="15"/>
  <c r="F45" i="15"/>
  <c r="F59" i="15" s="1"/>
  <c r="V26" i="23"/>
  <c r="F25" i="30"/>
  <c r="G71" i="15"/>
  <c r="G82" i="15" s="1"/>
  <c r="AM12" i="22" s="1"/>
  <c r="F82" i="15"/>
  <c r="AE25" i="22"/>
  <c r="AF26" i="23" s="1"/>
  <c r="O45" i="15"/>
  <c r="O59" i="15" s="1"/>
  <c r="N48" i="22"/>
  <c r="O45" i="23" s="1"/>
  <c r="O48" i="23"/>
  <c r="U57" i="22"/>
  <c r="O52" i="23"/>
  <c r="U76" i="22"/>
  <c r="O80" i="23"/>
  <c r="S27" i="15"/>
  <c r="S37" i="15" s="1"/>
  <c r="W82" i="22" s="1"/>
  <c r="K59" i="15"/>
  <c r="V27" i="15"/>
  <c r="V37" i="15" s="1"/>
  <c r="W91" i="22" s="1"/>
  <c r="W107" i="22"/>
  <c r="X99" i="23" s="1"/>
  <c r="F108" i="22"/>
  <c r="G52" i="25"/>
  <c r="I16" i="23"/>
  <c r="H16" i="25"/>
  <c r="H18" i="23"/>
  <c r="G18" i="25"/>
  <c r="M18" i="25" s="1"/>
  <c r="F20" i="23"/>
  <c r="E20" i="25"/>
  <c r="M20" i="25" s="1"/>
  <c r="H79" i="23"/>
  <c r="G79" i="25"/>
  <c r="M79" i="25" s="1"/>
  <c r="G80" i="23"/>
  <c r="F80" i="25"/>
  <c r="M80" i="25" s="1"/>
  <c r="H93" i="23"/>
  <c r="G93" i="25"/>
  <c r="M93" i="25" s="1"/>
  <c r="I98" i="23"/>
  <c r="H98" i="25"/>
  <c r="L98" i="25" s="1"/>
  <c r="J78" i="22"/>
  <c r="AB81" i="23"/>
  <c r="AA5" i="22"/>
  <c r="AB11" i="23" s="1"/>
  <c r="J6" i="22"/>
  <c r="AB12" i="23"/>
  <c r="H48" i="22"/>
  <c r="H45" i="23" s="1"/>
  <c r="AH45" i="23"/>
  <c r="H107" i="22"/>
  <c r="R99" i="23"/>
  <c r="H42" i="22"/>
  <c r="R40" i="23"/>
  <c r="H89" i="23"/>
  <c r="G89" i="25"/>
  <c r="H6" i="22"/>
  <c r="Z12" i="23"/>
  <c r="G90" i="22"/>
  <c r="AG89" i="23"/>
  <c r="G12" i="23"/>
  <c r="F12" i="25"/>
  <c r="G99" i="23"/>
  <c r="F99" i="25"/>
  <c r="G25" i="23"/>
  <c r="F25" i="25"/>
  <c r="V84" i="23"/>
  <c r="F83" i="30"/>
  <c r="V98" i="23"/>
  <c r="F97" i="30"/>
  <c r="AM25" i="22"/>
  <c r="AE51" i="22"/>
  <c r="AF48" i="23" s="1"/>
  <c r="F72" i="22"/>
  <c r="O103" i="25"/>
  <c r="O96" i="25"/>
  <c r="O74" i="25"/>
  <c r="O70" i="25"/>
  <c r="O51" i="25"/>
  <c r="O43" i="25"/>
  <c r="O27" i="25"/>
  <c r="O21" i="25"/>
  <c r="AI5" i="22"/>
  <c r="AJ11" i="23" s="1"/>
  <c r="O48" i="22"/>
  <c r="P45" i="23" s="1"/>
  <c r="G26" i="23"/>
  <c r="V50" i="23"/>
  <c r="F49" i="30"/>
  <c r="V93" i="23"/>
  <c r="F92" i="30"/>
  <c r="T6" i="22"/>
  <c r="U12" i="23" s="1"/>
  <c r="K12" i="22"/>
  <c r="U12" i="22"/>
  <c r="AM51" i="22"/>
  <c r="AN48" i="23" s="1"/>
  <c r="T78" i="22"/>
  <c r="U81" i="23" s="1"/>
  <c r="O78" i="22"/>
  <c r="P81" i="23" s="1"/>
  <c r="O104" i="25"/>
  <c r="O75" i="25"/>
  <c r="N90" i="22"/>
  <c r="F107" i="22"/>
  <c r="G82" i="25"/>
  <c r="M56" i="25"/>
  <c r="E50" i="25"/>
  <c r="M50" i="25" s="1"/>
  <c r="G37" i="25"/>
  <c r="E13" i="25"/>
  <c r="M13" i="25" s="1"/>
  <c r="G16" i="23"/>
  <c r="F16" i="25"/>
  <c r="G32" i="23"/>
  <c r="F32" i="25"/>
  <c r="M121" i="11"/>
  <c r="L84" i="25"/>
  <c r="M52" i="25"/>
  <c r="H48" i="23"/>
  <c r="G48" i="25"/>
  <c r="S5" i="22"/>
  <c r="T11" i="23" s="1"/>
  <c r="M37" i="11"/>
  <c r="M55" i="11" s="1"/>
  <c r="H55" i="11"/>
  <c r="C12" i="18" s="1"/>
  <c r="M155" i="11"/>
  <c r="M158" i="11" s="1"/>
  <c r="H158" i="11"/>
  <c r="F41" i="25"/>
  <c r="M153" i="11"/>
  <c r="Q24" i="11"/>
  <c r="H94" i="11"/>
  <c r="N75" i="11"/>
  <c r="N87" i="11" s="1"/>
  <c r="I87" i="11"/>
  <c r="Q5" i="22"/>
  <c r="R11" i="23" s="1"/>
  <c r="AE90" i="22"/>
  <c r="AF89" i="23" s="1"/>
  <c r="C35" i="11"/>
  <c r="I31" i="11"/>
  <c r="AQ5" i="22"/>
  <c r="AR11" i="23" s="1"/>
  <c r="W90" i="22"/>
  <c r="X89" i="23" s="1"/>
  <c r="N61" i="11"/>
  <c r="N73" i="11" s="1"/>
  <c r="J73" i="11"/>
  <c r="J162" i="11" s="1"/>
  <c r="Q28" i="11"/>
  <c r="Q20" i="11"/>
  <c r="Q14" i="11"/>
  <c r="U42" i="22"/>
  <c r="U6" i="22"/>
  <c r="V18" i="23"/>
  <c r="P5" i="22"/>
  <c r="Q11" i="23" s="1"/>
  <c r="G45" i="25"/>
  <c r="L29" i="18"/>
  <c r="P18" i="18"/>
  <c r="L39" i="18"/>
  <c r="H75" i="11"/>
  <c r="H87" i="11" s="1"/>
  <c r="C87" i="11"/>
  <c r="C164" i="11" s="1"/>
  <c r="Q32" i="11"/>
  <c r="AF98" i="23"/>
  <c r="AK100" i="22"/>
  <c r="Q27" i="11"/>
  <c r="Q23" i="11"/>
  <c r="Q19" i="11"/>
  <c r="Q15" i="11"/>
  <c r="C14" i="28"/>
  <c r="G14" i="28" s="1"/>
  <c r="O14" i="28" s="1"/>
  <c r="Q29" i="11"/>
  <c r="Q30" i="11"/>
  <c r="Q22" i="11"/>
  <c r="Q18" i="11"/>
  <c r="H31" i="11"/>
  <c r="M31" i="11" s="1"/>
  <c r="Q31" i="11" s="1"/>
  <c r="D162" i="11"/>
  <c r="D163" i="11" s="1"/>
  <c r="M75" i="11"/>
  <c r="M87" i="11" s="1"/>
  <c r="C162" i="11"/>
  <c r="C163" i="11" s="1"/>
  <c r="Q25" i="11"/>
  <c r="E14" i="18"/>
  <c r="M90" i="11"/>
  <c r="M94" i="11" s="1"/>
  <c r="L163" i="11"/>
  <c r="A122" i="11"/>
  <c r="T38" i="22"/>
  <c r="U37" i="23" s="1"/>
  <c r="E162" i="11"/>
  <c r="E163" i="11" s="1"/>
  <c r="K164" i="11"/>
  <c r="W48" i="22"/>
  <c r="X45" i="23" s="1"/>
  <c r="F51" i="22"/>
  <c r="E48" i="25" s="1"/>
  <c r="M48" i="25" s="1"/>
  <c r="AN26" i="23"/>
  <c r="D12" i="28"/>
  <c r="L12" i="28" s="1"/>
  <c r="AC100" i="22"/>
  <c r="X98" i="23"/>
  <c r="E164" i="11"/>
  <c r="K163" i="11"/>
  <c r="E12" i="28"/>
  <c r="L164" i="11"/>
  <c r="D164" i="11"/>
  <c r="F100" i="22"/>
  <c r="F98" i="23" s="1"/>
  <c r="M98" i="23" s="1"/>
  <c r="V7" i="22"/>
  <c r="W13" i="23" s="1"/>
  <c r="V25" i="22"/>
  <c r="V57" i="22"/>
  <c r="W52" i="23" s="1"/>
  <c r="V67" i="22"/>
  <c r="W58" i="23" s="1"/>
  <c r="V84" i="22"/>
  <c r="W85" i="23" s="1"/>
  <c r="V15" i="22"/>
  <c r="W18" i="23" s="1"/>
  <c r="V51" i="22"/>
  <c r="W48" i="23" s="1"/>
  <c r="V65" i="22"/>
  <c r="W57" i="23" s="1"/>
  <c r="V79" i="22"/>
  <c r="W82" i="23" s="1"/>
  <c r="V108" i="22"/>
  <c r="W100" i="23" s="1"/>
  <c r="M11" i="18"/>
  <c r="V49" i="22"/>
  <c r="W46" i="23" s="1"/>
  <c r="V61" i="22"/>
  <c r="W55" i="23" s="1"/>
  <c r="V76" i="22"/>
  <c r="W80" i="23" s="1"/>
  <c r="V96" i="22"/>
  <c r="V38" i="22"/>
  <c r="W37" i="23" s="1"/>
  <c r="V59" i="22"/>
  <c r="V72" i="22"/>
  <c r="W67" i="23" s="1"/>
  <c r="V91" i="22"/>
  <c r="W90" i="23" s="1"/>
  <c r="AD18" i="22"/>
  <c r="AE20" i="23" s="1"/>
  <c r="AD57" i="22"/>
  <c r="AE52" i="23" s="1"/>
  <c r="AD76" i="22"/>
  <c r="AE80" i="23" s="1"/>
  <c r="N11" i="18"/>
  <c r="AD49" i="22"/>
  <c r="AE46" i="23" s="1"/>
  <c r="AD67" i="22"/>
  <c r="AE58" i="23" s="1"/>
  <c r="AD96" i="22"/>
  <c r="AD43" i="22"/>
  <c r="AD65" i="22"/>
  <c r="AE57" i="23" s="1"/>
  <c r="AD91" i="22"/>
  <c r="AE90" i="23" s="1"/>
  <c r="AD25" i="22"/>
  <c r="AE26" i="23" s="1"/>
  <c r="AD59" i="22"/>
  <c r="AE53" i="23" s="1"/>
  <c r="AD79" i="22"/>
  <c r="AE82" i="23" s="1"/>
  <c r="C13" i="28"/>
  <c r="G13" i="28" s="1"/>
  <c r="C13" i="18"/>
  <c r="J164" i="11"/>
  <c r="J163" i="11"/>
  <c r="E12" i="18"/>
  <c r="AL25" i="22"/>
  <c r="AM26" i="23" s="1"/>
  <c r="AL49" i="22"/>
  <c r="AM46" i="23" s="1"/>
  <c r="AL59" i="22"/>
  <c r="AM53" i="23" s="1"/>
  <c r="AL67" i="22"/>
  <c r="AM58" i="23" s="1"/>
  <c r="AL79" i="22"/>
  <c r="AM82" i="23" s="1"/>
  <c r="AL96" i="22"/>
  <c r="AM93" i="23" s="1"/>
  <c r="AL15" i="22"/>
  <c r="AM18" i="23" s="1"/>
  <c r="AL43" i="22"/>
  <c r="AM41" i="23" s="1"/>
  <c r="AL57" i="22"/>
  <c r="AM52" i="23" s="1"/>
  <c r="AL65" i="22"/>
  <c r="AM57" i="23" s="1"/>
  <c r="AL76" i="22"/>
  <c r="AM80" i="23" s="1"/>
  <c r="AL91" i="22"/>
  <c r="AL18" i="22"/>
  <c r="AM20" i="23" s="1"/>
  <c r="AL38" i="22"/>
  <c r="AM37" i="23" s="1"/>
  <c r="AL54" i="22"/>
  <c r="AM50" i="23" s="1"/>
  <c r="AL63" i="22"/>
  <c r="AM56" i="23" s="1"/>
  <c r="AL74" i="22"/>
  <c r="AM79" i="23" s="1"/>
  <c r="AL87" i="22"/>
  <c r="AM87" i="23" s="1"/>
  <c r="AL7" i="22"/>
  <c r="AM13" i="23" s="1"/>
  <c r="AL32" i="22"/>
  <c r="AM32" i="23" s="1"/>
  <c r="AL51" i="22"/>
  <c r="AM48" i="23" s="1"/>
  <c r="AL61" i="22"/>
  <c r="AM55" i="23" s="1"/>
  <c r="AL72" i="22"/>
  <c r="AM67" i="23" s="1"/>
  <c r="AL84" i="22"/>
  <c r="AM85" i="23" s="1"/>
  <c r="AL108" i="22"/>
  <c r="O11" i="18"/>
  <c r="C15" i="18"/>
  <c r="C15" i="28"/>
  <c r="K15" i="28" s="1"/>
  <c r="J5" i="22"/>
  <c r="F38" i="22"/>
  <c r="G12" i="18"/>
  <c r="O12" i="18" s="1"/>
  <c r="G15" i="18"/>
  <c r="E15" i="18"/>
  <c r="G13" i="18"/>
  <c r="D11" i="28"/>
  <c r="L11" i="28" s="1"/>
  <c r="E15" i="28"/>
  <c r="M15" i="28" s="1"/>
  <c r="F14" i="18"/>
  <c r="E11" i="28"/>
  <c r="M11" i="28" s="1"/>
  <c r="C16" i="18"/>
  <c r="G14" i="18"/>
  <c r="E13" i="18"/>
  <c r="X49" i="22" s="1"/>
  <c r="F11" i="28"/>
  <c r="N11" i="28" s="1"/>
  <c r="F13" i="18"/>
  <c r="V87" i="22"/>
  <c r="W87" i="23" s="1"/>
  <c r="V74" i="22"/>
  <c r="W79" i="23" s="1"/>
  <c r="V63" i="22"/>
  <c r="W56" i="23" s="1"/>
  <c r="V54" i="22"/>
  <c r="W50" i="23" s="1"/>
  <c r="V32" i="22"/>
  <c r="W32" i="23" s="1"/>
  <c r="L100" i="22"/>
  <c r="E97" i="30" s="1"/>
  <c r="F79" i="22"/>
  <c r="X82" i="23"/>
  <c r="W26" i="23"/>
  <c r="AM90" i="22"/>
  <c r="AN89" i="23" s="1"/>
  <c r="AH87" i="22"/>
  <c r="AI87" i="23" s="1"/>
  <c r="AI26" i="23"/>
  <c r="AD108" i="22"/>
  <c r="AD84" i="22"/>
  <c r="AD72" i="22"/>
  <c r="AD61" i="22"/>
  <c r="AD51" i="22"/>
  <c r="AD32" i="22"/>
  <c r="AN82" i="23"/>
  <c r="AS100" i="22"/>
  <c r="AE93" i="23"/>
  <c r="W24" i="22"/>
  <c r="X25" i="23" s="1"/>
  <c r="AH108" i="22"/>
  <c r="AH107" i="22" s="1"/>
  <c r="AI99" i="23" s="1"/>
  <c r="AH57" i="22"/>
  <c r="AD87" i="22"/>
  <c r="AE87" i="23" s="1"/>
  <c r="AD74" i="22"/>
  <c r="AD63" i="22"/>
  <c r="AD54" i="22"/>
  <c r="AD38" i="22"/>
  <c r="AE37" i="23" s="1"/>
  <c r="M58" i="11"/>
  <c r="M73" i="11" s="1"/>
  <c r="W6" i="22"/>
  <c r="AC12" i="22"/>
  <c r="AI13" i="23"/>
  <c r="AH32" i="22"/>
  <c r="AI32" i="23" s="1"/>
  <c r="AH59" i="22"/>
  <c r="AH67" i="22"/>
  <c r="AI58" i="23" s="1"/>
  <c r="AH18" i="22"/>
  <c r="AI20" i="23" s="1"/>
  <c r="AH38" i="22"/>
  <c r="AH51" i="22"/>
  <c r="AI48" i="23" s="1"/>
  <c r="AH61" i="22"/>
  <c r="AI55" i="23" s="1"/>
  <c r="AH72" i="22"/>
  <c r="AI67" i="23" s="1"/>
  <c r="AH91" i="22"/>
  <c r="N15" i="18"/>
  <c r="AH15" i="22"/>
  <c r="AH43" i="22"/>
  <c r="AH54" i="22"/>
  <c r="AI50" i="23" s="1"/>
  <c r="AH63" i="22"/>
  <c r="AI56" i="23" s="1"/>
  <c r="AH74" i="22"/>
  <c r="AI79" i="23" s="1"/>
  <c r="AH84" i="22"/>
  <c r="AI85" i="23" s="1"/>
  <c r="AH96" i="22"/>
  <c r="Z108" i="22"/>
  <c r="Z84" i="22"/>
  <c r="Z72" i="22"/>
  <c r="Z61" i="22"/>
  <c r="Z51" i="22"/>
  <c r="Z32" i="22"/>
  <c r="AA32" i="23" s="1"/>
  <c r="V18" i="22"/>
  <c r="AD7" i="22"/>
  <c r="AE13" i="23" s="1"/>
  <c r="AM48" i="22"/>
  <c r="AN45" i="23" s="1"/>
  <c r="T24" i="22"/>
  <c r="AM24" i="22"/>
  <c r="Y78" i="22"/>
  <c r="F16" i="18"/>
  <c r="V107" i="22"/>
  <c r="N24" i="22"/>
  <c r="E16" i="18"/>
  <c r="D16" i="28"/>
  <c r="K14" i="28"/>
  <c r="F12" i="28"/>
  <c r="F16" i="28"/>
  <c r="N16" i="28" s="1"/>
  <c r="G16" i="18"/>
  <c r="F12" i="18"/>
  <c r="M12" i="28"/>
  <c r="AD15" i="22"/>
  <c r="Z79" i="22" l="1"/>
  <c r="Z49" i="22"/>
  <c r="Z25" i="22"/>
  <c r="Z76" i="22"/>
  <c r="Z7" i="22"/>
  <c r="AE84" i="22"/>
  <c r="AP43" i="22"/>
  <c r="AP25" i="22"/>
  <c r="AP79" i="22"/>
  <c r="AP49" i="22"/>
  <c r="AP76" i="22"/>
  <c r="AP7" i="22"/>
  <c r="Q13" i="11"/>
  <c r="U17" i="15"/>
  <c r="I45" i="25"/>
  <c r="N45" i="25" s="1"/>
  <c r="J45" i="23"/>
  <c r="AF32" i="23"/>
  <c r="AE24" i="22"/>
  <c r="AF25" i="23" s="1"/>
  <c r="X84" i="23"/>
  <c r="AC82" i="22"/>
  <c r="F82" i="22"/>
  <c r="W78" i="22"/>
  <c r="AF46" i="23"/>
  <c r="AE48" i="22"/>
  <c r="AF45" i="23" s="1"/>
  <c r="F49" i="22"/>
  <c r="I16" i="18"/>
  <c r="M12" i="18"/>
  <c r="I12" i="18"/>
  <c r="L46" i="18" s="1"/>
  <c r="AD98" i="23"/>
  <c r="G97" i="30"/>
  <c r="M14" i="18"/>
  <c r="I14" i="18"/>
  <c r="D13" i="18"/>
  <c r="I13" i="18" s="1"/>
  <c r="M35" i="11"/>
  <c r="M162" i="11" s="1"/>
  <c r="O12" i="11" s="1"/>
  <c r="F99" i="23"/>
  <c r="E99" i="25"/>
  <c r="V16" i="23"/>
  <c r="F15" i="30"/>
  <c r="F25" i="22"/>
  <c r="G89" i="23"/>
  <c r="F89" i="25"/>
  <c r="H99" i="23"/>
  <c r="G99" i="25"/>
  <c r="I12" i="25"/>
  <c r="N12" i="25" s="1"/>
  <c r="J12" i="23"/>
  <c r="V85" i="23"/>
  <c r="F84" i="30"/>
  <c r="AE42" i="22"/>
  <c r="AF40" i="23" s="1"/>
  <c r="AF41" i="23"/>
  <c r="AE12" i="22"/>
  <c r="G61" i="15"/>
  <c r="F43" i="22"/>
  <c r="X41" i="23"/>
  <c r="W42" i="22"/>
  <c r="C20" i="15"/>
  <c r="L16" i="18"/>
  <c r="H16" i="18"/>
  <c r="U72" i="22"/>
  <c r="H15" i="18"/>
  <c r="V12" i="23"/>
  <c r="F11" i="30"/>
  <c r="O89" i="23"/>
  <c r="U90" i="22"/>
  <c r="K16" i="23"/>
  <c r="J16" i="25"/>
  <c r="L16" i="25" s="1"/>
  <c r="F100" i="23"/>
  <c r="E100" i="25"/>
  <c r="M100" i="25" s="1"/>
  <c r="V52" i="23"/>
  <c r="F51" i="30"/>
  <c r="L443" i="21"/>
  <c r="N443" i="21" s="1"/>
  <c r="N107" i="22"/>
  <c r="U108" i="22"/>
  <c r="O100" i="23"/>
  <c r="AM42" i="22"/>
  <c r="AN40" i="23" s="1"/>
  <c r="AN41" i="23"/>
  <c r="AD16" i="23"/>
  <c r="G15" i="30"/>
  <c r="V40" i="23"/>
  <c r="F39" i="30"/>
  <c r="F67" i="23"/>
  <c r="E67" i="25"/>
  <c r="M67" i="25" s="1"/>
  <c r="H12" i="23"/>
  <c r="G12" i="25"/>
  <c r="G40" i="25"/>
  <c r="H40" i="23"/>
  <c r="F65" i="22"/>
  <c r="X57" i="23"/>
  <c r="V46" i="23"/>
  <c r="F45" i="30"/>
  <c r="F84" i="22"/>
  <c r="M434" i="21"/>
  <c r="M436" i="21" s="1"/>
  <c r="AT98" i="23"/>
  <c r="I97" i="30"/>
  <c r="AA46" i="23"/>
  <c r="I15" i="18"/>
  <c r="L48" i="18" s="1"/>
  <c r="L13" i="18"/>
  <c r="H13" i="18"/>
  <c r="AL98" i="23"/>
  <c r="H97" i="30"/>
  <c r="N31" i="11"/>
  <c r="N35" i="11" s="1"/>
  <c r="N164" i="11" s="1"/>
  <c r="I35" i="11"/>
  <c r="D11" i="18" s="1"/>
  <c r="H35" i="11"/>
  <c r="H162" i="11" s="1"/>
  <c r="H163" i="11" s="1"/>
  <c r="I81" i="25"/>
  <c r="N81" i="25" s="1"/>
  <c r="J81" i="23"/>
  <c r="F91" i="22"/>
  <c r="X90" i="23"/>
  <c r="V80" i="23"/>
  <c r="F79" i="30"/>
  <c r="AM6" i="22"/>
  <c r="AN12" i="23" s="1"/>
  <c r="AS12" i="22"/>
  <c r="AN16" i="23"/>
  <c r="F32" i="22"/>
  <c r="X32" i="23"/>
  <c r="E98" i="25"/>
  <c r="M98" i="25" s="1"/>
  <c r="O98" i="25" s="1"/>
  <c r="C14" i="18"/>
  <c r="H14" i="18" s="1"/>
  <c r="AQ82" i="23"/>
  <c r="K13" i="28"/>
  <c r="AP32" i="22"/>
  <c r="AQ32" i="23" s="1"/>
  <c r="AP38" i="22"/>
  <c r="AQ37" i="23" s="1"/>
  <c r="M13" i="18"/>
  <c r="E25" i="22"/>
  <c r="E26" i="23" s="1"/>
  <c r="AL6" i="22"/>
  <c r="AM12" i="23" s="1"/>
  <c r="V6" i="22"/>
  <c r="W12" i="23" s="1"/>
  <c r="E43" i="22"/>
  <c r="D41" i="25" s="1"/>
  <c r="E17" i="28"/>
  <c r="E49" i="22"/>
  <c r="E46" i="23" s="1"/>
  <c r="V90" i="22"/>
  <c r="W89" i="23" s="1"/>
  <c r="AL24" i="22"/>
  <c r="AM25" i="23" s="1"/>
  <c r="Z15" i="22"/>
  <c r="AA18" i="23" s="1"/>
  <c r="Z43" i="22"/>
  <c r="I43" i="22" s="1"/>
  <c r="AP87" i="22"/>
  <c r="AQ87" i="23" s="1"/>
  <c r="Z59" i="22"/>
  <c r="AA53" i="23" s="1"/>
  <c r="Z18" i="22"/>
  <c r="AA20" i="23" s="1"/>
  <c r="AA82" i="23"/>
  <c r="F48" i="23"/>
  <c r="E108" i="22"/>
  <c r="E100" i="23" s="1"/>
  <c r="Z91" i="22"/>
  <c r="AA90" i="23" s="1"/>
  <c r="Z65" i="22"/>
  <c r="AA57" i="23" s="1"/>
  <c r="AD24" i="22"/>
  <c r="AE25" i="23" s="1"/>
  <c r="Z87" i="22"/>
  <c r="AA87" i="23" s="1"/>
  <c r="AP18" i="22"/>
  <c r="AQ20" i="23" s="1"/>
  <c r="AP74" i="22"/>
  <c r="AQ79" i="23" s="1"/>
  <c r="AL78" i="22"/>
  <c r="AM81" i="23" s="1"/>
  <c r="E67" i="22"/>
  <c r="D58" i="25" s="1"/>
  <c r="AP65" i="22"/>
  <c r="AQ57" i="23" s="1"/>
  <c r="E91" i="22"/>
  <c r="E90" i="23" s="1"/>
  <c r="G15" i="28"/>
  <c r="K28" i="28" s="1"/>
  <c r="G17" i="18"/>
  <c r="G20" i="18" s="1"/>
  <c r="O20" i="18" s="1"/>
  <c r="E84" i="22"/>
  <c r="AP61" i="22"/>
  <c r="AQ55" i="23" s="1"/>
  <c r="AP63" i="22"/>
  <c r="AQ56" i="23" s="1"/>
  <c r="E87" i="22"/>
  <c r="D87" i="25" s="1"/>
  <c r="E57" i="22"/>
  <c r="AP51" i="22"/>
  <c r="AQ48" i="23" s="1"/>
  <c r="AP54" i="22"/>
  <c r="AQ50" i="23" s="1"/>
  <c r="AL42" i="22"/>
  <c r="AM40" i="23" s="1"/>
  <c r="E79" i="22"/>
  <c r="D82" i="25" s="1"/>
  <c r="AP108" i="22"/>
  <c r="AP107" i="22" s="1"/>
  <c r="AQ99" i="23" s="1"/>
  <c r="H164" i="11"/>
  <c r="F90" i="22"/>
  <c r="E89" i="25" s="1"/>
  <c r="AL48" i="22"/>
  <c r="AM45" i="23" s="1"/>
  <c r="Z38" i="22"/>
  <c r="AA37" i="23" s="1"/>
  <c r="AP42" i="22"/>
  <c r="AQ40" i="23" s="1"/>
  <c r="AQ41" i="23"/>
  <c r="Z74" i="22"/>
  <c r="AA79" i="23" s="1"/>
  <c r="AD90" i="22"/>
  <c r="AE89" i="23" s="1"/>
  <c r="V78" i="22"/>
  <c r="W81" i="23" s="1"/>
  <c r="AD48" i="22"/>
  <c r="E59" i="22"/>
  <c r="E53" i="23" s="1"/>
  <c r="AN49" i="22"/>
  <c r="O13" i="18"/>
  <c r="O24" i="22"/>
  <c r="U24" i="22" s="1"/>
  <c r="U38" i="22"/>
  <c r="P37" i="23"/>
  <c r="AD42" i="22"/>
  <c r="AE40" i="23" s="1"/>
  <c r="AE41" i="23"/>
  <c r="I108" i="22"/>
  <c r="H100" i="25" s="1"/>
  <c r="AI100" i="23"/>
  <c r="W53" i="23"/>
  <c r="E65" i="22"/>
  <c r="S67" i="23"/>
  <c r="V24" i="22"/>
  <c r="W25" i="23" s="1"/>
  <c r="Z63" i="22"/>
  <c r="AA56" i="23" s="1"/>
  <c r="AF49" i="22"/>
  <c r="N13" i="18"/>
  <c r="L15" i="18"/>
  <c r="AO82" i="22"/>
  <c r="O14" i="18"/>
  <c r="AQ13" i="23"/>
  <c r="AQ46" i="23"/>
  <c r="AP72" i="22"/>
  <c r="AQ67" i="23" s="1"/>
  <c r="AP96" i="22"/>
  <c r="AQ93" i="23" s="1"/>
  <c r="AQ26" i="23"/>
  <c r="AP67" i="22"/>
  <c r="AQ58" i="23" s="1"/>
  <c r="AP91" i="22"/>
  <c r="I91" i="22" s="1"/>
  <c r="AP15" i="22"/>
  <c r="AQ18" i="23" s="1"/>
  <c r="AP59" i="22"/>
  <c r="AQ53" i="23" s="1"/>
  <c r="AP84" i="22"/>
  <c r="AQ85" i="23" s="1"/>
  <c r="AP57" i="22"/>
  <c r="AQ52" i="23" s="1"/>
  <c r="AQ80" i="23"/>
  <c r="O15" i="18"/>
  <c r="AL90" i="22"/>
  <c r="AM90" i="23"/>
  <c r="L28" i="18"/>
  <c r="AG82" i="22"/>
  <c r="N14" i="18"/>
  <c r="AA13" i="23"/>
  <c r="Z57" i="22"/>
  <c r="AA52" i="23" s="1"/>
  <c r="M15" i="18"/>
  <c r="Z54" i="22"/>
  <c r="AA50" i="23" s="1"/>
  <c r="Z96" i="22"/>
  <c r="AA93" i="23" s="1"/>
  <c r="AA26" i="23"/>
  <c r="AA80" i="23"/>
  <c r="Z67" i="22"/>
  <c r="AA58" i="23" s="1"/>
  <c r="I11" i="26"/>
  <c r="N11" i="26" s="1"/>
  <c r="I11" i="25"/>
  <c r="J11" i="23"/>
  <c r="AL107" i="22"/>
  <c r="AM99" i="23" s="1"/>
  <c r="AM100" i="23"/>
  <c r="E96" i="22"/>
  <c r="W93" i="23"/>
  <c r="P13" i="18"/>
  <c r="E76" i="22"/>
  <c r="V48" i="22"/>
  <c r="W45" i="23" s="1"/>
  <c r="AI80" i="23"/>
  <c r="AE56" i="23"/>
  <c r="E63" i="22"/>
  <c r="E72" i="22"/>
  <c r="AE67" i="23"/>
  <c r="D26" i="25"/>
  <c r="C12" i="28"/>
  <c r="G12" i="28" s="1"/>
  <c r="L98" i="23"/>
  <c r="K98" i="25"/>
  <c r="P98" i="25" s="1"/>
  <c r="E54" i="22"/>
  <c r="AE50" i="23"/>
  <c r="E61" i="22"/>
  <c r="AE55" i="23"/>
  <c r="E46" i="25"/>
  <c r="F46" i="23"/>
  <c r="E51" i="22"/>
  <c r="AE48" i="23"/>
  <c r="AD107" i="22"/>
  <c r="AE99" i="23" s="1"/>
  <c r="AE100" i="23"/>
  <c r="E38" i="22"/>
  <c r="AE79" i="23"/>
  <c r="E74" i="22"/>
  <c r="E32" i="22"/>
  <c r="AE32" i="23"/>
  <c r="AD78" i="22"/>
  <c r="AE81" i="23" s="1"/>
  <c r="AE85" i="23"/>
  <c r="E82" i="25"/>
  <c r="M82" i="25" s="1"/>
  <c r="F82" i="23"/>
  <c r="AI52" i="23"/>
  <c r="AA85" i="23"/>
  <c r="I32" i="22"/>
  <c r="H32" i="25" s="1"/>
  <c r="G16" i="28"/>
  <c r="O16" i="28" s="1"/>
  <c r="AA48" i="23"/>
  <c r="Z107" i="22"/>
  <c r="AA100" i="23"/>
  <c r="Q54" i="11"/>
  <c r="Q55" i="11" s="1"/>
  <c r="M164" i="11"/>
  <c r="T15" i="11"/>
  <c r="X48" i="22"/>
  <c r="Y46" i="23"/>
  <c r="I18" i="22"/>
  <c r="E18" i="22"/>
  <c r="W20" i="23"/>
  <c r="I61" i="22"/>
  <c r="AA55" i="23"/>
  <c r="AI93" i="23"/>
  <c r="AH90" i="22"/>
  <c r="AI89" i="23" s="1"/>
  <c r="AI90" i="23"/>
  <c r="AI53" i="23"/>
  <c r="D52" i="25"/>
  <c r="E52" i="23"/>
  <c r="X12" i="23"/>
  <c r="AH6" i="22"/>
  <c r="AI18" i="23"/>
  <c r="AA67" i="23"/>
  <c r="AH42" i="22"/>
  <c r="AI41" i="23"/>
  <c r="AH78" i="22"/>
  <c r="AI81" i="23" s="1"/>
  <c r="AI82" i="23"/>
  <c r="AH24" i="22"/>
  <c r="AI25" i="23" s="1"/>
  <c r="AI37" i="23"/>
  <c r="AH48" i="22"/>
  <c r="AI45" i="23" s="1"/>
  <c r="AI46" i="23"/>
  <c r="F37" i="23"/>
  <c r="E37" i="25"/>
  <c r="M37" i="25" s="1"/>
  <c r="E7" i="22"/>
  <c r="F48" i="22"/>
  <c r="O15" i="28"/>
  <c r="K38" i="28"/>
  <c r="N12" i="18"/>
  <c r="F17" i="18"/>
  <c r="N12" i="28"/>
  <c r="F17" i="28"/>
  <c r="M17" i="28"/>
  <c r="E20" i="28"/>
  <c r="M20" i="28" s="1"/>
  <c r="D85" i="25"/>
  <c r="E85" i="23"/>
  <c r="N5" i="22"/>
  <c r="O25" i="23"/>
  <c r="AJ7" i="22"/>
  <c r="AJ25" i="22"/>
  <c r="AJ43" i="22"/>
  <c r="AJ54" i="22"/>
  <c r="AJ63" i="22"/>
  <c r="AJ74" i="22"/>
  <c r="AJ84" i="22"/>
  <c r="AJ96" i="22"/>
  <c r="AJ18" i="22"/>
  <c r="AJ32" i="22"/>
  <c r="AJ57" i="22"/>
  <c r="AJ65" i="22"/>
  <c r="AJ76" i="22"/>
  <c r="AJ87" i="22"/>
  <c r="AJ15" i="22"/>
  <c r="AK18" i="23" s="1"/>
  <c r="AJ38" i="22"/>
  <c r="AJ49" i="22"/>
  <c r="AJ59" i="22"/>
  <c r="AJ67" i="22"/>
  <c r="AJ108" i="22"/>
  <c r="AJ72" i="22"/>
  <c r="N16" i="18"/>
  <c r="AJ79" i="22"/>
  <c r="AJ51" i="22"/>
  <c r="AJ91" i="22"/>
  <c r="AJ61" i="22"/>
  <c r="F24" i="22"/>
  <c r="AN25" i="23"/>
  <c r="AE45" i="23"/>
  <c r="I100" i="23"/>
  <c r="L14" i="18"/>
  <c r="AM5" i="22"/>
  <c r="AN11" i="23" s="1"/>
  <c r="E15" i="22"/>
  <c r="AE18" i="23"/>
  <c r="AR15" i="22"/>
  <c r="AR38" i="22"/>
  <c r="AR49" i="22"/>
  <c r="AR59" i="22"/>
  <c r="AR67" i="22"/>
  <c r="AR108" i="22"/>
  <c r="AR51" i="22"/>
  <c r="AR61" i="22"/>
  <c r="AR72" i="22"/>
  <c r="AR79" i="22"/>
  <c r="AR91" i="22"/>
  <c r="AR7" i="22"/>
  <c r="AR25" i="22"/>
  <c r="AR43" i="22"/>
  <c r="AR54" i="22"/>
  <c r="AR63" i="22"/>
  <c r="AR74" i="22"/>
  <c r="AR84" i="22"/>
  <c r="AR96" i="22"/>
  <c r="AR18" i="22"/>
  <c r="AR65" i="22"/>
  <c r="AR32" i="22"/>
  <c r="AR76" i="22"/>
  <c r="O16" i="18"/>
  <c r="AR87" i="22"/>
  <c r="AR57" i="22"/>
  <c r="AD6" i="22"/>
  <c r="D17" i="28"/>
  <c r="L16" i="28"/>
  <c r="W99" i="23"/>
  <c r="W117" i="22"/>
  <c r="X81" i="23"/>
  <c r="W5" i="22"/>
  <c r="T5" i="22"/>
  <c r="U25" i="23"/>
  <c r="AB15" i="22"/>
  <c r="AB38" i="22"/>
  <c r="AB49" i="22"/>
  <c r="AB59" i="22"/>
  <c r="AB67" i="22"/>
  <c r="AB108" i="22"/>
  <c r="AB51" i="22"/>
  <c r="AB61" i="22"/>
  <c r="AB72" i="22"/>
  <c r="AB79" i="22"/>
  <c r="AB91" i="22"/>
  <c r="AB7" i="22"/>
  <c r="AB25" i="22"/>
  <c r="AB43" i="22"/>
  <c r="AB54" i="22"/>
  <c r="AB63" i="22"/>
  <c r="AB74" i="22"/>
  <c r="AB84" i="22"/>
  <c r="AB96" i="22"/>
  <c r="AB32" i="22"/>
  <c r="AB76" i="22"/>
  <c r="AB87" i="22"/>
  <c r="AB57" i="22"/>
  <c r="AB18" i="22"/>
  <c r="AB65" i="22"/>
  <c r="M16" i="18"/>
  <c r="E17" i="18"/>
  <c r="Y5" i="22"/>
  <c r="Z81" i="23"/>
  <c r="K37" i="28"/>
  <c r="K27" i="28"/>
  <c r="O13" i="28"/>
  <c r="AF85" i="23" l="1"/>
  <c r="AE78" i="22"/>
  <c r="L47" i="18"/>
  <c r="F32" i="23"/>
  <c r="E32" i="25"/>
  <c r="M32" i="25" s="1"/>
  <c r="N162" i="11"/>
  <c r="P12" i="11" s="1"/>
  <c r="F41" i="23"/>
  <c r="E41" i="25"/>
  <c r="M41" i="25" s="1"/>
  <c r="AD84" i="23"/>
  <c r="G83" i="30"/>
  <c r="V100" i="23"/>
  <c r="F99" i="30"/>
  <c r="M99" i="25"/>
  <c r="I162" i="11"/>
  <c r="L12" i="18"/>
  <c r="H12" i="18"/>
  <c r="V37" i="23"/>
  <c r="F36" i="30"/>
  <c r="AT16" i="23"/>
  <c r="I15" i="30"/>
  <c r="C11" i="28"/>
  <c r="C11" i="18"/>
  <c r="O99" i="23"/>
  <c r="U107" i="22"/>
  <c r="V67" i="23"/>
  <c r="F66" i="30"/>
  <c r="F42" i="22"/>
  <c r="X40" i="23"/>
  <c r="AE6" i="22"/>
  <c r="AK12" i="22"/>
  <c r="AF16" i="23"/>
  <c r="F12" i="22"/>
  <c r="F26" i="23"/>
  <c r="E26" i="25"/>
  <c r="M26" i="25" s="1"/>
  <c r="I164" i="11"/>
  <c r="V25" i="23"/>
  <c r="F24" i="30"/>
  <c r="E90" i="25"/>
  <c r="M90" i="25" s="1"/>
  <c r="F90" i="23"/>
  <c r="I11" i="18"/>
  <c r="D17" i="18"/>
  <c r="F85" i="23"/>
  <c r="E85" i="25"/>
  <c r="M85" i="25" s="1"/>
  <c r="E57" i="25"/>
  <c r="M57" i="25" s="1"/>
  <c r="F57" i="23"/>
  <c r="V89" i="23"/>
  <c r="F88" i="30"/>
  <c r="F84" i="23"/>
  <c r="E84" i="25"/>
  <c r="E41" i="23"/>
  <c r="F89" i="23"/>
  <c r="Z78" i="22"/>
  <c r="I74" i="22"/>
  <c r="AQ100" i="23"/>
  <c r="AP6" i="22"/>
  <c r="AQ12" i="23" s="1"/>
  <c r="I15" i="22"/>
  <c r="I18" i="23" s="1"/>
  <c r="I51" i="22"/>
  <c r="AA41" i="23"/>
  <c r="I38" i="22"/>
  <c r="H37" i="25" s="1"/>
  <c r="I96" i="22"/>
  <c r="I93" i="23" s="1"/>
  <c r="D90" i="25"/>
  <c r="D100" i="25"/>
  <c r="E87" i="23"/>
  <c r="I87" i="22"/>
  <c r="H87" i="25" s="1"/>
  <c r="O17" i="18"/>
  <c r="E82" i="23"/>
  <c r="Z42" i="22"/>
  <c r="AA40" i="23" s="1"/>
  <c r="I65" i="22"/>
  <c r="H57" i="25" s="1"/>
  <c r="E48" i="22"/>
  <c r="E24" i="22"/>
  <c r="Z24" i="22"/>
  <c r="AA25" i="23" s="1"/>
  <c r="I59" i="22"/>
  <c r="D46" i="25"/>
  <c r="I49" i="22"/>
  <c r="H46" i="25" s="1"/>
  <c r="AL5" i="22"/>
  <c r="AM11" i="23" s="1"/>
  <c r="I72" i="22"/>
  <c r="H67" i="25" s="1"/>
  <c r="E58" i="23"/>
  <c r="G49" i="22"/>
  <c r="F46" i="25" s="1"/>
  <c r="I67" i="22"/>
  <c r="H58" i="25" s="1"/>
  <c r="Z90" i="22"/>
  <c r="AA89" i="23" s="1"/>
  <c r="AP48" i="22"/>
  <c r="AQ45" i="23" s="1"/>
  <c r="E107" i="22"/>
  <c r="E99" i="23" s="1"/>
  <c r="V5" i="22"/>
  <c r="W11" i="23" s="1"/>
  <c r="I84" i="22"/>
  <c r="H85" i="25" s="1"/>
  <c r="I63" i="22"/>
  <c r="H56" i="25" s="1"/>
  <c r="AP24" i="22"/>
  <c r="AQ25" i="23" s="1"/>
  <c r="I7" i="22"/>
  <c r="I13" i="23" s="1"/>
  <c r="I54" i="22"/>
  <c r="H50" i="25" s="1"/>
  <c r="L38" i="18"/>
  <c r="AP78" i="22"/>
  <c r="AQ81" i="23" s="1"/>
  <c r="D53" i="25"/>
  <c r="P15" i="18"/>
  <c r="AH84" i="23"/>
  <c r="AK82" i="22"/>
  <c r="AG78" i="22"/>
  <c r="H82" i="22"/>
  <c r="AQ90" i="23"/>
  <c r="AP90" i="22"/>
  <c r="AQ89" i="23" s="1"/>
  <c r="AO78" i="22"/>
  <c r="AS82" i="22"/>
  <c r="AP84" i="23"/>
  <c r="AF48" i="22"/>
  <c r="AG46" i="23"/>
  <c r="D57" i="25"/>
  <c r="E57" i="23"/>
  <c r="O5" i="22"/>
  <c r="P25" i="23"/>
  <c r="K36" i="28"/>
  <c r="C17" i="18"/>
  <c r="E42" i="22"/>
  <c r="E40" i="23" s="1"/>
  <c r="Z6" i="22"/>
  <c r="AA12" i="23" s="1"/>
  <c r="I25" i="22"/>
  <c r="Z48" i="22"/>
  <c r="AA45" i="23" s="1"/>
  <c r="I76" i="22"/>
  <c r="I80" i="23" s="1"/>
  <c r="D80" i="25"/>
  <c r="E80" i="23"/>
  <c r="S58" i="23"/>
  <c r="U67" i="22"/>
  <c r="R48" i="22"/>
  <c r="AN48" i="22"/>
  <c r="AO46" i="23"/>
  <c r="D93" i="25"/>
  <c r="E93" i="23"/>
  <c r="N11" i="25"/>
  <c r="I18" i="26"/>
  <c r="I37" i="26"/>
  <c r="I50" i="26"/>
  <c r="I56" i="26"/>
  <c r="I79" i="26"/>
  <c r="I85" i="26"/>
  <c r="I98" i="26"/>
  <c r="I89" i="26"/>
  <c r="I25" i="26"/>
  <c r="I13" i="26"/>
  <c r="I16" i="26"/>
  <c r="I32" i="26"/>
  <c r="I48" i="26"/>
  <c r="I55" i="26"/>
  <c r="I67" i="26"/>
  <c r="I84" i="26"/>
  <c r="I93" i="26"/>
  <c r="I99" i="26"/>
  <c r="I40" i="26"/>
  <c r="I26" i="26"/>
  <c r="I46" i="26"/>
  <c r="I53" i="26"/>
  <c r="I58" i="26"/>
  <c r="I82" i="26"/>
  <c r="I90" i="26"/>
  <c r="I45" i="26"/>
  <c r="I20" i="26"/>
  <c r="I41" i="26"/>
  <c r="I52" i="26"/>
  <c r="I57" i="26"/>
  <c r="I80" i="26"/>
  <c r="I87" i="26"/>
  <c r="I100" i="26"/>
  <c r="I81" i="26"/>
  <c r="I12" i="26"/>
  <c r="AM89" i="23"/>
  <c r="E90" i="22"/>
  <c r="I57" i="22"/>
  <c r="D79" i="25"/>
  <c r="E79" i="23"/>
  <c r="E37" i="23"/>
  <c r="D37" i="25"/>
  <c r="E48" i="23"/>
  <c r="D48" i="25"/>
  <c r="D55" i="25"/>
  <c r="E55" i="23"/>
  <c r="K12" i="28"/>
  <c r="C17" i="28"/>
  <c r="D67" i="25"/>
  <c r="E67" i="23"/>
  <c r="D56" i="25"/>
  <c r="E56" i="23"/>
  <c r="D50" i="25"/>
  <c r="E50" i="23"/>
  <c r="AK15" i="22"/>
  <c r="E78" i="22"/>
  <c r="D81" i="25" s="1"/>
  <c r="D32" i="25"/>
  <c r="E32" i="23"/>
  <c r="O164" i="11"/>
  <c r="I41" i="23"/>
  <c r="H41" i="25"/>
  <c r="H90" i="25"/>
  <c r="I90" i="23"/>
  <c r="AI12" i="23"/>
  <c r="AH5" i="22"/>
  <c r="AI11" i="23" s="1"/>
  <c r="D20" i="25"/>
  <c r="E20" i="23"/>
  <c r="S29" i="11"/>
  <c r="S26" i="11"/>
  <c r="S21" i="11"/>
  <c r="S22" i="11"/>
  <c r="S27" i="11"/>
  <c r="S23" i="11"/>
  <c r="S30" i="11"/>
  <c r="S20" i="11"/>
  <c r="S28" i="11"/>
  <c r="S25" i="11"/>
  <c r="S24" i="11"/>
  <c r="O154" i="11"/>
  <c r="O88" i="11"/>
  <c r="S18" i="11"/>
  <c r="S13" i="11"/>
  <c r="O74" i="11"/>
  <c r="S32" i="11"/>
  <c r="O159" i="11"/>
  <c r="M163" i="11"/>
  <c r="O163" i="11" s="1"/>
  <c r="O122" i="11"/>
  <c r="S31" i="11"/>
  <c r="O36" i="11"/>
  <c r="O95" i="11"/>
  <c r="S19" i="11"/>
  <c r="S14" i="11"/>
  <c r="S15" i="11"/>
  <c r="O56" i="11"/>
  <c r="I67" i="23"/>
  <c r="X5" i="22"/>
  <c r="Y45" i="23"/>
  <c r="H48" i="25"/>
  <c r="I48" i="23"/>
  <c r="I32" i="23"/>
  <c r="E45" i="25"/>
  <c r="F45" i="23"/>
  <c r="I53" i="23"/>
  <c r="H53" i="25"/>
  <c r="H20" i="25"/>
  <c r="I20" i="23"/>
  <c r="I85" i="23"/>
  <c r="I79" i="23"/>
  <c r="H79" i="25"/>
  <c r="D13" i="25"/>
  <c r="E13" i="23"/>
  <c r="I42" i="22"/>
  <c r="AI40" i="23"/>
  <c r="H55" i="25"/>
  <c r="I55" i="23"/>
  <c r="G46" i="23"/>
  <c r="AA99" i="23"/>
  <c r="I107" i="22"/>
  <c r="AA81" i="23"/>
  <c r="K32" i="22"/>
  <c r="AC32" i="22"/>
  <c r="AC32" i="23"/>
  <c r="L17" i="28"/>
  <c r="D20" i="28"/>
  <c r="L20" i="28" s="1"/>
  <c r="AS18" i="22"/>
  <c r="AS20" i="23"/>
  <c r="AS63" i="22"/>
  <c r="AS56" i="23"/>
  <c r="AR6" i="22"/>
  <c r="AS7" i="22"/>
  <c r="I12" i="30" s="1"/>
  <c r="AS13" i="23"/>
  <c r="AS61" i="22"/>
  <c r="AS55" i="23"/>
  <c r="AS59" i="22"/>
  <c r="AS53" i="23"/>
  <c r="K26" i="28"/>
  <c r="O12" i="28"/>
  <c r="E45" i="23"/>
  <c r="D45" i="25"/>
  <c r="AK51" i="22"/>
  <c r="AK48" i="23"/>
  <c r="AJ107" i="22"/>
  <c r="AK99" i="23" s="1"/>
  <c r="AK108" i="22"/>
  <c r="H99" i="30" s="1"/>
  <c r="AK100" i="23"/>
  <c r="AK37" i="23"/>
  <c r="AK38" i="22"/>
  <c r="AK65" i="22"/>
  <c r="AK57" i="23"/>
  <c r="AK96" i="22"/>
  <c r="AK93" i="23"/>
  <c r="AK54" i="22"/>
  <c r="AK50" i="23"/>
  <c r="F20" i="18"/>
  <c r="N20" i="18" s="1"/>
  <c r="N17" i="18"/>
  <c r="M17" i="18"/>
  <c r="E20" i="18"/>
  <c r="M20" i="18" s="1"/>
  <c r="K57" i="22"/>
  <c r="AC57" i="22"/>
  <c r="AC52" i="23"/>
  <c r="K63" i="22"/>
  <c r="AC63" i="22"/>
  <c r="AC56" i="23"/>
  <c r="AB6" i="22"/>
  <c r="K7" i="22"/>
  <c r="AC7" i="22"/>
  <c r="G12" i="30" s="1"/>
  <c r="AC13" i="23"/>
  <c r="K61" i="22"/>
  <c r="AC61" i="22"/>
  <c r="AC55" i="23"/>
  <c r="AC59" i="22"/>
  <c r="K59" i="22"/>
  <c r="AC53" i="23"/>
  <c r="P16" i="18"/>
  <c r="K96" i="22"/>
  <c r="AC96" i="22"/>
  <c r="AC93" i="23"/>
  <c r="K54" i="22"/>
  <c r="AC54" i="22"/>
  <c r="AC50" i="23"/>
  <c r="AC91" i="22"/>
  <c r="G89" i="30" s="1"/>
  <c r="AB90" i="22"/>
  <c r="K91" i="22"/>
  <c r="AC90" i="23"/>
  <c r="AC51" i="22"/>
  <c r="K51" i="22"/>
  <c r="AC48" i="23"/>
  <c r="AB48" i="22"/>
  <c r="AC49" i="22"/>
  <c r="G45" i="30" s="1"/>
  <c r="K49" i="22"/>
  <c r="AC46" i="23"/>
  <c r="X11" i="23"/>
  <c r="AD5" i="22"/>
  <c r="AE11" i="23" s="1"/>
  <c r="E6" i="22"/>
  <c r="AE12" i="23"/>
  <c r="AS76" i="22"/>
  <c r="AS80" i="23"/>
  <c r="AS96" i="22"/>
  <c r="AS93" i="23"/>
  <c r="AS54" i="22"/>
  <c r="AS50" i="23"/>
  <c r="AS91" i="22"/>
  <c r="AR90" i="22"/>
  <c r="AS90" i="23"/>
  <c r="AS51" i="22"/>
  <c r="AS48" i="23"/>
  <c r="AR48" i="22"/>
  <c r="AS49" i="22"/>
  <c r="AS46" i="23"/>
  <c r="D18" i="25"/>
  <c r="E18" i="23"/>
  <c r="F25" i="23"/>
  <c r="E25" i="25"/>
  <c r="AJ78" i="22"/>
  <c r="AK81" i="23" s="1"/>
  <c r="AK82" i="23"/>
  <c r="AK79" i="22"/>
  <c r="H81" i="30" s="1"/>
  <c r="AK67" i="22"/>
  <c r="AK58" i="23"/>
  <c r="AK57" i="22"/>
  <c r="AK52" i="23"/>
  <c r="AK84" i="22"/>
  <c r="AK85" i="23"/>
  <c r="AJ42" i="22"/>
  <c r="AK40" i="23" s="1"/>
  <c r="AK43" i="22"/>
  <c r="H40" i="30" s="1"/>
  <c r="AK41" i="23"/>
  <c r="AC65" i="22"/>
  <c r="K65" i="22"/>
  <c r="AC57" i="23"/>
  <c r="K87" i="22"/>
  <c r="AC87" i="22"/>
  <c r="AC87" i="23"/>
  <c r="K84" i="22"/>
  <c r="AC84" i="22"/>
  <c r="AC85" i="23"/>
  <c r="K43" i="22"/>
  <c r="AB42" i="22"/>
  <c r="AC43" i="22"/>
  <c r="G40" i="30" s="1"/>
  <c r="AC41" i="23"/>
  <c r="AB78" i="22"/>
  <c r="K79" i="22"/>
  <c r="AC82" i="23"/>
  <c r="AC79" i="22"/>
  <c r="G81" i="30" s="1"/>
  <c r="AB107" i="22"/>
  <c r="K108" i="22"/>
  <c r="AC100" i="23"/>
  <c r="AC108" i="22"/>
  <c r="G99" i="30" s="1"/>
  <c r="AC37" i="23"/>
  <c r="K38" i="22"/>
  <c r="AC38" i="22"/>
  <c r="AS57" i="22"/>
  <c r="AS52" i="23"/>
  <c r="AS32" i="22"/>
  <c r="AS32" i="23"/>
  <c r="AS84" i="22"/>
  <c r="AS85" i="23"/>
  <c r="AR42" i="22"/>
  <c r="AS43" i="22"/>
  <c r="AS41" i="23"/>
  <c r="AR78" i="22"/>
  <c r="AS82" i="23"/>
  <c r="AS79" i="22"/>
  <c r="AR107" i="22"/>
  <c r="AS99" i="23" s="1"/>
  <c r="AS108" i="22"/>
  <c r="I99" i="30" s="1"/>
  <c r="AS100" i="23"/>
  <c r="AS37" i="23"/>
  <c r="AS38" i="22"/>
  <c r="AK61" i="22"/>
  <c r="AK55" i="23"/>
  <c r="AK59" i="22"/>
  <c r="AK53" i="23"/>
  <c r="AK87" i="22"/>
  <c r="AK87" i="23"/>
  <c r="AK32" i="22"/>
  <c r="AK32" i="23"/>
  <c r="AK74" i="22"/>
  <c r="AK79" i="23"/>
  <c r="AJ24" i="22"/>
  <c r="AK25" i="23" s="1"/>
  <c r="AK26" i="23"/>
  <c r="AK25" i="22"/>
  <c r="H25" i="30" s="1"/>
  <c r="O11" i="23"/>
  <c r="F20" i="28"/>
  <c r="N20" i="28" s="1"/>
  <c r="N17" i="28"/>
  <c r="Z11" i="23"/>
  <c r="K18" i="22"/>
  <c r="AC18" i="22"/>
  <c r="AC20" i="23"/>
  <c r="K76" i="22"/>
  <c r="AC76" i="22"/>
  <c r="AC80" i="23"/>
  <c r="K74" i="22"/>
  <c r="AC74" i="22"/>
  <c r="AC79" i="23"/>
  <c r="AB24" i="22"/>
  <c r="K25" i="22"/>
  <c r="AC26" i="23"/>
  <c r="AC25" i="22"/>
  <c r="G25" i="30" s="1"/>
  <c r="AC72" i="22"/>
  <c r="K72" i="22"/>
  <c r="AC67" i="23"/>
  <c r="AC67" i="22"/>
  <c r="K67" i="22"/>
  <c r="AC58" i="23"/>
  <c r="K15" i="22"/>
  <c r="AC15" i="22"/>
  <c r="AC18" i="23"/>
  <c r="U11" i="23"/>
  <c r="AS87" i="22"/>
  <c r="AS87" i="23"/>
  <c r="AS65" i="22"/>
  <c r="AS57" i="23"/>
  <c r="AS74" i="22"/>
  <c r="AS79" i="23"/>
  <c r="AR24" i="22"/>
  <c r="AS26" i="23"/>
  <c r="AS25" i="22"/>
  <c r="AS72" i="22"/>
  <c r="AS67" i="23"/>
  <c r="AS67" i="22"/>
  <c r="AS58" i="23"/>
  <c r="AS15" i="22"/>
  <c r="AS18" i="23"/>
  <c r="M89" i="25"/>
  <c r="P14" i="18"/>
  <c r="L27" i="18"/>
  <c r="L37" i="18"/>
  <c r="L36" i="18" s="1"/>
  <c r="AJ90" i="22"/>
  <c r="AK89" i="23" s="1"/>
  <c r="AK91" i="22"/>
  <c r="H89" i="30" s="1"/>
  <c r="AK90" i="23"/>
  <c r="AK72" i="22"/>
  <c r="AK67" i="23"/>
  <c r="AJ48" i="22"/>
  <c r="AK45" i="23" s="1"/>
  <c r="AK49" i="22"/>
  <c r="H45" i="30" s="1"/>
  <c r="AK46" i="23"/>
  <c r="AK76" i="22"/>
  <c r="AK80" i="23"/>
  <c r="AK18" i="22"/>
  <c r="AK20" i="23"/>
  <c r="AK63" i="22"/>
  <c r="AK56" i="23"/>
  <c r="AJ6" i="22"/>
  <c r="AK7" i="22"/>
  <c r="H12" i="30" s="1"/>
  <c r="AK13" i="23"/>
  <c r="E25" i="23"/>
  <c r="D25" i="25"/>
  <c r="AF81" i="23" l="1"/>
  <c r="F78" i="22"/>
  <c r="C20" i="18"/>
  <c r="L20" i="18" s="1"/>
  <c r="D21" i="18"/>
  <c r="D20" i="18"/>
  <c r="P164" i="11"/>
  <c r="AD18" i="23"/>
  <c r="G17" i="30"/>
  <c r="AL67" i="23"/>
  <c r="H66" i="30"/>
  <c r="AT67" i="23"/>
  <c r="I66" i="30"/>
  <c r="AT26" i="23"/>
  <c r="I25" i="30"/>
  <c r="AT79" i="23"/>
  <c r="I78" i="30"/>
  <c r="AT87" i="23"/>
  <c r="I86" i="30"/>
  <c r="AD67" i="23"/>
  <c r="G66" i="30"/>
  <c r="AD20" i="23"/>
  <c r="G19" i="30"/>
  <c r="AL32" i="23"/>
  <c r="H31" i="30"/>
  <c r="AL53" i="23"/>
  <c r="H52" i="30"/>
  <c r="AT82" i="23"/>
  <c r="I81" i="30"/>
  <c r="AT41" i="23"/>
  <c r="I40" i="30"/>
  <c r="AD37" i="23"/>
  <c r="G36" i="30"/>
  <c r="AD85" i="23"/>
  <c r="G84" i="30"/>
  <c r="AL85" i="23"/>
  <c r="H84" i="30"/>
  <c r="AL58" i="23"/>
  <c r="H57" i="30"/>
  <c r="AT48" i="23"/>
  <c r="I47" i="30"/>
  <c r="AD48" i="23"/>
  <c r="G47" i="30"/>
  <c r="AD55" i="23"/>
  <c r="G54" i="30"/>
  <c r="AL48" i="23"/>
  <c r="H47" i="30"/>
  <c r="AT53" i="23"/>
  <c r="I52" i="30"/>
  <c r="AL18" i="23"/>
  <c r="H17" i="30"/>
  <c r="AT84" i="23"/>
  <c r="I83" i="30"/>
  <c r="AL16" i="23"/>
  <c r="H15" i="30"/>
  <c r="AL80" i="23"/>
  <c r="H79" i="30"/>
  <c r="AD80" i="23"/>
  <c r="G79" i="30"/>
  <c r="AT32" i="23"/>
  <c r="I31" i="30"/>
  <c r="AT46" i="23"/>
  <c r="I45" i="30"/>
  <c r="AT50" i="23"/>
  <c r="I49" i="30"/>
  <c r="AT80" i="23"/>
  <c r="I79" i="30"/>
  <c r="AD93" i="23"/>
  <c r="G92" i="30"/>
  <c r="AL50" i="23"/>
  <c r="H49" i="30"/>
  <c r="AL57" i="23"/>
  <c r="H56" i="30"/>
  <c r="AT20" i="23"/>
  <c r="I19" i="30"/>
  <c r="AD32" i="23"/>
  <c r="G31" i="30"/>
  <c r="AF12" i="23"/>
  <c r="AE5" i="22"/>
  <c r="AF11" i="23" s="1"/>
  <c r="F6" i="22"/>
  <c r="N165" i="11"/>
  <c r="P36" i="11"/>
  <c r="P159" i="11"/>
  <c r="N163" i="11"/>
  <c r="P163" i="11" s="1"/>
  <c r="P122" i="11"/>
  <c r="P95" i="11"/>
  <c r="P154" i="11"/>
  <c r="P88" i="11"/>
  <c r="P74" i="11"/>
  <c r="P56" i="11"/>
  <c r="AT58" i="23"/>
  <c r="I57" i="30"/>
  <c r="AD58" i="23"/>
  <c r="G57" i="30"/>
  <c r="AL79" i="23"/>
  <c r="H78" i="30"/>
  <c r="AL87" i="23"/>
  <c r="H86" i="30"/>
  <c r="AL55" i="23"/>
  <c r="H54" i="30"/>
  <c r="AL52" i="23"/>
  <c r="H51" i="30"/>
  <c r="AD50" i="23"/>
  <c r="G49" i="30"/>
  <c r="AD53" i="23"/>
  <c r="G52" i="30"/>
  <c r="AD52" i="23"/>
  <c r="G51" i="30"/>
  <c r="AL37" i="23"/>
  <c r="H36" i="30"/>
  <c r="AT55" i="23"/>
  <c r="I54" i="30"/>
  <c r="V58" i="23"/>
  <c r="F57" i="30"/>
  <c r="AL84" i="23"/>
  <c r="H83" i="30"/>
  <c r="L45" i="18"/>
  <c r="I17" i="18"/>
  <c r="L12" i="22"/>
  <c r="E16" i="25"/>
  <c r="M16" i="25" s="1"/>
  <c r="O16" i="25" s="1"/>
  <c r="F16" i="23"/>
  <c r="M16" i="23" s="1"/>
  <c r="H11" i="18"/>
  <c r="L11" i="18"/>
  <c r="I163" i="11"/>
  <c r="I165" i="11"/>
  <c r="AL56" i="23"/>
  <c r="H55" i="30"/>
  <c r="AT57" i="23"/>
  <c r="I56" i="30"/>
  <c r="AD79" i="23"/>
  <c r="G78" i="30"/>
  <c r="AL20" i="23"/>
  <c r="H19" i="30"/>
  <c r="AT18" i="23"/>
  <c r="I17" i="30"/>
  <c r="AT37" i="23"/>
  <c r="I36" i="30"/>
  <c r="AT85" i="23"/>
  <c r="I84" i="30"/>
  <c r="AT52" i="23"/>
  <c r="I51" i="30"/>
  <c r="AD87" i="23"/>
  <c r="G86" i="30"/>
  <c r="AD57" i="23"/>
  <c r="G56" i="30"/>
  <c r="AT90" i="23"/>
  <c r="I89" i="30"/>
  <c r="AT93" i="23"/>
  <c r="I92" i="30"/>
  <c r="AD56" i="23"/>
  <c r="G55" i="30"/>
  <c r="AL93" i="23"/>
  <c r="H92" i="30"/>
  <c r="AT56" i="23"/>
  <c r="I55" i="30"/>
  <c r="F40" i="23"/>
  <c r="E40" i="25"/>
  <c r="M40" i="25" s="1"/>
  <c r="V99" i="23"/>
  <c r="F98" i="30"/>
  <c r="K11" i="28"/>
  <c r="G11" i="28"/>
  <c r="P11" i="23"/>
  <c r="H93" i="25"/>
  <c r="I90" i="22"/>
  <c r="I89" i="23" s="1"/>
  <c r="F5" i="22"/>
  <c r="F11" i="23" s="1"/>
  <c r="H18" i="25"/>
  <c r="I37" i="23"/>
  <c r="I50" i="23"/>
  <c r="P12" i="18"/>
  <c r="I46" i="23"/>
  <c r="I87" i="23"/>
  <c r="L26" i="18"/>
  <c r="I57" i="23"/>
  <c r="I24" i="22"/>
  <c r="I25" i="23" s="1"/>
  <c r="G48" i="22"/>
  <c r="F45" i="25" s="1"/>
  <c r="D40" i="25"/>
  <c r="I58" i="23"/>
  <c r="I6" i="22"/>
  <c r="I12" i="23" s="1"/>
  <c r="D99" i="25"/>
  <c r="I56" i="23"/>
  <c r="AP5" i="22"/>
  <c r="AQ11" i="23" s="1"/>
  <c r="L17" i="18"/>
  <c r="I48" i="22"/>
  <c r="H45" i="25" s="1"/>
  <c r="H13" i="25"/>
  <c r="H80" i="25"/>
  <c r="E81" i="23"/>
  <c r="AN5" i="22"/>
  <c r="AO11" i="23" s="1"/>
  <c r="AO45" i="23"/>
  <c r="H26" i="25"/>
  <c r="I26" i="23"/>
  <c r="Z5" i="22"/>
  <c r="AA11" i="23" s="1"/>
  <c r="N93" i="26"/>
  <c r="N85" i="26"/>
  <c r="N80" i="26"/>
  <c r="N57" i="26"/>
  <c r="N52" i="26"/>
  <c r="N45" i="26"/>
  <c r="N32" i="26"/>
  <c r="N18" i="26"/>
  <c r="N100" i="26"/>
  <c r="N90" i="26"/>
  <c r="N84" i="26"/>
  <c r="N79" i="26"/>
  <c r="N56" i="26"/>
  <c r="N50" i="26"/>
  <c r="N41" i="26"/>
  <c r="N26" i="26"/>
  <c r="N16" i="26"/>
  <c r="N99" i="26"/>
  <c r="N89" i="26"/>
  <c r="N82" i="26"/>
  <c r="N67" i="26"/>
  <c r="N55" i="26"/>
  <c r="N48" i="26"/>
  <c r="N40" i="26"/>
  <c r="N13" i="26"/>
  <c r="N12" i="26"/>
  <c r="N98" i="26"/>
  <c r="N87" i="26"/>
  <c r="N81" i="26"/>
  <c r="N58" i="26"/>
  <c r="N53" i="26"/>
  <c r="N46" i="26"/>
  <c r="N37" i="26"/>
  <c r="N20" i="26"/>
  <c r="N25" i="26"/>
  <c r="AF5" i="22"/>
  <c r="AG11" i="23" s="1"/>
  <c r="AG45" i="23"/>
  <c r="D89" i="25"/>
  <c r="E89" i="23"/>
  <c r="AO5" i="22"/>
  <c r="AP11" i="23" s="1"/>
  <c r="AP81" i="23"/>
  <c r="AG5" i="22"/>
  <c r="H78" i="22"/>
  <c r="AH81" i="23"/>
  <c r="H52" i="25"/>
  <c r="I52" i="23"/>
  <c r="S45" i="23"/>
  <c r="U48" i="22"/>
  <c r="J37" i="20"/>
  <c r="G84" i="25"/>
  <c r="M84" i="25" s="1"/>
  <c r="O84" i="25" s="1"/>
  <c r="H84" i="23"/>
  <c r="M84" i="23" s="1"/>
  <c r="L82" i="22"/>
  <c r="E83" i="30" s="1"/>
  <c r="I108" i="26"/>
  <c r="I107" i="26"/>
  <c r="C20" i="28"/>
  <c r="K20" i="28" s="1"/>
  <c r="K17" i="28"/>
  <c r="E5" i="22"/>
  <c r="E11" i="23" s="1"/>
  <c r="H99" i="25"/>
  <c r="I99" i="23"/>
  <c r="I40" i="23"/>
  <c r="H40" i="25"/>
  <c r="Y11" i="23"/>
  <c r="M46" i="25"/>
  <c r="O162" i="11"/>
  <c r="AJ5" i="22"/>
  <c r="AK11" i="23" s="1"/>
  <c r="AK12" i="23"/>
  <c r="AC25" i="23"/>
  <c r="K24" i="22"/>
  <c r="AK24" i="22"/>
  <c r="AL26" i="23"/>
  <c r="AS42" i="22"/>
  <c r="AS40" i="23"/>
  <c r="K107" i="22"/>
  <c r="AC99" i="23"/>
  <c r="K78" i="22"/>
  <c r="AC81" i="23"/>
  <c r="J41" i="25"/>
  <c r="K41" i="23"/>
  <c r="M41" i="23" s="1"/>
  <c r="L43" i="22"/>
  <c r="E40" i="30" s="1"/>
  <c r="L65" i="22"/>
  <c r="E56" i="30" s="1"/>
  <c r="J57" i="25"/>
  <c r="K57" i="23"/>
  <c r="M25" i="25"/>
  <c r="D12" i="25"/>
  <c r="E12" i="23"/>
  <c r="L91" i="22"/>
  <c r="E89" i="30" s="1"/>
  <c r="K90" i="23"/>
  <c r="M90" i="23" s="1"/>
  <c r="J90" i="25"/>
  <c r="J93" i="25"/>
  <c r="K93" i="23"/>
  <c r="M93" i="23" s="1"/>
  <c r="L96" i="22"/>
  <c r="E92" i="30" s="1"/>
  <c r="J53" i="25"/>
  <c r="K53" i="23"/>
  <c r="M53" i="23" s="1"/>
  <c r="L59" i="22"/>
  <c r="E52" i="30" s="1"/>
  <c r="K55" i="23"/>
  <c r="M55" i="23" s="1"/>
  <c r="J55" i="25"/>
  <c r="L61" i="22"/>
  <c r="E54" i="30" s="1"/>
  <c r="AB5" i="22"/>
  <c r="K6" i="22"/>
  <c r="AC12" i="23"/>
  <c r="AS25" i="23"/>
  <c r="AS24" i="22"/>
  <c r="AC24" i="22"/>
  <c r="AD26" i="23"/>
  <c r="K18" i="23"/>
  <c r="M18" i="23" s="1"/>
  <c r="J18" i="25"/>
  <c r="L18" i="25" s="1"/>
  <c r="L76" i="22"/>
  <c r="E79" i="30" s="1"/>
  <c r="J80" i="25"/>
  <c r="K80" i="23"/>
  <c r="M80" i="23" s="1"/>
  <c r="AK6" i="22"/>
  <c r="H11" i="30" s="1"/>
  <c r="AL13" i="23"/>
  <c r="J67" i="25"/>
  <c r="K67" i="23"/>
  <c r="M67" i="23" s="1"/>
  <c r="L72" i="22"/>
  <c r="E66" i="30" s="1"/>
  <c r="K26" i="23"/>
  <c r="J26" i="25"/>
  <c r="L25" i="22"/>
  <c r="E25" i="30" s="1"/>
  <c r="J79" i="25"/>
  <c r="K79" i="23"/>
  <c r="M79" i="23" s="1"/>
  <c r="L74" i="22"/>
  <c r="E78" i="30" s="1"/>
  <c r="AS107" i="22"/>
  <c r="AT100" i="23"/>
  <c r="AS81" i="23"/>
  <c r="AS78" i="22"/>
  <c r="AC107" i="22"/>
  <c r="AD100" i="23"/>
  <c r="AC78" i="22"/>
  <c r="AD82" i="23"/>
  <c r="AK42" i="22"/>
  <c r="AL41" i="23"/>
  <c r="AK78" i="22"/>
  <c r="AL82" i="23"/>
  <c r="L49" i="22"/>
  <c r="E45" i="30" s="1"/>
  <c r="K46" i="23"/>
  <c r="J46" i="25"/>
  <c r="L51" i="22"/>
  <c r="E47" i="30" s="1"/>
  <c r="J48" i="25"/>
  <c r="K48" i="23"/>
  <c r="M48" i="23" s="1"/>
  <c r="K90" i="22"/>
  <c r="AC89" i="23"/>
  <c r="J50" i="25"/>
  <c r="K50" i="23"/>
  <c r="L54" i="22"/>
  <c r="E49" i="30" s="1"/>
  <c r="AS6" i="22"/>
  <c r="I11" i="30" s="1"/>
  <c r="AT13" i="23"/>
  <c r="AK48" i="22"/>
  <c r="AL46" i="23"/>
  <c r="L67" i="22"/>
  <c r="E57" i="30" s="1"/>
  <c r="K58" i="23"/>
  <c r="J58" i="25"/>
  <c r="AC42" i="22"/>
  <c r="AD41" i="23"/>
  <c r="J87" i="25"/>
  <c r="K87" i="23"/>
  <c r="L87" i="22"/>
  <c r="E86" i="30" s="1"/>
  <c r="AC48" i="22"/>
  <c r="AD46" i="23"/>
  <c r="AC90" i="22"/>
  <c r="AD90" i="23"/>
  <c r="AC6" i="22"/>
  <c r="G11" i="30" s="1"/>
  <c r="AD13" i="23"/>
  <c r="L57" i="22"/>
  <c r="E51" i="30" s="1"/>
  <c r="J52" i="25"/>
  <c r="K52" i="23"/>
  <c r="AK107" i="22"/>
  <c r="AL100" i="23"/>
  <c r="AR5" i="22"/>
  <c r="AS11" i="23" s="1"/>
  <c r="AS12" i="23"/>
  <c r="AK90" i="22"/>
  <c r="AL90" i="23"/>
  <c r="L18" i="22"/>
  <c r="E19" i="30" s="1"/>
  <c r="J20" i="25"/>
  <c r="K20" i="23"/>
  <c r="M20" i="23" s="1"/>
  <c r="J37" i="25"/>
  <c r="K37" i="23"/>
  <c r="M37" i="23" s="1"/>
  <c r="L38" i="22"/>
  <c r="E36" i="30" s="1"/>
  <c r="K100" i="23"/>
  <c r="M100" i="23" s="1"/>
  <c r="J100" i="25"/>
  <c r="L108" i="22"/>
  <c r="E99" i="30" s="1"/>
  <c r="J82" i="25"/>
  <c r="K82" i="23"/>
  <c r="K42" i="22"/>
  <c r="AC40" i="23"/>
  <c r="K85" i="23"/>
  <c r="M85" i="23" s="1"/>
  <c r="J85" i="25"/>
  <c r="L84" i="22"/>
  <c r="E84" i="30" s="1"/>
  <c r="AS45" i="23"/>
  <c r="AS48" i="22"/>
  <c r="AS89" i="23"/>
  <c r="AS90" i="22"/>
  <c r="K48" i="22"/>
  <c r="AC45" i="23"/>
  <c r="L7" i="22"/>
  <c r="E12" i="30" s="1"/>
  <c r="J13" i="25"/>
  <c r="K13" i="23"/>
  <c r="M13" i="23" s="1"/>
  <c r="J56" i="25"/>
  <c r="K56" i="23"/>
  <c r="L63" i="22"/>
  <c r="E55" i="30" s="1"/>
  <c r="K32" i="23"/>
  <c r="M32" i="23" s="1"/>
  <c r="J32" i="25"/>
  <c r="L32" i="22"/>
  <c r="E31" i="30" s="1"/>
  <c r="E81" i="25" l="1"/>
  <c r="F81" i="23"/>
  <c r="M50" i="23"/>
  <c r="P162" i="11"/>
  <c r="AT89" i="23"/>
  <c r="I88" i="30"/>
  <c r="AD45" i="23"/>
  <c r="G44" i="30"/>
  <c r="AL89" i="23"/>
  <c r="H88" i="30"/>
  <c r="AD40" i="23"/>
  <c r="G39" i="30"/>
  <c r="AL81" i="23"/>
  <c r="H80" i="30"/>
  <c r="AD81" i="23"/>
  <c r="G80" i="30"/>
  <c r="AD25" i="23"/>
  <c r="G24" i="30"/>
  <c r="AT40" i="23"/>
  <c r="I39" i="30"/>
  <c r="F12" i="23"/>
  <c r="E12" i="25"/>
  <c r="M12" i="25" s="1"/>
  <c r="AD89" i="23"/>
  <c r="G88" i="30"/>
  <c r="AL45" i="23"/>
  <c r="H44" i="30"/>
  <c r="AT25" i="23"/>
  <c r="I24" i="30"/>
  <c r="E15" i="30"/>
  <c r="L16" i="23"/>
  <c r="K16" i="25"/>
  <c r="P16" i="25" s="1"/>
  <c r="AT45" i="23"/>
  <c r="I44" i="30"/>
  <c r="AL99" i="23"/>
  <c r="H98" i="30"/>
  <c r="AL40" i="23"/>
  <c r="H39" i="30"/>
  <c r="AD99" i="23"/>
  <c r="G98" i="30"/>
  <c r="AT99" i="23"/>
  <c r="I98" i="30"/>
  <c r="AL25" i="23"/>
  <c r="H24" i="30"/>
  <c r="L25" i="18"/>
  <c r="L30" i="18" s="1"/>
  <c r="M25" i="18" s="1"/>
  <c r="P11" i="18"/>
  <c r="H17" i="18"/>
  <c r="P17" i="18" s="1"/>
  <c r="L35" i="18"/>
  <c r="I20" i="18"/>
  <c r="AT81" i="23"/>
  <c r="I80" i="30"/>
  <c r="V45" i="23"/>
  <c r="F44" i="30"/>
  <c r="O11" i="28"/>
  <c r="K35" i="28"/>
  <c r="K25" i="28"/>
  <c r="K30" i="28" s="1"/>
  <c r="L25" i="28" s="1"/>
  <c r="G17" i="28"/>
  <c r="L50" i="18"/>
  <c r="M45" i="18" s="1"/>
  <c r="H89" i="25"/>
  <c r="M87" i="23"/>
  <c r="E11" i="26"/>
  <c r="E11" i="25"/>
  <c r="E37" i="26" s="1"/>
  <c r="M56" i="23"/>
  <c r="G5" i="22"/>
  <c r="F11" i="25" s="1"/>
  <c r="F45" i="26" s="1"/>
  <c r="M58" i="23"/>
  <c r="M46" i="23"/>
  <c r="I45" i="23"/>
  <c r="M57" i="23"/>
  <c r="G45" i="23"/>
  <c r="M52" i="23"/>
  <c r="H25" i="25"/>
  <c r="H12" i="25"/>
  <c r="M26" i="23"/>
  <c r="D11" i="25"/>
  <c r="D12" i="26" s="1"/>
  <c r="D11" i="26"/>
  <c r="K84" i="25"/>
  <c r="P84" i="25" s="1"/>
  <c r="L84" i="23"/>
  <c r="N107" i="26"/>
  <c r="AH11" i="23"/>
  <c r="H5" i="22"/>
  <c r="N108" i="26"/>
  <c r="H81" i="23"/>
  <c r="G81" i="25"/>
  <c r="M81" i="25" s="1"/>
  <c r="M45" i="25"/>
  <c r="L32" i="23"/>
  <c r="K32" i="25"/>
  <c r="O18" i="25"/>
  <c r="L20" i="23"/>
  <c r="K20" i="25"/>
  <c r="L52" i="23"/>
  <c r="K52" i="25"/>
  <c r="L58" i="23"/>
  <c r="K58" i="25"/>
  <c r="AS5" i="22"/>
  <c r="AT12" i="23"/>
  <c r="L80" i="23"/>
  <c r="K80" i="25"/>
  <c r="L90" i="25"/>
  <c r="L41" i="23"/>
  <c r="K41" i="25"/>
  <c r="L13" i="25"/>
  <c r="L56" i="25"/>
  <c r="L13" i="23"/>
  <c r="K13" i="25"/>
  <c r="L85" i="23"/>
  <c r="K85" i="25"/>
  <c r="K40" i="23"/>
  <c r="M40" i="23" s="1"/>
  <c r="J40" i="25"/>
  <c r="L42" i="22"/>
  <c r="E39" i="30" s="1"/>
  <c r="L37" i="25"/>
  <c r="L56" i="23"/>
  <c r="K56" i="25"/>
  <c r="L85" i="25"/>
  <c r="L100" i="23"/>
  <c r="K100" i="25"/>
  <c r="L37" i="23"/>
  <c r="K37" i="25"/>
  <c r="L50" i="25"/>
  <c r="L46" i="25"/>
  <c r="L26" i="25"/>
  <c r="J12" i="25"/>
  <c r="K12" i="23"/>
  <c r="M12" i="23" s="1"/>
  <c r="L55" i="25"/>
  <c r="L6" i="22"/>
  <c r="E11" i="30" s="1"/>
  <c r="K81" i="23"/>
  <c r="J81" i="25"/>
  <c r="L32" i="25"/>
  <c r="AC5" i="22"/>
  <c r="AD12" i="23"/>
  <c r="L87" i="25"/>
  <c r="L58" i="25"/>
  <c r="L50" i="23"/>
  <c r="K50" i="25"/>
  <c r="L48" i="25"/>
  <c r="L79" i="25"/>
  <c r="L67" i="25"/>
  <c r="AK5" i="22"/>
  <c r="AL12" i="23"/>
  <c r="AC11" i="23"/>
  <c r="K5" i="22"/>
  <c r="L53" i="25"/>
  <c r="L93" i="25"/>
  <c r="L90" i="23"/>
  <c r="K90" i="25"/>
  <c r="L57" i="25"/>
  <c r="K25" i="23"/>
  <c r="M25" i="23" s="1"/>
  <c r="J25" i="25"/>
  <c r="L24" i="22"/>
  <c r="E24" i="30" s="1"/>
  <c r="K45" i="23"/>
  <c r="J45" i="25"/>
  <c r="L48" i="22"/>
  <c r="E44" i="30" s="1"/>
  <c r="L100" i="25"/>
  <c r="L20" i="25"/>
  <c r="L52" i="25"/>
  <c r="L87" i="23"/>
  <c r="K87" i="25"/>
  <c r="J89" i="25"/>
  <c r="K89" i="23"/>
  <c r="M89" i="23" s="1"/>
  <c r="L90" i="22"/>
  <c r="E88" i="30" s="1"/>
  <c r="L48" i="23"/>
  <c r="K48" i="25"/>
  <c r="L46" i="23"/>
  <c r="K46" i="25"/>
  <c r="L79" i="23"/>
  <c r="K79" i="25"/>
  <c r="L26" i="23"/>
  <c r="K26" i="25"/>
  <c r="L67" i="23"/>
  <c r="K67" i="25"/>
  <c r="L80" i="25"/>
  <c r="L55" i="23"/>
  <c r="K55" i="25"/>
  <c r="L53" i="23"/>
  <c r="K53" i="25"/>
  <c r="L93" i="23"/>
  <c r="K93" i="25"/>
  <c r="L57" i="23"/>
  <c r="K57" i="25"/>
  <c r="L41" i="25"/>
  <c r="K99" i="23"/>
  <c r="M99" i="23" s="1"/>
  <c r="J99" i="25"/>
  <c r="L107" i="22"/>
  <c r="E98" i="30" s="1"/>
  <c r="M26" i="18" l="1"/>
  <c r="M29" i="18"/>
  <c r="L28" i="28"/>
  <c r="L30" i="28"/>
  <c r="L29" i="28"/>
  <c r="M28" i="18"/>
  <c r="L27" i="28"/>
  <c r="H20" i="18"/>
  <c r="P20" i="18" s="1"/>
  <c r="AL11" i="23"/>
  <c r="H10" i="30"/>
  <c r="M30" i="18"/>
  <c r="M27" i="18"/>
  <c r="L26" i="28"/>
  <c r="I21" i="18"/>
  <c r="AD11" i="23"/>
  <c r="G10" i="30"/>
  <c r="AT11" i="23"/>
  <c r="I10" i="30"/>
  <c r="M49" i="18"/>
  <c r="M50" i="18"/>
  <c r="M47" i="18"/>
  <c r="M48" i="18"/>
  <c r="M46" i="18"/>
  <c r="O17" i="28"/>
  <c r="G20" i="28"/>
  <c r="O20" i="28" s="1"/>
  <c r="D25" i="26"/>
  <c r="E55" i="26"/>
  <c r="E57" i="26"/>
  <c r="E58" i="26"/>
  <c r="E79" i="26"/>
  <c r="E40" i="26"/>
  <c r="E12" i="26"/>
  <c r="E45" i="26"/>
  <c r="E13" i="26"/>
  <c r="E56" i="26"/>
  <c r="E81" i="26"/>
  <c r="E89" i="26"/>
  <c r="E20" i="26"/>
  <c r="E67" i="26"/>
  <c r="E25" i="26"/>
  <c r="E41" i="26"/>
  <c r="E90" i="26"/>
  <c r="E84" i="26"/>
  <c r="E85" i="26"/>
  <c r="E100" i="26"/>
  <c r="E52" i="26"/>
  <c r="E99" i="26"/>
  <c r="E53" i="26"/>
  <c r="E93" i="26"/>
  <c r="E48" i="26"/>
  <c r="E98" i="26"/>
  <c r="E50" i="26"/>
  <c r="E80" i="26"/>
  <c r="E82" i="26"/>
  <c r="E26" i="26"/>
  <c r="E16" i="26"/>
  <c r="E18" i="26"/>
  <c r="E87" i="26"/>
  <c r="E46" i="26"/>
  <c r="E32" i="26"/>
  <c r="F11" i="26"/>
  <c r="L12" i="25"/>
  <c r="O12" i="25" s="1"/>
  <c r="G11" i="23"/>
  <c r="D56" i="26"/>
  <c r="M45" i="23"/>
  <c r="D98" i="26"/>
  <c r="D13" i="26"/>
  <c r="D46" i="26"/>
  <c r="D48" i="26"/>
  <c r="D82" i="26"/>
  <c r="D93" i="26"/>
  <c r="D87" i="26"/>
  <c r="D26" i="26"/>
  <c r="D100" i="26"/>
  <c r="D32" i="26"/>
  <c r="D57" i="26"/>
  <c r="D67" i="26"/>
  <c r="D79" i="26"/>
  <c r="D41" i="26"/>
  <c r="D85" i="26"/>
  <c r="D84" i="26"/>
  <c r="D16" i="26"/>
  <c r="D81" i="26"/>
  <c r="D90" i="26"/>
  <c r="D40" i="26"/>
  <c r="D55" i="26"/>
  <c r="D89" i="26"/>
  <c r="D37" i="26"/>
  <c r="D52" i="26"/>
  <c r="D58" i="26"/>
  <c r="D50" i="26"/>
  <c r="D80" i="26"/>
  <c r="D20" i="26"/>
  <c r="D53" i="26"/>
  <c r="D45" i="26"/>
  <c r="D99" i="26"/>
  <c r="D18" i="26"/>
  <c r="G11" i="26"/>
  <c r="G11" i="25"/>
  <c r="M11" i="25" s="1"/>
  <c r="H11" i="23"/>
  <c r="F16" i="26"/>
  <c r="F32" i="26"/>
  <c r="F48" i="26"/>
  <c r="F55" i="26"/>
  <c r="F67" i="26"/>
  <c r="F84" i="26"/>
  <c r="F93" i="26"/>
  <c r="F18" i="26"/>
  <c r="F37" i="26"/>
  <c r="F50" i="26"/>
  <c r="F56" i="26"/>
  <c r="F79" i="26"/>
  <c r="F85" i="26"/>
  <c r="F98" i="26"/>
  <c r="F20" i="26"/>
  <c r="F41" i="26"/>
  <c r="F52" i="26"/>
  <c r="F57" i="26"/>
  <c r="F80" i="26"/>
  <c r="F87" i="26"/>
  <c r="F90" i="26"/>
  <c r="F81" i="26"/>
  <c r="F12" i="26"/>
  <c r="F82" i="26"/>
  <c r="F13" i="26"/>
  <c r="F53" i="26"/>
  <c r="F100" i="26"/>
  <c r="F89" i="26"/>
  <c r="F58" i="26"/>
  <c r="F99" i="26"/>
  <c r="F40" i="26"/>
  <c r="F26" i="26"/>
  <c r="F25" i="26"/>
  <c r="F46" i="26"/>
  <c r="P67" i="25"/>
  <c r="L89" i="25"/>
  <c r="O80" i="25"/>
  <c r="L99" i="25"/>
  <c r="P55" i="25"/>
  <c r="P46" i="25"/>
  <c r="L25" i="23"/>
  <c r="K25" i="25"/>
  <c r="J11" i="26"/>
  <c r="J11" i="25"/>
  <c r="J99" i="26" s="1"/>
  <c r="K11" i="23"/>
  <c r="O58" i="25"/>
  <c r="O32" i="25"/>
  <c r="P37" i="25"/>
  <c r="P56" i="25"/>
  <c r="P80" i="25"/>
  <c r="P52" i="25"/>
  <c r="P20" i="25"/>
  <c r="P32" i="25"/>
  <c r="P53" i="25"/>
  <c r="P79" i="25"/>
  <c r="L99" i="23"/>
  <c r="K99" i="25"/>
  <c r="P87" i="25"/>
  <c r="P57" i="25"/>
  <c r="P93" i="25"/>
  <c r="P26" i="25"/>
  <c r="L89" i="23"/>
  <c r="K89" i="25"/>
  <c r="O20" i="25"/>
  <c r="L45" i="23"/>
  <c r="K45" i="25"/>
  <c r="L25" i="25"/>
  <c r="O93" i="25"/>
  <c r="O67" i="25"/>
  <c r="O48" i="25"/>
  <c r="O26" i="25"/>
  <c r="O50" i="25"/>
  <c r="P85" i="25"/>
  <c r="L45" i="25"/>
  <c r="P90" i="25"/>
  <c r="O79" i="25"/>
  <c r="P50" i="25"/>
  <c r="L12" i="23"/>
  <c r="K12" i="25"/>
  <c r="P100" i="25"/>
  <c r="O85" i="25"/>
  <c r="O37" i="25"/>
  <c r="L40" i="23"/>
  <c r="K40" i="25"/>
  <c r="O56" i="25"/>
  <c r="O13" i="25"/>
  <c r="P41" i="25"/>
  <c r="O90" i="25"/>
  <c r="O41" i="25"/>
  <c r="P48" i="25"/>
  <c r="O52" i="25"/>
  <c r="O100" i="25"/>
  <c r="O57" i="25"/>
  <c r="O53" i="25"/>
  <c r="O87" i="25"/>
  <c r="O55" i="25"/>
  <c r="O46" i="25"/>
  <c r="L40" i="25"/>
  <c r="P13" i="25"/>
  <c r="P58" i="25"/>
  <c r="M11" i="26" l="1"/>
  <c r="E107" i="26"/>
  <c r="E108" i="26"/>
  <c r="D108" i="26"/>
  <c r="D107" i="26"/>
  <c r="J40" i="26"/>
  <c r="J45" i="26"/>
  <c r="J25" i="26"/>
  <c r="M25" i="26"/>
  <c r="M55" i="26"/>
  <c r="M18" i="26"/>
  <c r="M41" i="26"/>
  <c r="M79" i="26"/>
  <c r="M99" i="26"/>
  <c r="M37" i="26"/>
  <c r="M98" i="26"/>
  <c r="M32" i="26"/>
  <c r="M81" i="26"/>
  <c r="M56" i="26"/>
  <c r="M84" i="26"/>
  <c r="M13" i="26"/>
  <c r="M53" i="26"/>
  <c r="M100" i="26"/>
  <c r="M52" i="26"/>
  <c r="M89" i="26"/>
  <c r="M80" i="26"/>
  <c r="M16" i="26"/>
  <c r="M40" i="26"/>
  <c r="M58" i="26"/>
  <c r="M12" i="26"/>
  <c r="M57" i="26"/>
  <c r="M45" i="26"/>
  <c r="M85" i="26"/>
  <c r="M26" i="26"/>
  <c r="M67" i="26"/>
  <c r="M20" i="26"/>
  <c r="M87" i="26"/>
  <c r="G81" i="26"/>
  <c r="G58" i="26"/>
  <c r="G40" i="26"/>
  <c r="G57" i="26"/>
  <c r="G45" i="26"/>
  <c r="G50" i="26"/>
  <c r="G98" i="26"/>
  <c r="G48" i="26"/>
  <c r="G93" i="26"/>
  <c r="G53" i="26"/>
  <c r="G99" i="26"/>
  <c r="G52" i="26"/>
  <c r="G100" i="26"/>
  <c r="G37" i="26"/>
  <c r="G85" i="26"/>
  <c r="G32" i="26"/>
  <c r="G84" i="26"/>
  <c r="G46" i="26"/>
  <c r="G90" i="26"/>
  <c r="G41" i="26"/>
  <c r="G87" i="26"/>
  <c r="G18" i="26"/>
  <c r="G79" i="26"/>
  <c r="G16" i="26"/>
  <c r="G67" i="26"/>
  <c r="G25" i="26"/>
  <c r="G26" i="26"/>
  <c r="G82" i="26"/>
  <c r="G20" i="26"/>
  <c r="G80" i="26"/>
  <c r="G13" i="26"/>
  <c r="G56" i="26"/>
  <c r="G12" i="26"/>
  <c r="G55" i="26"/>
  <c r="G89" i="26"/>
  <c r="J12" i="26"/>
  <c r="M46" i="26"/>
  <c r="M82" i="26"/>
  <c r="M48" i="26"/>
  <c r="M90" i="26"/>
  <c r="M50" i="26"/>
  <c r="M93" i="26"/>
  <c r="J81" i="26"/>
  <c r="J89" i="26"/>
  <c r="F107" i="26"/>
  <c r="F108" i="26"/>
  <c r="P45" i="25"/>
  <c r="P89" i="25"/>
  <c r="P25" i="25"/>
  <c r="O40" i="25"/>
  <c r="P40" i="25"/>
  <c r="J98" i="26"/>
  <c r="J16" i="26"/>
  <c r="J84" i="26"/>
  <c r="J90" i="26"/>
  <c r="J13" i="26"/>
  <c r="J37" i="26"/>
  <c r="J85" i="26"/>
  <c r="J18" i="26"/>
  <c r="J79" i="26"/>
  <c r="J41" i="26"/>
  <c r="J80" i="26"/>
  <c r="J46" i="26"/>
  <c r="J87" i="26"/>
  <c r="J53" i="26"/>
  <c r="J20" i="26"/>
  <c r="J56" i="26"/>
  <c r="J82" i="26"/>
  <c r="J32" i="26"/>
  <c r="J58" i="26"/>
  <c r="J50" i="26"/>
  <c r="J26" i="26"/>
  <c r="J55" i="26"/>
  <c r="J48" i="26"/>
  <c r="J67" i="26"/>
  <c r="J93" i="26"/>
  <c r="J57" i="26"/>
  <c r="J100" i="26"/>
  <c r="J52" i="26"/>
  <c r="O99" i="25"/>
  <c r="O89" i="25"/>
  <c r="P12" i="25"/>
  <c r="O45" i="25"/>
  <c r="O25" i="25"/>
  <c r="P99" i="25"/>
  <c r="M108" i="26" l="1"/>
  <c r="J108" i="26"/>
  <c r="M107" i="26"/>
  <c r="G107" i="26"/>
  <c r="G108" i="26"/>
  <c r="J107" i="26"/>
  <c r="U79" i="22" l="1"/>
  <c r="S82" i="23"/>
  <c r="I79" i="22"/>
  <c r="R78" i="22"/>
  <c r="R5" i="22" s="1"/>
  <c r="V82" i="23" l="1"/>
  <c r="F81" i="30"/>
  <c r="I5" i="22"/>
  <c r="D79" i="22" s="1"/>
  <c r="U5" i="22"/>
  <c r="S11" i="23"/>
  <c r="I78" i="22"/>
  <c r="U78" i="22"/>
  <c r="I82" i="23"/>
  <c r="M82" i="23" s="1"/>
  <c r="H82" i="25"/>
  <c r="S81" i="23"/>
  <c r="L79" i="22"/>
  <c r="E81" i="30" s="1"/>
  <c r="V11" i="23" l="1"/>
  <c r="F10" i="30"/>
  <c r="V81" i="23"/>
  <c r="F80" i="30"/>
  <c r="L82" i="25"/>
  <c r="I81" i="23"/>
  <c r="M81" i="23" s="1"/>
  <c r="H81" i="25"/>
  <c r="L78" i="22"/>
  <c r="E80" i="30" s="1"/>
  <c r="D74" i="22"/>
  <c r="D87" i="22"/>
  <c r="D63" i="22"/>
  <c r="D49" i="22"/>
  <c r="D59" i="22"/>
  <c r="D25" i="22"/>
  <c r="H11" i="25"/>
  <c r="H82" i="26" s="1"/>
  <c r="L5" i="22"/>
  <c r="E10" i="30" s="1"/>
  <c r="I11" i="23"/>
  <c r="M11" i="23" s="1"/>
  <c r="D51" i="22"/>
  <c r="D61" i="22"/>
  <c r="D38" i="22"/>
  <c r="D96" i="22"/>
  <c r="D72" i="22"/>
  <c r="D108" i="22"/>
  <c r="D57" i="22"/>
  <c r="D15" i="22"/>
  <c r="L15" i="22" s="1"/>
  <c r="E17" i="30" s="1"/>
  <c r="D32" i="22"/>
  <c r="D65" i="22"/>
  <c r="D18" i="22"/>
  <c r="D12" i="22"/>
  <c r="D67" i="22"/>
  <c r="D76" i="22"/>
  <c r="D43" i="22"/>
  <c r="D54" i="22"/>
  <c r="D91" i="22"/>
  <c r="D84" i="22"/>
  <c r="D82" i="22"/>
  <c r="D100" i="22"/>
  <c r="H11" i="26"/>
  <c r="L11" i="26" s="1"/>
  <c r="O11" i="26" s="1"/>
  <c r="D7" i="22"/>
  <c r="L82" i="23"/>
  <c r="K82" i="25"/>
  <c r="D116" i="22" l="1"/>
  <c r="L81" i="25"/>
  <c r="H81" i="26"/>
  <c r="K11" i="26"/>
  <c r="P11" i="26" s="1"/>
  <c r="L11" i="23"/>
  <c r="K11" i="25"/>
  <c r="K82" i="26" s="1"/>
  <c r="L81" i="23"/>
  <c r="K81" i="25"/>
  <c r="H45" i="26"/>
  <c r="H37" i="26"/>
  <c r="H100" i="26"/>
  <c r="H79" i="26"/>
  <c r="H89" i="26"/>
  <c r="H84" i="26"/>
  <c r="H56" i="26"/>
  <c r="H67" i="26"/>
  <c r="L11" i="25"/>
  <c r="H90" i="26"/>
  <c r="H26" i="26"/>
  <c r="H58" i="26"/>
  <c r="H12" i="26"/>
  <c r="H98" i="26"/>
  <c r="H50" i="26"/>
  <c r="H93" i="26"/>
  <c r="H55" i="26"/>
  <c r="H87" i="26"/>
  <c r="H25" i="26"/>
  <c r="H32" i="26"/>
  <c r="H16" i="26"/>
  <c r="H18" i="26"/>
  <c r="H40" i="26"/>
  <c r="H85" i="26"/>
  <c r="H13" i="26"/>
  <c r="H48" i="26"/>
  <c r="H80" i="26"/>
  <c r="H20" i="26"/>
  <c r="H52" i="26"/>
  <c r="H46" i="26"/>
  <c r="H57" i="26"/>
  <c r="H41" i="26"/>
  <c r="H53" i="26"/>
  <c r="H99" i="26"/>
  <c r="P82" i="25"/>
  <c r="K18" i="25"/>
  <c r="L18" i="23"/>
  <c r="O82" i="25"/>
  <c r="H107" i="26" l="1"/>
  <c r="L52" i="26"/>
  <c r="L89" i="26"/>
  <c r="L20" i="26"/>
  <c r="L58" i="26"/>
  <c r="L57" i="26"/>
  <c r="L93" i="26"/>
  <c r="L55" i="26"/>
  <c r="L16" i="26"/>
  <c r="L13" i="26"/>
  <c r="L45" i="26"/>
  <c r="L80" i="26"/>
  <c r="L50" i="26"/>
  <c r="L46" i="26"/>
  <c r="L84" i="26"/>
  <c r="L37" i="26"/>
  <c r="L32" i="26"/>
  <c r="L98" i="26"/>
  <c r="L99" i="26"/>
  <c r="L25" i="26"/>
  <c r="L85" i="26"/>
  <c r="L79" i="26"/>
  <c r="L40" i="26"/>
  <c r="L90" i="26"/>
  <c r="L48" i="26"/>
  <c r="L56" i="26"/>
  <c r="L67" i="26"/>
  <c r="L100" i="26"/>
  <c r="L41" i="26"/>
  <c r="L87" i="26"/>
  <c r="L53" i="26"/>
  <c r="L12" i="26"/>
  <c r="L26" i="26"/>
  <c r="L18" i="26"/>
  <c r="O11" i="25"/>
  <c r="I32" i="28"/>
  <c r="J32" i="18"/>
  <c r="K41" i="26"/>
  <c r="K32" i="26"/>
  <c r="K12" i="26"/>
  <c r="K57" i="26"/>
  <c r="K48" i="26"/>
  <c r="K45" i="26"/>
  <c r="K40" i="26"/>
  <c r="K53" i="26"/>
  <c r="K46" i="26"/>
  <c r="K98" i="26"/>
  <c r="K25" i="26"/>
  <c r="K93" i="26"/>
  <c r="K16" i="26"/>
  <c r="K50" i="26"/>
  <c r="K80" i="26"/>
  <c r="P11" i="25"/>
  <c r="K87" i="26"/>
  <c r="K89" i="26"/>
  <c r="K56" i="26"/>
  <c r="K52" i="26"/>
  <c r="K37" i="26"/>
  <c r="K90" i="26"/>
  <c r="K79" i="26"/>
  <c r="K55" i="26"/>
  <c r="K99" i="26"/>
  <c r="K13" i="26"/>
  <c r="K100" i="26"/>
  <c r="K85" i="26"/>
  <c r="K58" i="26"/>
  <c r="K67" i="26"/>
  <c r="K84" i="26"/>
  <c r="K20" i="26"/>
  <c r="K26" i="26"/>
  <c r="L81" i="26"/>
  <c r="O81" i="25"/>
  <c r="H108" i="26"/>
  <c r="K18" i="26"/>
  <c r="P18" i="25"/>
  <c r="L82" i="26"/>
  <c r="P81" i="25"/>
  <c r="P81" i="26" s="1"/>
  <c r="K81" i="26"/>
  <c r="O82" i="26"/>
  <c r="O81" i="26" l="1"/>
  <c r="P90" i="26"/>
  <c r="P48" i="26"/>
  <c r="P85" i="26"/>
  <c r="P40" i="26"/>
  <c r="P67" i="26"/>
  <c r="P79" i="26"/>
  <c r="P57" i="26"/>
  <c r="P56" i="26"/>
  <c r="P13" i="26"/>
  <c r="P93" i="26"/>
  <c r="P32" i="26"/>
  <c r="P80" i="26"/>
  <c r="P84" i="26"/>
  <c r="P41" i="26"/>
  <c r="P98" i="26"/>
  <c r="P37" i="26"/>
  <c r="P45" i="26"/>
  <c r="P16" i="26"/>
  <c r="P52" i="26"/>
  <c r="P25" i="26"/>
  <c r="P50" i="26"/>
  <c r="P89" i="26"/>
  <c r="P100" i="26"/>
  <c r="P99" i="26"/>
  <c r="P26" i="26"/>
  <c r="P53" i="26"/>
  <c r="P12" i="26"/>
  <c r="P87" i="26"/>
  <c r="P20" i="26"/>
  <c r="P58" i="26"/>
  <c r="P46" i="26"/>
  <c r="P55" i="26"/>
  <c r="K108" i="26"/>
  <c r="L107" i="26"/>
  <c r="O25" i="26"/>
  <c r="O55" i="26"/>
  <c r="O32" i="26"/>
  <c r="O90" i="26"/>
  <c r="O18" i="26"/>
  <c r="O45" i="26"/>
  <c r="O57" i="26"/>
  <c r="O98" i="26"/>
  <c r="O52" i="26"/>
  <c r="O85" i="26"/>
  <c r="O80" i="26"/>
  <c r="O56" i="26"/>
  <c r="O20" i="26"/>
  <c r="O58" i="26"/>
  <c r="O50" i="26"/>
  <c r="O16" i="26"/>
  <c r="O26" i="26"/>
  <c r="O12" i="26"/>
  <c r="O37" i="26"/>
  <c r="O48" i="26"/>
  <c r="O46" i="26"/>
  <c r="O40" i="26"/>
  <c r="O67" i="26"/>
  <c r="O84" i="26"/>
  <c r="O13" i="26"/>
  <c r="O99" i="26"/>
  <c r="O93" i="26"/>
  <c r="O41" i="26"/>
  <c r="O53" i="26"/>
  <c r="O100" i="26"/>
  <c r="O89" i="26"/>
  <c r="O87" i="26"/>
  <c r="O79" i="26"/>
  <c r="P18" i="26"/>
  <c r="K107" i="26"/>
  <c r="L108" i="26"/>
  <c r="P82" i="26"/>
  <c r="O108" i="26" l="1"/>
  <c r="P108" i="26"/>
  <c r="P107" i="26"/>
  <c r="O107" i="26"/>
</calcChain>
</file>

<file path=xl/sharedStrings.xml><?xml version="1.0" encoding="utf-8"?>
<sst xmlns="http://schemas.openxmlformats.org/spreadsheetml/2006/main" count="3634" uniqueCount="1017">
  <si>
    <t>ESTAMPILLAS</t>
  </si>
  <si>
    <t>FUENTES DE INVERSION</t>
  </si>
  <si>
    <t>TOTAL FUENTES DE INVERSION</t>
  </si>
  <si>
    <t>Registro y Anotación</t>
  </si>
  <si>
    <t>Arrendamientos</t>
  </si>
  <si>
    <t>Otros Ingresos No Tributarios</t>
  </si>
  <si>
    <t>Estampilla procultura</t>
  </si>
  <si>
    <t>Sobretasa al ACPM</t>
  </si>
  <si>
    <t>TOTAL</t>
  </si>
  <si>
    <t>Subtotal</t>
  </si>
  <si>
    <t>Licores Nacionales</t>
  </si>
  <si>
    <t>Licores Extranjeros</t>
  </si>
  <si>
    <t>Gaceta Departamental</t>
  </si>
  <si>
    <t>Otras multas de gobierno</t>
  </si>
  <si>
    <t>Rendimientos Financieros FAEP</t>
  </si>
  <si>
    <t>Rendimientos Financieros ICLD</t>
  </si>
  <si>
    <t>Rendimientos Financieros Estampilla procultura</t>
  </si>
  <si>
    <t>Escenario Financiero Año 2021</t>
  </si>
  <si>
    <t>Escenario Financiero Año 2022</t>
  </si>
  <si>
    <t>Escenario Financiero Año 2023</t>
  </si>
  <si>
    <t>Impuestos sobre vehículos automotores (80% Vigencia Actual).</t>
  </si>
  <si>
    <t>Impuestos sobre vehículos automotores (80% Vigencia Anterior).</t>
  </si>
  <si>
    <t>Tabaco y cigarrillos Nacional</t>
  </si>
  <si>
    <t>tabaco y cigarrillos Extranjero</t>
  </si>
  <si>
    <t>Consumo de Cerveza  Nacional</t>
  </si>
  <si>
    <t>Consumo de Cerveza  Extranjera</t>
  </si>
  <si>
    <t>Deguello Ganado Mayor Mpio Arauca</t>
  </si>
  <si>
    <t>Deguello Ganado Mayor Otros Municpios</t>
  </si>
  <si>
    <t>Sobre Tasa a la Gasolina</t>
  </si>
  <si>
    <t>I.V.A.</t>
  </si>
  <si>
    <t>Otras multas de Gobierno</t>
  </si>
  <si>
    <t>Multas por contravenciones a las rentas Departamentales</t>
  </si>
  <si>
    <t>Otros ingresos no tributarios</t>
  </si>
  <si>
    <t>INGRESOS CORRIENTES DE DESTINACION ESPECIFICA</t>
  </si>
  <si>
    <t>PRO DESARROLLO DEPARTAMENTAL</t>
  </si>
  <si>
    <t>PRO ELECTRIFICACION RURAL (Ordenanza 07E de 2,013).</t>
  </si>
  <si>
    <t>PRO ELECTRIFICACION RURAL (Ordenanza 014 de 2,017).</t>
  </si>
  <si>
    <t>PRO DESARROLLO FRONTERIZO</t>
  </si>
  <si>
    <t>PRO CULTURA</t>
  </si>
  <si>
    <t>PROADULTO MAYOR</t>
  </si>
  <si>
    <t>Rendimientos Financieros SGP CancelacionesCPSM</t>
  </si>
  <si>
    <t>Sobretasa Al Acpm.</t>
  </si>
  <si>
    <t>Participacion en el Impuesto al Consumo Telefonía Móvil  ( Cultura).</t>
  </si>
  <si>
    <t>Al Consumo de Licores Extranjeros (Ley 14/83) (3% Deporte)</t>
  </si>
  <si>
    <t>Al Consumo de Licores Nacionales (Ley 14/83) (3% Deporte)</t>
  </si>
  <si>
    <t>5% Fondo de Seguridad</t>
  </si>
  <si>
    <t>Cofinanciación de coberturas en educación entidades productoras</t>
  </si>
  <si>
    <t>Cofinanciación Ministerio de Educación Nacional para el programa de Alimentación Escolar PAE  Jornada Unica</t>
  </si>
  <si>
    <t>TRANSFERENCIAS NACIONALES (Cofinanciacion alimentacion escolar)</t>
  </si>
  <si>
    <t>SISTEMA GENERAL DE REGALIAS</t>
  </si>
  <si>
    <t>ASIGNACIONES DIRECTAS (AD)</t>
  </si>
  <si>
    <t>FONDO DE COMPENSACIÓN REGIONAL (FCR)</t>
  </si>
  <si>
    <t>Rendimientos Financieros Estampilla Procultura</t>
  </si>
  <si>
    <t>Rendimientos Financieros  Estampilla Prodesarrollo Departamental</t>
  </si>
  <si>
    <t>Rendimientos Financieros  Estampilla Proelectrificación</t>
  </si>
  <si>
    <t>Rendimientos Financieros Estampilla Prodesarrollo Fronterizo</t>
  </si>
  <si>
    <t>Rendimientos Financieros Estampilla para el bienestar del Adulto Mayor</t>
  </si>
  <si>
    <t>Rendimientos Financieros sobretasa al ACPM</t>
  </si>
  <si>
    <t>Rendimientos Financieros Fondo de Seguridad Ley 418/97</t>
  </si>
  <si>
    <t>Rendimientos Financieros recursos  Ley de Bibliotecas</t>
  </si>
  <si>
    <t>Rendimientos Financieros Cta 21500241423 Dpto De Arauca Fondo de Desastres</t>
  </si>
  <si>
    <t>Rendimientos Financieros Cta 7370-005256-4 Fondo Rotatorio de Tame</t>
  </si>
  <si>
    <t>Rendimientos Financieros Recursos para Agua Potable y Saneamiento Básico SGP - Ley 1176/2007</t>
  </si>
  <si>
    <t>Rendimientos Financieros Excedentes  FONPET  en virtud del decreto No. 4105/2004, Resolución 1371 del 13 de mayo de 2015  Minhacienda</t>
  </si>
  <si>
    <t>Rendimientos Financieros Excedentes Fonpet en virtud del Decreto No.055/2009, Resolución 304/2014 Ministerio de Hacienda</t>
  </si>
  <si>
    <t>Rendimientos Financieros cta.no.137-30074-5 Recursos para Cofinanciación Cobertura en Educación de las Entidades Territoriales Productoras, art.145 decreto 4923/2011</t>
  </si>
  <si>
    <t>TOTAL FUENTES DE INVERSION SIN SISTEMA GENERAL DE REGALIAS</t>
  </si>
  <si>
    <t>LIBRE INVERSION</t>
  </si>
  <si>
    <t>DESTINACIÓN ESPECIFICA</t>
  </si>
  <si>
    <t>FUENTE</t>
  </si>
  <si>
    <t>ACUEDUCTOS MUNICIPALES Y REGIONALES. (Ley 1450 de 2.011).</t>
  </si>
  <si>
    <t>SOSTENIBILIDAD E IMPLEMENTACION DE LA POLITICA PUBLICA DE GESTION DEL RIESGO EN SUS COMPONENTES DE CONOCIMIENTO Y REDUCCION DEL RIESGO Y MANEJO DE DESASTRES, CALAMIDADES PUBLICAS DECLARADAS Y EMERGENCIAS. (Ordenanza 07E de 2.012).</t>
  </si>
  <si>
    <t>Mantenimiento y fortalecimiento de planatas de sacrificio animal. ( transferidos en convenio con los municipios).</t>
  </si>
  <si>
    <t>FONDO DEPARTAMENTAL DE RENTAS (Decreto 685 de 2018)</t>
  </si>
  <si>
    <t xml:space="preserve">INCENTIVOS A DEPORTISTAS (Ordenanza 015/2013)  </t>
  </si>
  <si>
    <t>DISTRIBUCIÓN DESTINACIÓN ESPECÍFICA 2020</t>
  </si>
  <si>
    <t>FONDO DE DESARROLLO REGIONAL (FDR) - Monto para inversión regional</t>
  </si>
  <si>
    <t xml:space="preserve">VALOR </t>
  </si>
  <si>
    <t>10% RED DE BIBLIOTECAS (Ley 1379 de 2,010).</t>
  </si>
  <si>
    <t xml:space="preserve">Electrificacion rural especialmente en zonas de dificil acceso </t>
  </si>
  <si>
    <t xml:space="preserve">Proyectos que propendan el  uso de energias renovables no convencionales al sistema energetico nacional en zonas rurales del Depratamento de Arauca </t>
  </si>
  <si>
    <t>INFRESTRUCTURA EDUCATIVA 25%</t>
  </si>
  <si>
    <t>INFRAESTRUCTURA SANITARIA 25%</t>
  </si>
  <si>
    <t>INFRA ESTRUCTURA DEPORTIVA 50%</t>
  </si>
  <si>
    <t>25% Desarrollo de la primera infancia. Prioridad la desnutricion.</t>
  </si>
  <si>
    <t>Infraestructura del transporte</t>
  </si>
  <si>
    <t xml:space="preserve">Infraestructura, formacion y dotacion en educacion basica, media  tecnica y superior </t>
  </si>
  <si>
    <t xml:space="preserve">agua potable y saneamiento basico </t>
  </si>
  <si>
    <t>Bibliotecas departamentales, propyectos derivados de los convenios de coperacion e integracion y desarrollo del sector agropecuario</t>
  </si>
  <si>
    <t>20% PRESERVACION DEL MEDIO AMBIENTE</t>
  </si>
  <si>
    <t>25% INVESTIFGACION DE ESTUDIOS EN ASUNTOS FRONTERIZOS</t>
  </si>
  <si>
    <t>DISTRIBUCIÓN ESTAMPÍLLAS 2020</t>
  </si>
  <si>
    <t>60% PROYECTOS CULTURALES (Conforme al art. 166 de la ordenanza 014E de 2,017,  articulo 38 de la Ley 397/97 modificada por el articulo 38-1 de la Ley 666 de 2,001).</t>
  </si>
  <si>
    <t>FINANCION ELECTRIFICACION RURAL (electrificación rural, entendiéndose por ello la instalación, mantenimiento, mejoras y ampliación del servicio, de conformidad con el plan de electrificación rural adoptado por el gobierno departamental.</t>
  </si>
  <si>
    <t>70% PARA LA FINANCIACION DE LOS CENTROS DE VIDA  (Debe distribuirse en todos los municipios de acuerdo al numero de ancianos indigentes que atienda cada ente territorial)</t>
  </si>
  <si>
    <t>30% DOTACION Y FUNCIONAMIENTO DE LOS CENTROS DE BIENESTAR DEL ANCIANO  (Debe distribuirse en todos los municipios de acuerdo al numero de ancianos indigentes que atienda cada ente territorial)</t>
  </si>
  <si>
    <t>SOBRETASA AL ACPM</t>
  </si>
  <si>
    <t>TELEFONIA MOVIL</t>
  </si>
  <si>
    <t>TRANSFERENCIA A COLDEPORTES (Proyectos de inversion DEPORTE) (30%)   POR FUNCIONAMIENTO</t>
  </si>
  <si>
    <t>TRANSFERENCIA A COLDEPORTES(Para sus gastos 70%)  POR FUNCIONAMIENTO</t>
  </si>
  <si>
    <t>SGP EDUCACION</t>
  </si>
  <si>
    <t>100% Mantenimiento Infraestructura Vias</t>
  </si>
  <si>
    <t>CULTURA (Patrimonio cultural)</t>
  </si>
  <si>
    <t>DEPORTE (En convenio con los municipios)</t>
  </si>
  <si>
    <t>5% FONDO DE SEGURIDAD</t>
  </si>
  <si>
    <t>ALIMENTACION ESCOLAR</t>
  </si>
  <si>
    <t>100% AGUA POTABLE Y SANEAMIENTO BASICO</t>
  </si>
  <si>
    <t>DEPORTE</t>
  </si>
  <si>
    <t>100% proyectosde inversion Los recursos de los FONSET se deben destinar prioritariamente a los programas y proyectos a través de los cuales se ejecute la política integral de seguridad y convivencia ciudadana, la cual deberá articularse con la política se seguridad y convivencia ciudadana que formule el Gobierno Nacional.</t>
  </si>
  <si>
    <t>Transferencai al PDA conforme al contarto de fiducia mercantil celebrado con el FIA.</t>
  </si>
  <si>
    <t>Paragrafo 2° del Articulo 268 de la ordenanza 014 de 2,017. Paragrafo del articulo 33 Ley 1816 de 2016.</t>
  </si>
  <si>
    <t>DESASTRES</t>
  </si>
  <si>
    <t>PROYECTOS AGROPECUARIOS</t>
  </si>
  <si>
    <t>SGP- AGUA POTABLE Y SANEAMIENTO BASICO SSF</t>
  </si>
  <si>
    <t>COFINANCIACION</t>
  </si>
  <si>
    <t>OTROS</t>
  </si>
  <si>
    <t>INGRESOS CORRIENTES DE LIBRE DESTINACION-ICLD</t>
  </si>
  <si>
    <t>SGP- EDUCACION</t>
  </si>
  <si>
    <t>TOTAL CUATRIENIO</t>
  </si>
  <si>
    <t>FUENTE DE RECURSOS</t>
  </si>
  <si>
    <t>LINEAS ESTRATÉGICAS</t>
  </si>
  <si>
    <t>% PARA EL PROGRAMA PRESUPUESTAL</t>
  </si>
  <si>
    <t>% A CADA INDICADOR</t>
  </si>
  <si>
    <t>1. ARAUCA CON TRABAJO</t>
  </si>
  <si>
    <t>1. Promoción del desarrollo</t>
  </si>
  <si>
    <t xml:space="preserve">2.Cultura </t>
  </si>
  <si>
    <t>3.Turismo</t>
  </si>
  <si>
    <t>4.Tecnologías de la Información y la comunicación, Ciencia, Tecnología e innovación</t>
  </si>
  <si>
    <t>2.  ARAUCA CON DESARROLLO RURAL SOSTENIBLE</t>
  </si>
  <si>
    <t>5. Desarrollo rural  y agroindustrial</t>
  </si>
  <si>
    <t>6. Medio Ambiente y cambio climático</t>
  </si>
  <si>
    <t>7. Gestión del riesgo</t>
  </si>
  <si>
    <t>3. ARAUCA CON SALUD CONFIABLE</t>
  </si>
  <si>
    <t>8. Salud</t>
  </si>
  <si>
    <t>4.  ARAUCA DIGNA Y SOCIAL</t>
  </si>
  <si>
    <t>9. Educación</t>
  </si>
  <si>
    <t>10. Deporte y recreación</t>
  </si>
  <si>
    <t>11. Primera Infancia, niñez, adolescencia y familia</t>
  </si>
  <si>
    <t>12. Juventud</t>
  </si>
  <si>
    <t>13. Mujer</t>
  </si>
  <si>
    <t>14. Orientación sexual e identidades de género diversas</t>
  </si>
  <si>
    <t>15. Personas en condición de discapacidad</t>
  </si>
  <si>
    <t>16. Persona mayor</t>
  </si>
  <si>
    <t>17. Afrodescendientes</t>
  </si>
  <si>
    <t>18. Indígenas</t>
  </si>
  <si>
    <t>19. Víctimas</t>
  </si>
  <si>
    <t>20. Vivienda</t>
  </si>
  <si>
    <t>5.  ARAUCA CON INFRAESTRUCTURA, SERVICIOS PÚBLICOS Y VÍAS PARA EL DESARROLLO</t>
  </si>
  <si>
    <t>21. Integración vial y transporte (vías urbanas,  primarias, secundarias y terciarias)</t>
  </si>
  <si>
    <t>22. Agua potable y Saneamiento Básico</t>
  </si>
  <si>
    <t>23. Energía convencional y renovables</t>
  </si>
  <si>
    <t>24. Espacio público, urbanismo y Equipamientos colectivos</t>
  </si>
  <si>
    <t>6.  ARAUCA UNA FRONTERA SEGURA Y EN PAZ</t>
  </si>
  <si>
    <t>25. Fronteras, Integración Regional y Cooperación Internacional</t>
  </si>
  <si>
    <t>26. Paz y reconciliación, Derechos Humanos y DIH</t>
  </si>
  <si>
    <t>27. Justicia, seguridad y convivencia ciudadana</t>
  </si>
  <si>
    <t>7. ARAUCA CON BUEN GOBIERNO</t>
  </si>
  <si>
    <t>PROGRAMA ESTRATEGICO SECTORIAL</t>
  </si>
  <si>
    <t>PROGRAMA PRESUPUESTAL</t>
  </si>
  <si>
    <t>28.Gobierno Territorial</t>
  </si>
  <si>
    <t xml:space="preserve">29. -Planeación TerritorialDesarrollo Institucional y Gestion </t>
  </si>
  <si>
    <t>MATRI Z PLURIANUAL DE INVERSIONES</t>
  </si>
  <si>
    <t>1.1. CRECIMIENTO EMPRESARIAL</t>
  </si>
  <si>
    <t>1.3. CONSTRUIMOS FORMALIDAD LABORAL</t>
  </si>
  <si>
    <t>1.2. FORMALIZACIÓN Y GENERACIÓN DE EMPLEO</t>
  </si>
  <si>
    <t>1.4. INVESTIGACIÓN, DESARROLLO TECNOLÓGICO E INNOVACIÓN DEL SECTOR TRABAJO</t>
  </si>
  <si>
    <t>2.1. PROMOCIÓN Y ACCESO EFECTIVO A PROCESOS CULTURALES Y ARTÍSTICOS</t>
  </si>
  <si>
    <t>2.2. PATRIMONIO CULTURAL</t>
  </si>
  <si>
    <t>3.1. TURISMO PARA TODOS</t>
  </si>
  <si>
    <t>4.1.ACCESO A TIC´s</t>
  </si>
  <si>
    <t>4.2.MASIFICAMOS TIC´s</t>
  </si>
  <si>
    <t>4.3.APROPIAMOS TIC´s</t>
  </si>
  <si>
    <t>4.4. INVESTIGACIÓN CON CALIDAD E IMPACTO</t>
  </si>
  <si>
    <t>4.5. CONSOLIDACIÓN DE UNA INSTITUCIONALIDAD HABILITANTE PARA LA CIENCIA TECNOLOGÍA E INNOVACIÓN (CTI)</t>
  </si>
  <si>
    <t>TOTAL DE RECURSOS CUATRIENIO 2020-2023</t>
  </si>
  <si>
    <t xml:space="preserve"> Desahorro del Faep (Ley 1530 de 2012)</t>
  </si>
  <si>
    <t>Desahorro del Fonpet con situación de fondos  - Impuesto de Registro (Resolución No 3743 del 15 Oct/2019 Min Hacienda)</t>
  </si>
  <si>
    <t>Escenario Financiero Inicial Año 2020</t>
  </si>
  <si>
    <t>SECTOR</t>
  </si>
  <si>
    <t>ICLD</t>
  </si>
  <si>
    <t>ESTAMPILLA</t>
  </si>
  <si>
    <t>A N E X O     2</t>
  </si>
  <si>
    <t>AL PROYECTO DE ORDENANZA:  "POR LA CUAL SE FIJA EL PRESUPUESTO DE RENTAS E INGRESOS Y GASTOS DEL DEPARTAMENTO DE ARAUCA PARA LA VIGENCIA FISCAL COMPRENDIDA ENTRE EL 1 DE ENERO Y 31 DE DICIEMBRE DE 2020"</t>
  </si>
  <si>
    <t>GASTOS DE INVERSION</t>
  </si>
  <si>
    <t>UN</t>
  </si>
  <si>
    <t>DIM</t>
  </si>
  <si>
    <t>EJE</t>
  </si>
  <si>
    <t>PROG</t>
  </si>
  <si>
    <t>SUBP</t>
  </si>
  <si>
    <t xml:space="preserve">CODIGO BPIN </t>
  </si>
  <si>
    <t>PROYECTO</t>
  </si>
  <si>
    <t>GASTO PUBLICO SOCIAL</t>
  </si>
  <si>
    <t>PROYECTO DE INVERSION</t>
  </si>
  <si>
    <t>FUENTE DE FINANCIACION</t>
  </si>
  <si>
    <t>VALOR POR FUENTE DE FINANCIACION</t>
  </si>
  <si>
    <t>02</t>
  </si>
  <si>
    <t>SECRETARIA DE GOBIERNO Y SEGURIDAD CIUDADANA</t>
  </si>
  <si>
    <t>04</t>
  </si>
  <si>
    <t>INSTITUCIONAL</t>
  </si>
  <si>
    <t>05</t>
  </si>
  <si>
    <t>BUEN GOBIERNO</t>
  </si>
  <si>
    <t>18</t>
  </si>
  <si>
    <t>GESTION PUBLICA</t>
  </si>
  <si>
    <t>50</t>
  </si>
  <si>
    <t>PARTICIPACION COMUNITARIA Y SERVICIO AL CIUDADANO</t>
  </si>
  <si>
    <t>2019005810154</t>
  </si>
  <si>
    <t>5000</t>
  </si>
  <si>
    <t>NO</t>
  </si>
  <si>
    <t>Implementación de programas de formación y genereación de empoderamiento de lideres comunitarios en el Departamento de Arauca</t>
  </si>
  <si>
    <t>Impuesto de Registro y Anotación</t>
  </si>
  <si>
    <t>20</t>
  </si>
  <si>
    <t>INTEGRACION REGIONAL E INTERNACIONALIZACION</t>
  </si>
  <si>
    <t>54</t>
  </si>
  <si>
    <t>FRONTERAS Y GLOBALIZACION</t>
  </si>
  <si>
    <t>2019005810151</t>
  </si>
  <si>
    <t>5001</t>
  </si>
  <si>
    <t>Desarrollo de estrategia de emprendimiento para población migrante y retornada en el Departamento de Arauca</t>
  </si>
  <si>
    <t>Estampilla ProDesarrollo Fronterizo (Ley 191/95)</t>
  </si>
  <si>
    <t>Rendimientos Financieros Estampilla Prodesarrollo  Fronterizo</t>
  </si>
  <si>
    <t>06</t>
  </si>
  <si>
    <t>RECONCILIACION, PARTICIPACION Y CONVIVENCIA PARA LA PAZ</t>
  </si>
  <si>
    <t>21</t>
  </si>
  <si>
    <t>SEGURIDAD, CONVIVENCIA Y JUSTICIA</t>
  </si>
  <si>
    <t>58</t>
  </si>
  <si>
    <t>DERECHOS HUMANOS Y DIH</t>
  </si>
  <si>
    <t>2019005810134</t>
  </si>
  <si>
    <t>5002</t>
  </si>
  <si>
    <t>Prevención de la violación de Derechos Humanos y del Derecho Internacional Humanitario en el Departamento de Arauca</t>
  </si>
  <si>
    <t>22</t>
  </si>
  <si>
    <t>PAZ Y RECONCILIACION</t>
  </si>
  <si>
    <t>59</t>
  </si>
  <si>
    <t>REINTEGRACION SOCIAL Y ECONOMICA</t>
  </si>
  <si>
    <t>2019005810135</t>
  </si>
  <si>
    <t>5003</t>
  </si>
  <si>
    <t>Apoyo al proceso de reincorporación de excombatientes a la vida civil en el Departamento de Arauca</t>
  </si>
  <si>
    <t>03</t>
  </si>
  <si>
    <t>SECRETARIA GENERAL Y DESARROLLO INSTITUCIONAL</t>
  </si>
  <si>
    <t>48</t>
  </si>
  <si>
    <t>GESTION Y FORTALECIMIENTO INSTITUCIONAL</t>
  </si>
  <si>
    <t>5004</t>
  </si>
  <si>
    <t>Fortalecimiento al programa de gestión documental de la Gobernación del Departamento de Arauca</t>
  </si>
  <si>
    <t>Al Consumo de Licores Nacionales (Ley 14/83)</t>
  </si>
  <si>
    <t>Al Consumo de Licores Extranjeros (Ley 14/83)</t>
  </si>
  <si>
    <t>SECRETARIA DE HACIENDA</t>
  </si>
  <si>
    <t>01</t>
  </si>
  <si>
    <t>SOCIAL</t>
  </si>
  <si>
    <t>EQUIDAD SOCIAL PARA LA PAZ</t>
  </si>
  <si>
    <t>11</t>
  </si>
  <si>
    <t>ARAUCA DEPORTIVA, SANA Y COMPETITIVA</t>
  </si>
  <si>
    <t>28</t>
  </si>
  <si>
    <t>PARTICIPACION, POSICIONAMIENTO Y LIDERAZGO DE LA CULTURA DEPORTIVA</t>
  </si>
  <si>
    <t>5005</t>
  </si>
  <si>
    <t>SI</t>
  </si>
  <si>
    <t xml:space="preserve">Fortalecimiento del programa de incentivos para deportistas y entrenadores medallistas en Juegos Superate campeonatos Nacionales y Juegos Nacionales Arauca </t>
  </si>
  <si>
    <t>5006</t>
  </si>
  <si>
    <t xml:space="preserve">Fortalecimiento al programa de escuelas deportivas en el Departamento de Arauca </t>
  </si>
  <si>
    <t>Al Consumo de Cerveza Nacional (Decreto 190/69)</t>
  </si>
  <si>
    <t>Al Consumo de Licores Extranjeros (Ley 14/83)(3% Deporte)</t>
  </si>
  <si>
    <t>Al consumo de Licores Nacionales (Ley 14/83) (3% Deporte)</t>
  </si>
  <si>
    <t>5007</t>
  </si>
  <si>
    <t xml:space="preserve">Implementación del desarrollo de las prácticas deportivas del programa deporte social comunitario en el Departamento de Arauca </t>
  </si>
  <si>
    <t>29</t>
  </si>
  <si>
    <t>CONSTRUCCION DE ENTORNOS VITALES DE LA CULTURA DEPORTIVA</t>
  </si>
  <si>
    <t>5008</t>
  </si>
  <si>
    <t xml:space="preserve">SI </t>
  </si>
  <si>
    <t>Construcción Adecuación y Mejoramiento de la Infraestructura Física Deportiva y Recreativa del Departamento Arauca</t>
  </si>
  <si>
    <t>Estampilla Prodesarrollo Departamental (Decreto 1222/86)</t>
  </si>
  <si>
    <t>Rendimientos Financieros Estampilla Prodesarrollo Departamental</t>
  </si>
  <si>
    <t>49</t>
  </si>
  <si>
    <t>FINANZAS PUBLICAS</t>
  </si>
  <si>
    <t>5009</t>
  </si>
  <si>
    <t>Control y seguimiento de los tributos departamentales mediante la fiscalización y auditoria tributaria para el incremento del recaudo en las rentas propias del departamento de Arauca</t>
  </si>
  <si>
    <t>SECRETARIA DE PLANEACION</t>
  </si>
  <si>
    <t>REDUCCIÓN DE BRECHAS DE POBREZA PARA LA IGUALDAD</t>
  </si>
  <si>
    <t>VIVIENDA DIGNA Y PRODUCTIVA</t>
  </si>
  <si>
    <t>VIVIENDA URBANA</t>
  </si>
  <si>
    <t>5010</t>
  </si>
  <si>
    <t>Adquisición de predio para el cumplimiento del fallo de tutela 2018-00232 emitido por el juzgado segundo de familia en oralidad para la Fundación Mi futuro con Vivienda</t>
  </si>
  <si>
    <t>Rendimientos Financieros Regalías</t>
  </si>
  <si>
    <t>19</t>
  </si>
  <si>
    <t>52</t>
  </si>
  <si>
    <t>PLANEACION TERRITORIAL</t>
  </si>
  <si>
    <t>5011</t>
  </si>
  <si>
    <t>Apoyo a la formulación, construcción y elaboración del plan departamental del desarrollo y de los municipios del Departamento de Arauca</t>
  </si>
  <si>
    <t>5012</t>
  </si>
  <si>
    <t>Estudios , diseños y formulación de políticas para el mejoramiento de la oportunidad de la inversión en el Departamento de Arauca</t>
  </si>
  <si>
    <t>SECRETARIA DE EDUCACION</t>
  </si>
  <si>
    <t>EDUCACION DE CALIDAD</t>
  </si>
  <si>
    <t>ACCESO Y PERMANENCIA</t>
  </si>
  <si>
    <t>5013</t>
  </si>
  <si>
    <t>Construcción mejoramiento y adecuación de la infraestructura física de los centros educativos urbanos y rurales del Departamento de Arauca</t>
  </si>
  <si>
    <t>4232</t>
  </si>
  <si>
    <t xml:space="preserve">
Servicio de Alimentación Escolar - PAE - en las sedes educativas oficiales priorizadas en el Departamento de Arauca
</t>
  </si>
  <si>
    <t>VIG. FUTURAS</t>
  </si>
  <si>
    <t>QUEDA CON EL MISMO NUMERO DE PROYECTO DEL PPTO 2019</t>
  </si>
  <si>
    <t>Cofinanciacion de coberturas en educacion entidades productoras</t>
  </si>
  <si>
    <t>Cofinanciación Ministerio de Educación Nacional para el programa de Alimentación Escolar PAE</t>
  </si>
  <si>
    <t>Rendimientos Financieros cta No.137-300074-5 Recursos para Cofinanciación Cobertura en Educación de las Entidades Territoriales Productoras. Art 145 Decreto 4923/2011</t>
  </si>
  <si>
    <t>EDUCACION CON PERTINENCIA</t>
  </si>
  <si>
    <t>5015</t>
  </si>
  <si>
    <t>Apoyo para el acceso a la educación superior, tecnología o técnica a la población con discapacidad del Departamento de Arauca</t>
  </si>
  <si>
    <t>10</t>
  </si>
  <si>
    <t>CULTURA ESENCIA DEL TERRITORIO</t>
  </si>
  <si>
    <t>26</t>
  </si>
  <si>
    <t>FORMACION Y PROMOCION CULTURAL</t>
  </si>
  <si>
    <t>5016</t>
  </si>
  <si>
    <t>Apoyo a la difusión de la cultura, mediante la realización de eventos y actividades artísticas en el Departamento de Arauca</t>
  </si>
  <si>
    <t>5017</t>
  </si>
  <si>
    <t>Apoyo a la promoción, divulgación de la lectura a través de la operatividad y jornadas itinerantes en el bibliomóvil en el Departamento de Arauca</t>
  </si>
  <si>
    <t>Rendimientos Financieros Excedentes  FONPET  en virtud del decreto No.4105/2004, Resolución 1371 del 13 de mayo de 2015 MinHacienda</t>
  </si>
  <si>
    <t>27</t>
  </si>
  <si>
    <t>BIENES, SERVICIOS CULTURALES Y PATRIMONIO HISTORICO</t>
  </si>
  <si>
    <t>2019005810033</t>
  </si>
  <si>
    <t>5018</t>
  </si>
  <si>
    <t>Conservación del patrimonio material e inmaterial a través de acciones de rescate, promoción y difusión en el departamento de Arauca</t>
  </si>
  <si>
    <t>Participacion en el Impuesto al Consumo Telefonía Móvil  (Deporte y  Cultura)</t>
  </si>
  <si>
    <t>07</t>
  </si>
  <si>
    <t>SECRETARIA DE DESARROLLO AGROPECUARIO Y SOSTENIBLE</t>
  </si>
  <si>
    <t>ECONOMICA</t>
  </si>
  <si>
    <t>PRODUCTIVIDAD Y COMPETITIVIDAD PARA EL DESARROLLO</t>
  </si>
  <si>
    <t>12</t>
  </si>
  <si>
    <t>INFRAESTRUCTURA ESTRATEGICA</t>
  </si>
  <si>
    <t>31</t>
  </si>
  <si>
    <t>INFRAESTRUCTURA PARA LA PRODUCCION</t>
  </si>
  <si>
    <t>5019</t>
  </si>
  <si>
    <t>Fortalecimiento de las plantas de beneficio animal del departamento de Arauca</t>
  </si>
  <si>
    <t>Al Degüello de Ganado Mayor Municipio de Arauca (Ley 14/83)</t>
  </si>
  <si>
    <t>Al Deguello de Ganado Mayor Otros Municipios (Ley 14/83)</t>
  </si>
  <si>
    <t>15</t>
  </si>
  <si>
    <t>DESARROLLO RURAL INTEGRAL</t>
  </si>
  <si>
    <t>40</t>
  </si>
  <si>
    <t>FOMENTO Y DIVERSIFICACION DE LA PRODUCCION</t>
  </si>
  <si>
    <t>5020</t>
  </si>
  <si>
    <t xml:space="preserve">Fortalecimiento al estatus sanitario del sector agropecuario en el Departamento de Arauca  </t>
  </si>
  <si>
    <t>SE DISMUYO $200</t>
  </si>
  <si>
    <t>AMBIENTAL</t>
  </si>
  <si>
    <t>CRECIMIENTO VERDE</t>
  </si>
  <si>
    <t>17</t>
  </si>
  <si>
    <t>DESARROLLO SOSTENIBLE TERRITORIAL</t>
  </si>
  <si>
    <t>45</t>
  </si>
  <si>
    <t>GESTION AMBIENTAL Y BIODIVERSIDAD</t>
  </si>
  <si>
    <t>5021</t>
  </si>
  <si>
    <t>Implementación de acciones de educación y cultura ambiental en el Departamento Arauca</t>
  </si>
  <si>
    <t>Estampilla Prodesarrollo Fronterizo (Ley 191/95)</t>
  </si>
  <si>
    <t>5022</t>
  </si>
  <si>
    <t>Adquisición y mantenimiento de predios en áreas de interés estratégica que surten de agua los acueductos municipales o regionales en el Departamento de Arauca</t>
  </si>
  <si>
    <t>Al Consumo de Cerveza Extranjera (Decreto 190/69)</t>
  </si>
  <si>
    <t xml:space="preserve">Al Consumo de Tabaco y Cigarrillo Nacional </t>
  </si>
  <si>
    <t>Al Consumo de Tabaco y Cigarrillo Extranjero</t>
  </si>
  <si>
    <t xml:space="preserve">Sobretasa a la Gasolina </t>
  </si>
  <si>
    <t>Multas por contravenciones a las rentas departamentales</t>
  </si>
  <si>
    <t>Impuestos sobre vehículos automotores (80% Vigencia Actual)</t>
  </si>
  <si>
    <t>Impuestos sobre vehículos automotores (80% Vigencia Anterior)</t>
  </si>
  <si>
    <t>I.V.A</t>
  </si>
  <si>
    <t>08</t>
  </si>
  <si>
    <t>SECRETARIA DE INFRAESTRUCTURA FISICA</t>
  </si>
  <si>
    <t>AGUA Y SANEAMIENTO BASICO CON CALIDAD Y ACCESIBILIDAD</t>
  </si>
  <si>
    <t>09</t>
  </si>
  <si>
    <t>AGUA CON CALIDAD</t>
  </si>
  <si>
    <t>5023</t>
  </si>
  <si>
    <t>Traslado al Plan de aguas PDA, contrato de adhesión de fiducia mercantil irrevocable de recaudo, administración, garantías y pagos; para el manejo de los recursos Planes Departamentales de Agua, Departamento de Arauca</t>
  </si>
  <si>
    <t>SGP Agua Potable y Saneamiento Básico (Once doceavas 2020  SSF)</t>
  </si>
  <si>
    <t>SGP Agua Potable y Saneamiento Basico (ultima doceava 2019)</t>
  </si>
  <si>
    <t>Rendimientos financieros recursos para agua potable y saneamiento básico SGP- Ley 1176/2007</t>
  </si>
  <si>
    <t>SANEAMIENTO BASICO DE CALIDAD</t>
  </si>
  <si>
    <t>5024</t>
  </si>
  <si>
    <t>sI</t>
  </si>
  <si>
    <t>Ampliación y optimizacion de los sistemas de alcantarillado sanitario en el Departamento de Arauca</t>
  </si>
  <si>
    <t>30</t>
  </si>
  <si>
    <t>INTEGRACION VIAL</t>
  </si>
  <si>
    <t>5025</t>
  </si>
  <si>
    <t>Construcción de puente en la vereda Galaxia del municipio de Arauquita, Departamento de Arauca</t>
  </si>
  <si>
    <t>5026</t>
  </si>
  <si>
    <t>Construccion puente vehicular vereda Potosi sobre el caño los chorros, via la paz - La Primavera del Municipio de Arauquita, Departamento de Arauca</t>
  </si>
  <si>
    <t>SE AUMENTO</t>
  </si>
  <si>
    <t>32</t>
  </si>
  <si>
    <t>DESARROLLO ENERGETICO</t>
  </si>
  <si>
    <t>5027</t>
  </si>
  <si>
    <t>Ampliación de la electrificación en el área rural del Departamento de Arauca</t>
  </si>
  <si>
    <t>Estampilla Proelectrificación Rural (Ordenanza 07E/2013)</t>
  </si>
  <si>
    <t>Estampilla Proelectrificación Rural (Ordenanza 014E/2017)</t>
  </si>
  <si>
    <t>Rendimientos Financieros Estampilla Proelectrificación Rural</t>
  </si>
  <si>
    <t>5028</t>
  </si>
  <si>
    <t>Ampliación de la cobertura del servicio de energía eléctrica en zonas no interconectadas de los municipios de Arauca y Cravo Norte, en el Departamento de Arauca</t>
  </si>
  <si>
    <t>33</t>
  </si>
  <si>
    <t>MASIFICACION DEL GAS</t>
  </si>
  <si>
    <t>5029</t>
  </si>
  <si>
    <t xml:space="preserve">Apoyo a la ejecución del Plan de Masificación  de Gas Natural en los Municipios del Departamento </t>
  </si>
  <si>
    <t xml:space="preserve"> Rendimientos Financieros Margen de Comercialización Regalías</t>
  </si>
  <si>
    <t xml:space="preserve">Rendimientos Financieros Departamento de Arauca - Saldos Empréstitos </t>
  </si>
  <si>
    <t>Rendimientos Financieros Excedentes del FONPET  en virtud del Decreto No.055/2009, Resolución 304/2014 MinHacienda</t>
  </si>
  <si>
    <t>Rendimientos financieros cta. No 064-011935 Dpto. de Arauca - Empréstito bancario 2013, registro MinHacienda 611515230</t>
  </si>
  <si>
    <t>Rendimientos financieros cta.No.137-31967-9 Departamento de Arauca-Emprestito Bancario 2013, registro MinHacienda 611515221</t>
  </si>
  <si>
    <t>SE DISMINUYO EN $50'</t>
  </si>
  <si>
    <t>SISTEMA GENERAL DE PARTICIPACIONES SGP</t>
  </si>
  <si>
    <t>EFICIENCIA ADMINISTRATIVA</t>
  </si>
  <si>
    <t>5030</t>
  </si>
  <si>
    <t xml:space="preserve">Administración y pago de la nómina de funcionarios administrativos vinculados a la planta de personal para desarrollar labores administrativas en los establecimientos educativos oficiales del Departamento de Arauca </t>
  </si>
  <si>
    <t>SGP Prestación del  Servicio Educativo CSF</t>
  </si>
  <si>
    <t>5031</t>
  </si>
  <si>
    <t>Aporte patronal por concepto de salud a  EPS privada o pública,  liquidación sobre nómina del personal administrativo de los establecimientos educativos oficiales del Departamento de Arauca</t>
  </si>
  <si>
    <t>5032</t>
  </si>
  <si>
    <t>Aporte patronal cotización  a fondo de pensión privado o público, liquidación sobre nómina del personal  administrativo de los establecimientos educativos oficiales del Departamento de Arauca</t>
  </si>
  <si>
    <t>5033</t>
  </si>
  <si>
    <t>Aporte patronal por concepto de riesgos laborales, liquidación sobre nómina del personal  administrativo de los establecimientos educativos oficiales del Departamento de Arauca</t>
  </si>
  <si>
    <t>5034</t>
  </si>
  <si>
    <t>Aportes fondos cesantías, sobre nómina personal administrativo  de los establecimientos educativos oficiales del departamento de Arauca. (Incluye provisión para pago de los intereses sobre cesantías de los empleados del régimen anualizado)</t>
  </si>
  <si>
    <t>5035</t>
  </si>
  <si>
    <t xml:space="preserve">Aporte parafiscal destinado por la ley 21 de 1982  al SENA, liquidación sobre la nómina de administrativos de los establecimientos educativos oficiales del departamento de Arauca </t>
  </si>
  <si>
    <t>5036</t>
  </si>
  <si>
    <t>Aporte parafiscal destinados por la ley 89 de 1988 al ICBF, liquidación sobre la nómina de administrativos de los establecimientos educativos oficiales del Departamento de Arauca</t>
  </si>
  <si>
    <t>5037</t>
  </si>
  <si>
    <t xml:space="preserve">Aporte parafiscal destinado por la ley 21 de 1982  a la ESAP, liquidación sobre la nómina de administrativos de los establecimientos educativos oficiales del Departamento de Arauca </t>
  </si>
  <si>
    <t>5038</t>
  </si>
  <si>
    <t xml:space="preserve">Aporte parafiscal destinado por la ley 21 de 1982  a proveer el pago del subsidio familiar, liquidación sobre la nómina de administrativos de los establecimientos educativos oficiales del Departamento de Arauca </t>
  </si>
  <si>
    <t>5039</t>
  </si>
  <si>
    <t xml:space="preserve">Aporte parafiscal destinado por la ley 21 de 1982  a las escuelas industriales e institutos técnicos, liquidación sobre la nómina de administrativos de los establecimientos educativos oficiales del Departamento de Arauca </t>
  </si>
  <si>
    <t>5040</t>
  </si>
  <si>
    <t>Aporte provisión retroactividad cesantías aplicable a servidores vinculados antes del 30 de diciembre de 1996</t>
  </si>
  <si>
    <t>5041</t>
  </si>
  <si>
    <t>Apoyo con personal ocasional para el desarrollo de actividades netamente transitorias diferentes a docencia en los establecimientos educativos públicos del Departamento de Arauca</t>
  </si>
  <si>
    <t>5042</t>
  </si>
  <si>
    <t>Apoyo para viáticos y gastos de viaje  destinados a financiar los desplazamientos del personal docente, directivo docente y administrativo del  Departamento de Arauca, financiados con recursos del SGP-Educación</t>
  </si>
  <si>
    <t>5043</t>
  </si>
  <si>
    <t xml:space="preserve">Prestación de servicio de aseo para los establecimientos educativos oficiales del Departamento de Arauca </t>
  </si>
  <si>
    <t>5044</t>
  </si>
  <si>
    <t xml:space="preserve">Prestación de servicio de vigilancia para los establecimientos educativos del Departamento de Arauca </t>
  </si>
  <si>
    <t>5045</t>
  </si>
  <si>
    <t xml:space="preserve">ADMINISTRACIÓN Y PAGO DE LA NÓMINA DE   DOCENTES VINCULADOS A LA PLANTA DE PERSONAL DEL DEPARTAMENTO DE ARAUCA Pago con situación de fondos (CSF)   </t>
  </si>
  <si>
    <t>5046</t>
  </si>
  <si>
    <r>
      <t xml:space="preserve">ADMINISTRACIÓN Y PAGO DE LA NÓMINA DE   DOCENTES VINCULADOS A LA PLANTA DE PERSONAL DEL DEPARTAMENTO DE ARAUCA     (Aporte SSF para la seguridad social del 8% que realiza el docente afiliado al Fomag) </t>
    </r>
    <r>
      <rPr>
        <b/>
        <sz val="10"/>
        <color indexed="10"/>
        <rFont val="Tahoma"/>
        <family val="2"/>
      </rPr>
      <t/>
    </r>
  </si>
  <si>
    <t>SGP Prestación del  Servicio Educativo SSF (Aporte del Afiliado)</t>
  </si>
  <si>
    <t>5047</t>
  </si>
  <si>
    <t>APORTES SENA, SOBRE LA NÓMINA DE DOCENTES VINCULADOS A LA PLANTA DE PERSONAL DEL DEPARTAMENTO DE ARAUCA, (Ley 21/82)</t>
  </si>
  <si>
    <t>5048</t>
  </si>
  <si>
    <t>APORTES A ICBF, SOBRE LA NÓMINA DE DOCENTES VINCULADOS A LA PLANTA DE PERSONAL DEL DEPARTAMENTO DE ARAUCA, (Ley 89/88)</t>
  </si>
  <si>
    <t>5049</t>
  </si>
  <si>
    <t>APORTES A ESAP,  SOBRE LA NÓMINA DE DOCENTES VINCULADOS A LA PLANTA DE PERSONAL DEL DEPARTAMENTO DE ARAUCA, (Ley 21/82)</t>
  </si>
  <si>
    <t>5050</t>
  </si>
  <si>
    <t>APORTES A  CAJA DE COMPENSACIÓN FAMILIAR,  SOBRE LA NÓMINA DE DOCENTES VINCULADOS A LA PLANTA DE PERSONAL DEL DEPARTAMENTO DE ARAUCA, (Ley 21/82)</t>
  </si>
  <si>
    <t>5051</t>
  </si>
  <si>
    <t>APORTES A ESCUELAS INDUSTRIALES E INSTITUTOS TÉCNICOS, SOBRE LA NÓMINA DE DOCENTES VINCULADOS A LA PLANTA DE PERSONAL DEL DEPARTAMENTO DE ARAUCA, (Ley 21/82)</t>
  </si>
  <si>
    <t>5052</t>
  </si>
  <si>
    <t>APORTE PATRONAL PARA CESANTÍAS (SSF) LIQUIDADO SOBRE LA NÓMINA DEL PERSONAL DOCENTE  VINCULADO A LA PLANTA DE PERSONAL DEL DEPARTAMENTO DE ARAUCA, AFILIADO AL FOMAG</t>
  </si>
  <si>
    <t>SGP Prestación del  Servicio Educativo SSF (Aporte Patronal)</t>
  </si>
  <si>
    <t>5053</t>
  </si>
  <si>
    <t>APORTE PATRONAL POR CONCEPTO DE SALUD (SSF) LIQUIDADO SOBRE LA NÓMINA DEL PERSONAL DOCENTE  VINCULADO A LA PLANTA DE PERSONAL DEL DEPARTAMENTO DE ARAUCA, AFILIADO AL FOMAG</t>
  </si>
  <si>
    <t>5054</t>
  </si>
  <si>
    <t>SUMINISTRO DE CALZADO Y VESTIDO DE LABOR PARA LOS DOCENTES CONFORME A LO DISPUESTO EN LA LEY 70 DE 1988 y DECRETO REGLAMENTARIO 1978  DE 1989</t>
  </si>
  <si>
    <t>5055</t>
  </si>
  <si>
    <t xml:space="preserve">ADMINISTRACIÓN Y PAGO DE LA NÓMINA  DE DIRECTIVOS DOCENTES VINCULADOS A LA PLANTA DE PERSONAL DEL DEPARTAMENTO DE ARAUCA. Pago con situación de fondos (CSF)   </t>
  </si>
  <si>
    <t>5056</t>
  </si>
  <si>
    <r>
      <t xml:space="preserve">ADMINISTRACIÓN Y PAGO DE LA NÓMINA DE DIRECTIVOS DOCENTES VINCULADOS A LA PLANTA DE PERSONAL DEL DEPARTAMENTO DE ARAUCA. (Aporte SSF para la seguridad social del 8% que realiza el docente afiliado al Fomag) </t>
    </r>
    <r>
      <rPr>
        <b/>
        <sz val="10"/>
        <color indexed="10"/>
        <rFont val="Tahoma"/>
        <family val="2"/>
      </rPr>
      <t/>
    </r>
  </si>
  <si>
    <t>5057</t>
  </si>
  <si>
    <t>APORTES SENA, SOBRE NÓMINA DE DIRECTIVOS DOCENTES VINCULADOS A LA PLANTA DE PERSONAL DEL DEPARTAMENTO DE ARAUCA, (Ley 21/82)</t>
  </si>
  <si>
    <t>5058</t>
  </si>
  <si>
    <t>APORTES A ICBF, SOBRE NÓMINA DE DIRECTIVOS DOCENTES VINCULADOS A LA PLANTA DE PERSONAL DEL DEPARTAMENTO DE ARAUCA, (Ley 89/88)</t>
  </si>
  <si>
    <t>5059</t>
  </si>
  <si>
    <t>APORTES A ESAP, SOBRE NÓMINA DE DIRECTIVOS DOCENTES VINCULADOS A LA PLANTA DE PERSONAL DEL DEPARTAMENTO DE ARAUCA, (Ley 21/82)</t>
  </si>
  <si>
    <t>5060</t>
  </si>
  <si>
    <t>APORTES A  CAJA DE COMPENSACIÓN FAMILIAR, SOBRE NÓMINA DE DIRECTIVOS DOCENTES VINCULADOS A LA PLANTA DE PERSONAL DEL DEPARTAMENTO DE ARAUCA, (Ley 21/82)</t>
  </si>
  <si>
    <t>5061</t>
  </si>
  <si>
    <t>APORTES A ESCUELAS INDUSTRIALES E INSTITUTOS TÉCNICOS, SOBRE NÓMINA DE DIRECTIVOS DOCENTES VINCULADOS A LA PLANTA DE PERSONAL DEL DEPARTAMENTO DE ARAUCA, (Ley 21/82)</t>
  </si>
  <si>
    <t>5062</t>
  </si>
  <si>
    <t>APORTE PATRONAL PARA CESANTÍAS (SSF) LIQUIDADO SOBRE LA NÓMINA DEL PERSONAL DIRECTIVO DOCENTE  VINCULADO A LA PLANTA DE PERSONAL DEL DEPARTAMENTO DE ARAUCA, AFILIADO AL FOMAG</t>
  </si>
  <si>
    <t>5063</t>
  </si>
  <si>
    <t>APORTE PATRONAL POR CONCEPTO DE SALUD (SSF) LIQUIDADO SOBRE LA NÓMINA DEL PERSONAL DIRECTIVO DOCENTE  VINCULADO A LA PLANTA DE PERSONAL DEL DEPARTAMENTO DE ARAUCA, AFILIADO AL FOMAG</t>
  </si>
  <si>
    <t>5064</t>
  </si>
  <si>
    <t>SUMINISTRO DE CALZADO Y VESTIDO DE LABOR PARA LOS DIRECTIVOS DOCENTES CONFORME A LO DISPUESTO EN LA LEY 70 DE 1988 y DECRETO REGLAMENTARIO 1978  DE 1989</t>
  </si>
  <si>
    <t>5065</t>
  </si>
  <si>
    <t>APOYO PARA SERVICIO DE ACOMPAÑAMIENTO Y CUIDADO  DE LOS ESTUDIANTES  ATENDIDOS BAJO LA MODALIDAD DE INTERNADO EN EL DEPARTAMENTO DE ARAUCA</t>
  </si>
  <si>
    <t>5066</t>
  </si>
  <si>
    <t>APOYO PARA LA DOTACIÓN DE ELEMENTOS PARA LA REALIZACIÓN DE ACTIVIDADES DE APROVECHAMIENTO DEL TIEMPO DE LOS ESTUDIANTES ATENDIDOS BAJO LA MODALIDAD DE INTERNADO EN EL DEPARTAMENTO DE ARAUCA</t>
  </si>
  <si>
    <t>5067</t>
  </si>
  <si>
    <t>APOYO CON ENFOQUE DIFERENCIAL A LOS ESTABLECIMIENTOS EDUCATIVOS OFICIALES DEL DEPARTAMENTO DE ARAUCA PARA GARANTIZAR LA SOSTENIBILIDAD DE LA CONECTIVIDAD  A TRAVÉS DEL PROGRAMA CONEXIÓN TOTAL, IMPLEMENTADO POR EL MEN</t>
  </si>
  <si>
    <t>5068</t>
  </si>
  <si>
    <t>SERVICIO DE PERSONAL DE APOYO PARA LA POBLACIÓN CON NECESIDADES EDUCATIVAS ESPECIALES "NEE", CAPACIDADES EXCEPCIONALES Y SISTEMA DE RESPONSABILIDAD PENAL ADOLESCENTES "SRPA" EN ESTABLECIMIENTOS EDUCATIVOS OFICIALES DEL DEPARTAMENTO DE ARAUCA</t>
  </si>
  <si>
    <t>5069</t>
  </si>
  <si>
    <t>PROYECTO PARA EL PAGO DE LA NÓMINA DE PENSIONADOS NACIONALIZADOS DOCENTES Y ADMINISTRATIVOS QUE SE FINANCIAN CON  RECURSOS DE CANCELACIONES-SGP/EDUCACIÓN. (ley 43/1975, Ley 91/1989 y Ley 100/1993)</t>
  </si>
  <si>
    <t>SGP Cancelaciones</t>
  </si>
  <si>
    <t>5070</t>
  </si>
  <si>
    <t>MEJORAMIENTO DE LA CALIDAD EDUCATIVA PARA EL FUNCIONAMIENTO BÁSICO DE LOS ESTABLECIMIENTOS EDUCATIVOS OFICIALES DEL DEPARTAMENTO DE ARAUCA</t>
  </si>
  <si>
    <t xml:space="preserve">Rendimientos Financieros SGP Prestación del  Servicio Educativo para el Mejoramiento de la Calidad </t>
  </si>
  <si>
    <t>Rendimientos Financieros SGP Cancelaciones para el Mejoramiento de la Calidad</t>
  </si>
  <si>
    <t>FONDO DE SEGURIDAD</t>
  </si>
  <si>
    <t>56</t>
  </si>
  <si>
    <t>JUSTICIA Y SEGURIDAD</t>
  </si>
  <si>
    <t>2019005810132</t>
  </si>
  <si>
    <t>5071</t>
  </si>
  <si>
    <t>Implementación de acciones para fortalecer y garantizar la seguridad de los ciudadanos en el Departamento de Arauca</t>
  </si>
  <si>
    <t>Impuesto Del 5% Fondo de Seguridad Ley 418/97, Contratación De La Gobernación De Arauca</t>
  </si>
  <si>
    <t>57</t>
  </si>
  <si>
    <t>CONVIVENCIA CIUDADANA</t>
  </si>
  <si>
    <t>2019005810131</t>
  </si>
  <si>
    <t>5072</t>
  </si>
  <si>
    <t>Implementación de acciones integrales para garantizar la convivencia entre los ciudadanos en el Departamento de Arauca</t>
  </si>
  <si>
    <t>Rendimientos Financieros Fondo de seguridad ley 418/97</t>
  </si>
  <si>
    <t>FONDO LOCAL DE SALUD</t>
  </si>
  <si>
    <t>SALUD PREVENTIVA, ASISTENCIAL E INTERVENCIONISTA</t>
  </si>
  <si>
    <t>SISTEMA ASISTENCIAL E INTERVENCIONISTA HUMANIZADO</t>
  </si>
  <si>
    <t>5073</t>
  </si>
  <si>
    <t>Fortalecimiento de la familia  en el desarrollo y el cuidado integral en salud de niños y niñas del Departamento de Arauca</t>
  </si>
  <si>
    <t>5074</t>
  </si>
  <si>
    <t>Mejoramiento del centro regulador de urgencias, emergencias y desastres (CRUED) y actualización de las comunicaciones para contribuir a la operatividad y mejorar la capacidad de respuesta en salud en el Departamento de Arauca</t>
  </si>
  <si>
    <t>5075</t>
  </si>
  <si>
    <t>Fortalecimiento de las acciones de convivencia social y salud mental para la prevención del suicidio y violencias en el Departamento de Arauca</t>
  </si>
  <si>
    <t>5076</t>
  </si>
  <si>
    <t>Fortalecimiento de la capacidad de respuesta de la red sanitaria y salud pública por el laboratorio de salud pública fronterizo en el Departamento de Arauca</t>
  </si>
  <si>
    <t>RED INTEGRAL PARA LA PRESTACION DE SERVICIOS BASICOS, ESPECIALIZADOS Y RESPUESTA A LAS CAPACIDADES BASICAS EN SALUD PUBLICA</t>
  </si>
  <si>
    <t>5077</t>
  </si>
  <si>
    <t>Fortalecimiento de la prestación de servicios y tecnologías en salud no cubiertos por el PBS con cargo a la UPC para garantizar acceso a los servicios que demanda la población pobre afiliada régimen subsidiado del Departamento de Arauca</t>
  </si>
  <si>
    <t>5078</t>
  </si>
  <si>
    <t>Fortalecimiento al sistema general de seguridad social en salud mediante acciones operativas que permitan el seguimiento, evaluacion y control del sector salud del Departamento de Arauca</t>
  </si>
  <si>
    <t>5079</t>
  </si>
  <si>
    <t>Implementación de acciones de fortalecimiento de la gestion integral del riesgo en salud conenfoque de curso de vida en el Departamento de Arauca</t>
  </si>
  <si>
    <t>FONDO DEPARTAMENTAL DE RENTAS</t>
  </si>
  <si>
    <t>5080</t>
  </si>
  <si>
    <t>Apoyo a los procesos de fiscalización para el incremento del recaudo en las rentas propias del Departamento de Arauca Arauca</t>
  </si>
  <si>
    <t>Otros Ingresos no Tributarios</t>
  </si>
  <si>
    <t>16</t>
  </si>
  <si>
    <t xml:space="preserve">FONDO DE GESTION DEL RIESGO </t>
  </si>
  <si>
    <t>47</t>
  </si>
  <si>
    <t>CRECIMIENTO RESILIENTE Y REDUCCION DEL RIESGO</t>
  </si>
  <si>
    <t>5081</t>
  </si>
  <si>
    <t>Construcción de Obras de Mitigación del Riesgo para la prevención de Inundaciones en el Departamento de   Arauca</t>
  </si>
  <si>
    <t>2019005810106</t>
  </si>
  <si>
    <t>5082</t>
  </si>
  <si>
    <t>Construcción de obras de respuesta a emergencia y protección para la reducción del riesgo de la población mediante la operación del banco de maquinaria amarilla en el Departamento de  Arauca</t>
  </si>
  <si>
    <t>SE DISMINUYO $50'</t>
  </si>
  <si>
    <t xml:space="preserve">SECRETARIA DE DESARROLLO SOCIAL </t>
  </si>
  <si>
    <t>NIÑEZ, ADOLESCENCIA Y FAMILIA</t>
  </si>
  <si>
    <t>13</t>
  </si>
  <si>
    <t>PRIMERA INFANCIA</t>
  </si>
  <si>
    <t>5083</t>
  </si>
  <si>
    <t>Implementación de la política pública de la primera infancia en el Departamento de Arauca</t>
  </si>
  <si>
    <t>14</t>
  </si>
  <si>
    <t>INFANCIA</t>
  </si>
  <si>
    <t>5084</t>
  </si>
  <si>
    <t>Apoyo  de estrategias  integrales para la infancia en el Departamento de Arauca</t>
  </si>
  <si>
    <t>ADOLESCENCIA</t>
  </si>
  <si>
    <t>5085</t>
  </si>
  <si>
    <t>Desarrollo de acciones de promoción y prevención la adolescencia en el Departamento de Arauca</t>
  </si>
  <si>
    <t>FORTALECIMIENTO Y BIENESTAR FAMILIAR</t>
  </si>
  <si>
    <t>5086</t>
  </si>
  <si>
    <t xml:space="preserve">Fortalecimiento  Psicoemocional a los núcleos familiares en el Departamento de Arauca </t>
  </si>
  <si>
    <t>se disminuyo $10'</t>
  </si>
  <si>
    <t>JUVENTUD</t>
  </si>
  <si>
    <t>PAZ, CONVIVENCIA Y PARTICIPACION JUVENIL</t>
  </si>
  <si>
    <t>5087</t>
  </si>
  <si>
    <t>Implementación de la política pública de juventud en el Departamento de Arauca</t>
  </si>
  <si>
    <t>POBLACIONES PRIORITARIAS</t>
  </si>
  <si>
    <t>MUJERES Y EQUIDAD DE GENERO</t>
  </si>
  <si>
    <t>5088</t>
  </si>
  <si>
    <t>Implementación de la Politica pública departamental de la mujer por una Arauca con equidad de género para las mujeres</t>
  </si>
  <si>
    <t>se disminuyo $50'</t>
  </si>
  <si>
    <t>ORIENTACION SEXUAL E IDENTIDADES DE GENERO DIVERSAS</t>
  </si>
  <si>
    <t>5089</t>
  </si>
  <si>
    <t>Implementación de acciones para el reconocimiento, garantía, respeto y goce efectivo de los derechos de las personas con orientación e identidad de género diversa en el Departamento de Arauca</t>
  </si>
  <si>
    <t>PERSONAS EN CONDICION DE DISCAPACIDAD</t>
  </si>
  <si>
    <t>5090</t>
  </si>
  <si>
    <t>Implementación de Politica pública departamental de  discapacidad en el Departamento de Arauca</t>
  </si>
  <si>
    <t>PERSONA MAYOR</t>
  </si>
  <si>
    <t>5091</t>
  </si>
  <si>
    <t>Implementación de políticas públicas del adulto mayor  en el Departamento de Arauca</t>
  </si>
  <si>
    <t>Estampilla para el bienestar del Adulto Mayor</t>
  </si>
  <si>
    <t>GRUPOS ETNICOS</t>
  </si>
  <si>
    <t>AFRODESCENDIENTES</t>
  </si>
  <si>
    <t>5092</t>
  </si>
  <si>
    <t>Implementación de la Politica publica departamental afrodescendiente en el Departamento de Arauca</t>
  </si>
  <si>
    <t>23</t>
  </si>
  <si>
    <t>INDIGENAS</t>
  </si>
  <si>
    <t>5093</t>
  </si>
  <si>
    <t>Desarrollo de acciones para la atención integral a personas mayores indígenas del pueblo Uwa del Departamento de Arauca</t>
  </si>
  <si>
    <t>5094</t>
  </si>
  <si>
    <t>Implementación de la estrategia de escuela de liderazgo de los pueblos indígenas en el Departamento de Arauca</t>
  </si>
  <si>
    <t>5095</t>
  </si>
  <si>
    <t>Apoyo a la atención integral a la familia indígena en el Departamento de Arauca</t>
  </si>
  <si>
    <t>VICTIMAS</t>
  </si>
  <si>
    <t>24</t>
  </si>
  <si>
    <t>PREVENCION Y PROTECCION PARA LAS VICTIMAS</t>
  </si>
  <si>
    <t>5096</t>
  </si>
  <si>
    <t>Implementación de un programa de formación mediante el acceso a la educación superior y técnica dirigido a los jóvenes victimas del Departamento de Arauca</t>
  </si>
  <si>
    <t>5097</t>
  </si>
  <si>
    <t>Fortalecimiento de los espacios de concertación y toma de decisiones  para el avance en la Política publica de víctimas del Departamento de Arauca</t>
  </si>
  <si>
    <t>25</t>
  </si>
  <si>
    <t>REPARACION INTEGRAL A LAS VICTIMAS</t>
  </si>
  <si>
    <t>5098</t>
  </si>
  <si>
    <t>Implementación de soluciones duraderas para la superación del estado de vulnerabilidad de la población desplazada y víctima en el Departamento de Arauca</t>
  </si>
  <si>
    <t>se disminuyo $16.250.000</t>
  </si>
  <si>
    <t>TOTAL GASTOS DE INVERSION</t>
  </si>
  <si>
    <t>GASTOS DE LOS ENTES DESCENTRALIZADOS CON RECURSOS PROPIOS</t>
  </si>
  <si>
    <t>VALOR</t>
  </si>
  <si>
    <t>UNIDAD ADMINISTRATIVA ESPECIAL DE SALUD DE ARAUCA - FONDO DEPARTAMENTAL DE SALUD</t>
  </si>
  <si>
    <t>INSTITUTO DE TRANSITO Y TRANSPORTE</t>
  </si>
  <si>
    <t>INSTITUTO DE DESARROLLO DE ARAUCA - IDEAR</t>
  </si>
  <si>
    <t>COLDEPORTES ARAUCA</t>
  </si>
  <si>
    <t>TOTAL GASTOS ENTES DESCENTRALIZADOS</t>
  </si>
  <si>
    <t>TOTAL PRESUPUESTO DE GASTOS: NIVEL CENTAL + ENTES DESCENTRALIZADOS</t>
  </si>
  <si>
    <t>TOTAL DE RECURSOS 2020</t>
  </si>
  <si>
    <t>TOTAL PDD</t>
  </si>
  <si>
    <t>TOTAL LINEA ESTRATÉGICA</t>
  </si>
  <si>
    <t>TOTAL PROGRAMA ESTRATÉGICO SECTORIAL</t>
  </si>
  <si>
    <t>TOTAL DE RECURSOS 2021</t>
  </si>
  <si>
    <t>TOTAL DE RECURSOS 2022</t>
  </si>
  <si>
    <t>TOTAL DE RECURSOS 2023</t>
  </si>
  <si>
    <t xml:space="preserve"> PRO CULTURA</t>
  </si>
  <si>
    <t>PROELECTIFICACION RURAL</t>
  </si>
  <si>
    <t>PRO DESARROLO DEPARTAMENTAL</t>
  </si>
  <si>
    <t>PRO DESARROLLO FONTERIZO</t>
  </si>
  <si>
    <t>BIENESTAR DEL ADULTO MAYOR</t>
  </si>
  <si>
    <t>RENTA</t>
  </si>
  <si>
    <t>PROYECCION</t>
  </si>
  <si>
    <t>20% PASIVO . PENSIONAL TERRITORIAL funcionamiento</t>
  </si>
  <si>
    <t>TOTAL INVERSION</t>
  </si>
  <si>
    <t>10%SEGURIDAD DEL ARTISTA</t>
  </si>
  <si>
    <r>
      <t xml:space="preserve">60% PROYECTOS CULTURALES </t>
    </r>
    <r>
      <rPr>
        <sz val="8"/>
        <rFont val="Arial Narrow"/>
        <family val="2"/>
      </rPr>
      <t>(Conforme al art. 166 de la ordenanza 014E de 2,017,  articulo 38 de la Ley 397/97 modificada por el articulo 38-1 de la Ley 666 de 2,001).</t>
    </r>
  </si>
  <si>
    <r>
      <t xml:space="preserve">FINANCION ELECTRIFICACION RURAL </t>
    </r>
    <r>
      <rPr>
        <sz val="8"/>
        <rFont val="Arial Narrow"/>
        <family val="2"/>
      </rPr>
      <t>(electrificación rural, entendiéndose por ello la instalación, mantenimiento, mejoras y ampliación del servicio, de conformidad con el plan de electrificación rural adoptado por el gobierno departamental.</t>
    </r>
  </si>
  <si>
    <r>
      <t xml:space="preserve">70% PARA LA FINANCIACION DE LOS CENTROS DE VIDA  </t>
    </r>
    <r>
      <rPr>
        <sz val="8"/>
        <rFont val="Arial Narrow"/>
        <family val="2"/>
      </rPr>
      <t>(Debe distribuirse en todos los municipios de acuerdo al numero de ancianos indigentes que atienda cada ente territorial)</t>
    </r>
  </si>
  <si>
    <r>
      <t xml:space="preserve">30% DOTACION Y FUNCIONAMIENTO DE LOS CENTROS DE BIENESTAR DEL ANCIANO  </t>
    </r>
    <r>
      <rPr>
        <sz val="8"/>
        <rFont val="Arial Narrow"/>
        <family val="2"/>
      </rPr>
      <t>(Debe distribuirse en todos los municipios de acuerdo al numero de ancianos indigentes que atienda cada ente territorial)</t>
    </r>
  </si>
  <si>
    <t>5.4. SANIDAD AGROPECUARIA E INOCUIDAD AGROALIMENTARIA</t>
  </si>
  <si>
    <t>5.6. INFRAESTRUCTURA PRODUCTIVA Y COMERCIALIZACIÓN</t>
  </si>
  <si>
    <t>7.1. ORDENAMIENTO AMBIENTAL TERRITORIAL</t>
  </si>
  <si>
    <t>10.1. FORMACIÓN Y PREPARACIÓN DE DEPORTISTAS</t>
  </si>
  <si>
    <t>10.2. FOMENTO A LA RECREACIÓN, LA ACTIVIDAD FÍSICA Y EL DEPORTE</t>
  </si>
  <si>
    <t>2020-2023</t>
  </si>
  <si>
    <t>% DISTRIBUCION</t>
  </si>
  <si>
    <t>PLAN DE DESARROLLO "CONSTRUYENDO FUTURO"
PLAN PLURIANUAL DE INVERSIONES 2020-2023</t>
  </si>
  <si>
    <t>TOTAL LINEA ESTRATÉGICA 1</t>
  </si>
  <si>
    <t>TOTAL LINEA ESTRATÉGICA 2</t>
  </si>
  <si>
    <t>TOTAL LINEA ESTRATÉGICA 3</t>
  </si>
  <si>
    <t>TOTAL LINEA ESTRATÉGICA 4</t>
  </si>
  <si>
    <t>TOTAL LINEA ESTRATÉGICA 5</t>
  </si>
  <si>
    <t>TOTAL LINEA ESTRATÉGICA 6</t>
  </si>
  <si>
    <t>TOTAL LINEA ESTRATÉGICA 7</t>
  </si>
  <si>
    <t>INGRESOS CORRIENTES DE DESTINACION ESPECIFICA 2020-2023</t>
  </si>
  <si>
    <t>INGRESOS CORRIENTES DE LIBRE DESTINACION-ICLD  2020-2023</t>
  </si>
  <si>
    <t>SGP- EDUCACION 2020-2023</t>
  </si>
  <si>
    <t>SGP- AGUA POTABLE Y SANEAMIENTO BASICO SSF 2020-2023</t>
  </si>
  <si>
    <t>SISTEMA GENERAL DE REGALIAS 2020-2023</t>
  </si>
  <si>
    <t>COFINANCIACION 2020-2023</t>
  </si>
  <si>
    <t>OTROS 2020-2023</t>
  </si>
  <si>
    <t>28.Buen Gobierno Territorial</t>
  </si>
  <si>
    <t>PROYECCION DE INGRESOS CORRIENTES DE LIBRE DESTINACIÓN
VIGENCIA 2020</t>
  </si>
  <si>
    <t>TOTAL FUENTES DE INVERSION SIN SISTEMA GENERAL DE PARTICIPACIONES - EDUCACIÓN</t>
  </si>
  <si>
    <t xml:space="preserve">PLAN FINANCIERO DEPARTAMENTO DE ARAUCA 2020-2023 </t>
  </si>
  <si>
    <t>SUBTOTAL</t>
  </si>
  <si>
    <t>3.2. TURISMO CON FUTURO</t>
  </si>
  <si>
    <t>5.1. INCLUSIÓN PRODUCTIVA DE PEQUEÑOS PRODUCTORES RURALES</t>
  </si>
  <si>
    <t>5.2. SERVICIOS FINANCIEROS Y GESTIÓN DEL RIESGO PARA LAS ACTIVIDADES AGROPECUARIAS Y RURALES</t>
  </si>
  <si>
    <t>5.3. ORDENAMIENTO SOCIAL Y USO PRODUCTIVO DEL TERRITORIO RURAL</t>
  </si>
  <si>
    <t>5.5. CIENCIA, TECNOLOGÍA E INNOVACIÓN AGROPECUARIA</t>
  </si>
  <si>
    <t>6.1. FORTALECIMIENTO DEL DESEMPEÑO AMBIENTAL DE LOS SECTORES PRODUCTIVOS</t>
  </si>
  <si>
    <t>6.3. GESTIÓN INTEGRAL DEL RECURSO HIDRICO</t>
  </si>
  <si>
    <t>6.4. GESTION DE LA INFORMACION Y CONOCIMIENTO AMBIENTAL</t>
  </si>
  <si>
    <t>6.5. GESTION DEL CAMBIO CLIMÁTICO PARA UN DESARROLLO BAJO EN CARBONO Y RESILIENTE AL CLIMA</t>
  </si>
  <si>
    <t>7.2. GESTIÓN DE LA INFORMACIÓN Y CONOCIMIENTO AMBIENTAL</t>
  </si>
  <si>
    <t>7.3. PREVENCIÓN Y ATENCIÓN DE DESASTRES Y EMERGENCIAS.</t>
  </si>
  <si>
    <t>8.1. RECTORÍA EN SALUD PARA LA BUENA GOBERNANZA</t>
  </si>
  <si>
    <t>8.2. SALUD PÚBLICA EFICIENTE Y OPORTUNA</t>
  </si>
  <si>
    <t>8.3. PRESTACIÓN DE SERVICIOS DE SALUD CON CALIDAD</t>
  </si>
  <si>
    <t>8.4. INFRAESTRUCTURA, EQUIPOS Y TECNOLOGÍAS EN SALUD PARA EL FUTURO</t>
  </si>
  <si>
    <t>9.1. CALIDAD, COBERTURA Y FORTALECIMIENTO DE LA EDUCACIÓN INICIAL, PRE ESCOLAR, BÁSICA Y MEDIA</t>
  </si>
  <si>
    <t>11.1. DESARROLLO INTEGRAL DE NIÑOS, NIÑAS Y ADOLESCENTES Y SUS FAMILIAS</t>
  </si>
  <si>
    <t>11.2. INCLUSIÓN SOCIAL Y PRODUCTIVA PARA LA POBLACIÓN EN SITUACIÓN DE VULNERABILIDAD</t>
  </si>
  <si>
    <t>12.1. JOVENES CON FUTURO</t>
  </si>
  <si>
    <t>13.1. INCLUSIÓN SOCIAL Y PRODUCTIVA PARA LA POBLACIÓN EN SITUACIÓN DE VULNERABILIDAD</t>
  </si>
  <si>
    <t>14.1. INCLUSIÓN SOCIAL Y PRODUCTIVA PARA LA POBLACIÓN EN SITUACIÓN DE VULNERABILIDAD</t>
  </si>
  <si>
    <t>15.1. ATENCION INTEGRAL DE POBLACIÓN EN SITUACIÓN PERMANENTE DE DESPROTECCIÓN SOCIAL Y/O FAMILIAR</t>
  </si>
  <si>
    <t>16.1. ATENCION INTEGRAL DE POBLACIÓN EN SITUACIÓN PERMANENTE DE DESPROTECCIÓN SOCIAL Y/O FAMILIAR</t>
  </si>
  <si>
    <t>17.1. FORTALECIMIENTO DE LA CONVIVENCIA Y LA SEGURIDAD CIUDADANA</t>
  </si>
  <si>
    <t>17.3. INCLUSIÓN SOCIAL Y PRODUCTIVA PARA LA POBLACIÓN EN SITUACIÓN DE VULNERABILIDAD</t>
  </si>
  <si>
    <t>17.4. PARTICIPACION CIUDADANA Y POLÍTICA Y RESPETO POR LOS DERECHOS HUMANOS Y DIVERSIDAD DE CREENCIAS</t>
  </si>
  <si>
    <t>19.1. ATENCIÓN, ASISTENCIA Y REPARACIÓN INTEGRAL A LAS VICTIMAS</t>
  </si>
  <si>
    <t>18.1. ATENCIÓN, ASISTENCIA Y REPARACIÓN INTEGRAL A LAS VICTIMAS</t>
  </si>
  <si>
    <t>17.2. ATENCIÓN, ASISTENCIA Y REPARACIÓN INTEGRAL A LAS VICTIMAS</t>
  </si>
  <si>
    <t>20.1. ACCESO A SOLUCIONES DE VIVIENDA</t>
  </si>
  <si>
    <t>21.1. INFRAESTRUCTURA RED VIAL REGIONAL</t>
  </si>
  <si>
    <t>21.2. SEGURIDAD DE TRANSPORTE</t>
  </si>
  <si>
    <t>22.1. ACCESO DE LA POBLACIÓN A LOS SERVICIOS DE AGUA POTABLE Y SANEAMIENTO BÁSICO</t>
  </si>
  <si>
    <t>23.1. CONSOLIDACIÓN PRODUCTIVA DEL SECTOR DE ENERGÍA ELECTRICA</t>
  </si>
  <si>
    <t>23.2. CONLIDAR EL MERCADO DE GAS COMBUSTIBLE AL NIVEL RESIDENCIAL, COMERCIAL E INDUSTRIAL</t>
  </si>
  <si>
    <t xml:space="preserve">24.1. ORDENAMIENTO TERRITORIAL Y DESARROLLO URBANO </t>
  </si>
  <si>
    <t>24.2. ACCESO A SOLUCIONES DE VIVIENDA</t>
  </si>
  <si>
    <t>25.1. GENERACIÓN Y FORMALIZACIÓN DEL EMPLEO</t>
  </si>
  <si>
    <t>25.2. INCLUSIÓN SOCIAL Y PRODUCTIVA PARA LA POBLACIÓN EN SITUACIÓN DE VULNERABILIDAD</t>
  </si>
  <si>
    <t>25.4. INFRAESTRUCTURA Y SERVICIOS DE LOGÍSTICA DE TRANSPORTE</t>
  </si>
  <si>
    <t>25.3. ATENCIÓN INTEGRAL DE POBLACIÓN EN SITUACIÓN PERMANENTE DE DESPROTECCIÓN SOCIAL Y/O FAMILIAR</t>
  </si>
  <si>
    <t>26.1. FORTALECIMIENTO DE LA CONVIVENCIA Y LA SEGURIDAD CIUDADANA</t>
  </si>
  <si>
    <t>26.2. ATENCIÓN, ASISTENCIA Y REPARACIÓN INTEGRAL A LAS VICTIMAS</t>
  </si>
  <si>
    <t>26.3. GESTIÓN, PROTECCIÓN Y SALVAGUARDIA DEL PATRIMONIO CULTURAL COLOMBIANO</t>
  </si>
  <si>
    <t>27.1. PROMOCIÓN AL ACCESO A LA JUSTICIA</t>
  </si>
  <si>
    <t>27.2. PROMOCIÓN DE LOS METODOS DE RESOLUCIÓN DE CONFLICTOS</t>
  </si>
  <si>
    <t>27.3. FORTALECIMIENTO DE LA CONVIVENCIA Y LA SEGURIDAD CIUDADANA</t>
  </si>
  <si>
    <t>27.4. SISTEMA PENITENCIARIO Y CARCELARIO EN EL MARCO DE LOS DERECHOS HUMANOS</t>
  </si>
  <si>
    <t>27.5. DESARROLLO INTEGRAL DE NIÑOS, NIÑAS, ADOLESCENTES Y SUS FAMILIAS</t>
  </si>
  <si>
    <t>27.6. PRODUCTIVIDAD Y COMPETITIVIDA DE LAS EMPRESAS COLOMBIANAS</t>
  </si>
  <si>
    <t>28.1. FORTALECIMIENTO DE LA CONVIVENCIA Y LA SEGURIDAD CIUDADANA</t>
  </si>
  <si>
    <t>28.2. FOMENTO DE LA INVESTIGACIÓN, DESARROLLO TECNOLÓGICO E INNOVACIÓN DEL SECTOR TRABAJO</t>
  </si>
  <si>
    <t>28.3. LEVANTAMIENTO Y ACTUALIZACIÓN DE INFORMACIÓN ESTADISTICA DE CALIDAD</t>
  </si>
  <si>
    <t>28.4. FOMENTO DEL DESARROLLO DE APLICACIONES, SOFTWARE Y CONETNIDOS PARA IMPULSAR LA APROPIACION DE LAS TECNOLOGÍAS DE LA INFORMACIÓN Y LAS COMUNICACIONES</t>
  </si>
  <si>
    <t>28.5. DESARROLLO, INNOVACIÓN Y TRANSFERENCIA DE CONOCIMIENTO INSTITUCIONAL</t>
  </si>
  <si>
    <t>28.6. GESTIÓN, PROTECCIÓN Y SALVAGUARDIA DEL PATRIMONIO CULTURAL COLOMBIANO</t>
  </si>
  <si>
    <t>28.7. PARTICIPACION CIUDADANA Y POLÍTICA Y RESPETO POR LOS DERECHOS HUMANOS Y DIVERSIDAD DE CREENCIAS</t>
  </si>
  <si>
    <t>6.2. CONSERVACIÓN DE LA BIODIVERSIDAD Y SUS SERVICIOS ECOSISTÉMICOS</t>
  </si>
  <si>
    <t>VERSIÓN: 1</t>
  </si>
  <si>
    <t>FECHA: 10/02/2020</t>
  </si>
  <si>
    <t xml:space="preserve"> CÓDIGO: PLDES-F-02</t>
  </si>
  <si>
    <t xml:space="preserve"> CÓDIGO: PLDES-F-01</t>
  </si>
  <si>
    <t>DOCUMENTO CONTROLADO</t>
  </si>
  <si>
    <t>CÓDIGO: PLDES-F-13</t>
  </si>
  <si>
    <t>LINEA ESTRATÉGICA CONSTRUYENDO FUTURO</t>
  </si>
  <si>
    <t xml:space="preserve">SECTOR PARA LA CLASIFICACIÓN "CONSTRUYENDO FUTURO" </t>
  </si>
  <si>
    <t>DE</t>
  </si>
  <si>
    <t>1.1. Crecimiento empresarial-Productividad y competitividad de las empresas colombiana</t>
  </si>
  <si>
    <t>1.2. Generación y Formalización de empleo</t>
  </si>
  <si>
    <t>1.3. Construimos formalidad laboral- derechos fundamentales del trabajo</t>
  </si>
  <si>
    <t>2.1. Promoción y acceso efectivo a procesos culturales y artísticos</t>
  </si>
  <si>
    <t>2.2. Gestión, protección y salvaguarda del patrimonio cultural colombiano</t>
  </si>
  <si>
    <t>3.1. Turismo para todos</t>
  </si>
  <si>
    <t>3.2. Turismo con futuro</t>
  </si>
  <si>
    <t>4.4. Investigación con calidad e impacto</t>
  </si>
  <si>
    <t>4.5. Consolidación de una institucionalidad habilitante para la ciencia tecnología e innovación</t>
  </si>
  <si>
    <t>4.3. Apropiamos Tics</t>
  </si>
  <si>
    <t>4.2.Acceso a Tics</t>
  </si>
  <si>
    <t>4.1. Masificamos Tics</t>
  </si>
  <si>
    <t>5.1. Inclusión productiva de pequeños productores rurales</t>
  </si>
  <si>
    <t>5.2. Servicios financieros y gestión del riesgo para las actividades agropecuarias y rurales</t>
  </si>
  <si>
    <t>5.3. Ordenamiento social y uso productivo del territorio rural</t>
  </si>
  <si>
    <t>5.4. Ciencia, tecnología e innovación agropecuaria</t>
  </si>
  <si>
    <t>5.5. Sanidad agropecuaria e inocuidad agroalimentaria</t>
  </si>
  <si>
    <t>5.6. Infraestructura productiva y comercialización</t>
  </si>
  <si>
    <t>6.1. Fortalecimiento del desempeño ambiental de los sectores productivos</t>
  </si>
  <si>
    <t xml:space="preserve">6.2. Conservación de la Biodiversidad y sus servicios ecosistémicos </t>
  </si>
  <si>
    <t>6.3. Gestión integral del recurso hídrico</t>
  </si>
  <si>
    <t xml:space="preserve">6.4. Gestión de la información y el conocimiento ambiental </t>
  </si>
  <si>
    <t>6.5. Gestión del cambio climático para un desarrollo bajo en carbono y resiliente al clima</t>
  </si>
  <si>
    <t>7.1. Ordenamiento Ambiental Territorial</t>
  </si>
  <si>
    <t xml:space="preserve">7.2. Gestión de la información y el conocimiento ambiental </t>
  </si>
  <si>
    <t>7.3. Prevención y atención de desastres y emergencias.</t>
  </si>
  <si>
    <t>8.1. Rectoría en Salud para la buena Gobernanza</t>
  </si>
  <si>
    <t xml:space="preserve">8.2. Prestación de servicios de salud con Calidad </t>
  </si>
  <si>
    <t xml:space="preserve">8.3. Infraestructura, equipos y tecnologías en Salud para el Futuro </t>
  </si>
  <si>
    <t>8.4. Salud pública eficiente y oportuna</t>
  </si>
  <si>
    <t>9.1. Calidad, cobertura y fortalecimiento de la educación inicial, prescolar, básica y media</t>
  </si>
  <si>
    <t>9.2. Calidad y fomento de la educación superior</t>
  </si>
  <si>
    <t>10.1. Formación y preparación de deportistas</t>
  </si>
  <si>
    <t>10.2. Fomento a la recreación, la actividad física y el deporte</t>
  </si>
  <si>
    <t>11.1. Desarrollo Integral de Niños, Niñas, Adolescentes y sus Familias</t>
  </si>
  <si>
    <t>11.2. Inclusión social y productiva para la población en situación de vulnerabilidad</t>
  </si>
  <si>
    <t>12.1. Jovenes con futuro</t>
  </si>
  <si>
    <t>13.1. Inclusión social y productiva para la población en situación de vulnerabilidad</t>
  </si>
  <si>
    <t>13.2. Participación ciudadana y política y respeto por los derechos humanos y diversidad de creencias</t>
  </si>
  <si>
    <t>14.1. Inclusión social y productiva para la población en situación de vulnerabilidad</t>
  </si>
  <si>
    <t xml:space="preserve">15.1. Atención integral de población en situación permanente de desprotección social y/o familiar </t>
  </si>
  <si>
    <t xml:space="preserve">16.1. Atención integral de población en situación permanente de desprotección social y/o familiar </t>
  </si>
  <si>
    <t>17.1. Inclusión social y productiva para la población en situación de vulnerabilidad</t>
  </si>
  <si>
    <t>17.2. Atención, asistencia y reparación integral a las víctimas</t>
  </si>
  <si>
    <t>17.3. Generación y formalización de empleo</t>
  </si>
  <si>
    <t>17.4. Fortalecimiento de la convivencia y la seguridad ciudadana</t>
  </si>
  <si>
    <t>17.5. Levantamiento y actualizacion de información estadistica de calidad</t>
  </si>
  <si>
    <t>17.6. Participación ciudadana y política y respeto por los derechos humanos y diversidad de creencias</t>
  </si>
  <si>
    <t xml:space="preserve">17.7.Acceso a soluciones de vivienda </t>
  </si>
  <si>
    <t>17.8.Calidad y fomento de la educación superior</t>
  </si>
  <si>
    <t>17.9.Calidad, cobertura y fortalecimiento de la educación inicial, prescolar, básica y media</t>
  </si>
  <si>
    <t>18.1. Ordenamiento social y uso productivo del territorio rural</t>
  </si>
  <si>
    <t>18.2. Calidad, cobertura y fortalecimiento de la educación inicial, prescolar, básica y media</t>
  </si>
  <si>
    <t>18.3. Calidad y fomento de la educación superior</t>
  </si>
  <si>
    <t>18.4. Fortalecimiento de la convivencia y la seguridad ciudadana</t>
  </si>
  <si>
    <t>18.5. Acceso a  TICS</t>
  </si>
  <si>
    <t>18.6. Levantamiento y actualización de información estadística de calidad</t>
  </si>
  <si>
    <t>18.7. Inclusión social y productiva para la población en situación de vulnerabilidad</t>
  </si>
  <si>
    <t>18.8. Productividad y competitividad de las empresas colombianas.</t>
  </si>
  <si>
    <t>18.9. Prestación de servicios de salud</t>
  </si>
  <si>
    <t>18.10. Salud publica eficiente y oportuna</t>
  </si>
  <si>
    <t>18.11. Desarrollo integral de niños, niñas, adolescentes y sus familias</t>
  </si>
  <si>
    <t>18.12. Atención, asistencia y reparación integral a las víctimas</t>
  </si>
  <si>
    <t>19.1. Atención, asistencia y reparación integral a las víctimas</t>
  </si>
  <si>
    <t xml:space="preserve">20.1. Acceso a soluciones de vivienda </t>
  </si>
  <si>
    <t>21.1. Infraestructura red vial regional</t>
  </si>
  <si>
    <t>21.2. Seguridad de transporte</t>
  </si>
  <si>
    <t>22.1. Acceso de la población a los servicios de agua potable y saneamiento básico</t>
  </si>
  <si>
    <t xml:space="preserve">23.1. Consolidación productiva del sector de energía eléctrica  </t>
  </si>
  <si>
    <t>23.2. Consolidar el mercado de gas combustible a nivel residencial, comercial e industrial</t>
  </si>
  <si>
    <t>24.1. Ordenamiento territorial y desarrollo urbano</t>
  </si>
  <si>
    <t xml:space="preserve">24.2. Acceso a soluciones de vivienda </t>
  </si>
  <si>
    <t>25.1. Generación y formalización del empleo</t>
  </si>
  <si>
    <t>25.2. Inclusión social y productiva para la población en situación de vulnerabilidad</t>
  </si>
  <si>
    <t>25.3. Infraestructura y servicios de logística de transporte</t>
  </si>
  <si>
    <t>26.1. Fortalecimiento de la convivencia y la seguridad ciudadana</t>
  </si>
  <si>
    <t>26.2. Participación ciudadana y política y respeto por los derechos humanos y diversidad de creencias</t>
  </si>
  <si>
    <t>26.3. Atención, asistencia y reparación integral a las víctimas</t>
  </si>
  <si>
    <t>26.4. Fortalecimiento de la convivencia y la seguridad ciudadana</t>
  </si>
  <si>
    <t xml:space="preserve">26.5. Gestión, protección y salvaguardia del patrimonio cultural colombiano </t>
  </si>
  <si>
    <t>27.1. Fortalecimiento de la convivencia y la seguridad ciudadana</t>
  </si>
  <si>
    <t>28.1. Informe de gestión de la oficina de desarrollo comunitario</t>
  </si>
  <si>
    <t>28.2. Fomento de la investigación, desarrollo tecnológico e innovación del sector trabajo</t>
  </si>
  <si>
    <t>28.3. Levantamiento y actualización de información estadística de calidad</t>
  </si>
  <si>
    <t>28.4. Fomento del desarrollo de aplicaciones, software y contenidos para impulsar la apropiación de las Tecnologías de la Información y las Comunicaciones (TIC)</t>
  </si>
  <si>
    <t>28.5. Fortalecimiento de la gestión y dirección de la administración pública territorial</t>
  </si>
  <si>
    <t>28.6. Gestión, protección y salvaguardia del patrimonio cultural colombiano</t>
  </si>
  <si>
    <t>28.7. Participación ciudadana y política y respeto por los derechos humanos y diversidad de creencias</t>
  </si>
  <si>
    <t>14. Orientaciónes sexuales e identidades de género diversas</t>
  </si>
  <si>
    <t>LIBRE INVERSIÓN</t>
  </si>
  <si>
    <t>COFINANCIACIÓN</t>
  </si>
  <si>
    <t>PORCENTAJE</t>
  </si>
  <si>
    <t>TOTAL SIN COFINANCIACIÓN</t>
  </si>
  <si>
    <t xml:space="preserve">% DE DISTRIBUCIÓN DE LOS RECURSOS DE LA ENTIDAD </t>
  </si>
  <si>
    <t>PLAN DE DESARROLLO "CONSTRUYENDO FUTURO"
PLAN DE USOS Y FUENTES 2020-2023</t>
  </si>
  <si>
    <t>FECHA: 10/02/20</t>
  </si>
  <si>
    <t>,</t>
  </si>
  <si>
    <t>ADICIÓN DE RECURSOS
 (ORDENANZA 05 DE 2020)</t>
  </si>
  <si>
    <r>
      <rPr>
        <b/>
        <sz val="20"/>
        <color rgb="FFD82F27"/>
        <rFont val="Wingdings 3"/>
        <family val="1"/>
        <charset val="2"/>
      </rPr>
      <t xml:space="preserve">u </t>
    </r>
    <r>
      <rPr>
        <b/>
        <sz val="20"/>
        <color rgb="FF0D426A"/>
        <rFont val="Arial"/>
        <family val="2"/>
      </rPr>
      <t>RECURSOS PROPIOS (INGRESOS CORRIENTES DE LIBRE DESTINACION - ICLD)</t>
    </r>
  </si>
  <si>
    <r>
      <rPr>
        <b/>
        <sz val="20"/>
        <color rgb="FF00B050"/>
        <rFont val="Wingdings 3"/>
        <family val="1"/>
        <charset val="2"/>
      </rPr>
      <t>u</t>
    </r>
    <r>
      <rPr>
        <b/>
        <sz val="6"/>
        <color rgb="FF0D426A"/>
        <rFont val="Arial"/>
        <family val="2"/>
      </rPr>
      <t xml:space="preserve"> </t>
    </r>
    <r>
      <rPr>
        <b/>
        <sz val="20"/>
        <color rgb="FF0D426A"/>
        <rFont val="Arial"/>
        <family val="2"/>
      </rPr>
      <t>SISTEMA GENERAL DE PARTICIPACIONES (SGP EDUCACIÓN)</t>
    </r>
  </si>
  <si>
    <t xml:space="preserve"> SISTEMA GENERAL DE PARTICIPACIONES (SGP AGUA POTABLE Y SANEAMIENTO BÁSICO)</t>
  </si>
  <si>
    <t>RECURSOS  PROPIOS (OTROS- LIBRE INVERSION)</t>
  </si>
  <si>
    <r>
      <rPr>
        <b/>
        <sz val="20"/>
        <color rgb="FFC00000"/>
        <rFont val="Wingdings 3"/>
        <family val="1"/>
        <charset val="2"/>
      </rPr>
      <t xml:space="preserve">u </t>
    </r>
    <r>
      <rPr>
        <b/>
        <sz val="20"/>
        <color rgb="FF0D426A"/>
        <rFont val="Arial"/>
        <family val="2"/>
      </rPr>
      <t>RECURSOS  PROPIOS (OTROS- LIBRE INVERSION)</t>
    </r>
  </si>
  <si>
    <r>
      <rPr>
        <b/>
        <sz val="20"/>
        <color rgb="FF7030A0"/>
        <rFont val="Wingdings 3"/>
        <family val="1"/>
        <charset val="2"/>
      </rPr>
      <t>u</t>
    </r>
    <r>
      <rPr>
        <b/>
        <sz val="6"/>
        <color rgb="FF0D426A"/>
        <rFont val="Arial"/>
        <family val="2"/>
      </rPr>
      <t xml:space="preserve"> </t>
    </r>
    <r>
      <rPr>
        <b/>
        <sz val="20"/>
        <color rgb="FF0D426A"/>
        <rFont val="Arial"/>
        <family val="2"/>
      </rPr>
      <t>SISTEMA GENERAL DE REGALIAS SGR</t>
    </r>
  </si>
  <si>
    <r>
      <rPr>
        <b/>
        <sz val="20"/>
        <color rgb="FF00B0F0"/>
        <rFont val="Wingdings 3"/>
        <family val="1"/>
        <charset val="2"/>
      </rPr>
      <t>u</t>
    </r>
    <r>
      <rPr>
        <b/>
        <sz val="6"/>
        <color rgb="FF0D426A"/>
        <rFont val="Arial"/>
        <family val="2"/>
      </rPr>
      <t xml:space="preserve"> </t>
    </r>
    <r>
      <rPr>
        <b/>
        <sz val="20"/>
        <color rgb="FF0D426A"/>
        <rFont val="Arial"/>
        <family val="2"/>
      </rPr>
      <t>OTROS (COFINANCIACION)</t>
    </r>
  </si>
  <si>
    <r>
      <rPr>
        <sz val="11"/>
        <color rgb="FFC00000"/>
        <rFont val="Wingdings 3"/>
        <family val="1"/>
        <charset val="2"/>
      </rPr>
      <t>u</t>
    </r>
    <r>
      <rPr>
        <sz val="11"/>
        <color rgb="FFC00000"/>
        <rFont val="Calibri"/>
        <family val="2"/>
        <scheme val="minor"/>
      </rPr>
      <t xml:space="preserve"> </t>
    </r>
    <r>
      <rPr>
        <sz val="11"/>
        <color rgb="FF002060"/>
        <rFont val="Calibri"/>
        <family val="2"/>
        <scheme val="minor"/>
      </rPr>
      <t>RECURSOS PROPIOS (INGRESOS CORRIENTES DE LIBRE DESTINACION - ICLD)</t>
    </r>
  </si>
  <si>
    <r>
      <rPr>
        <sz val="11"/>
        <color rgb="FF289B48"/>
        <rFont val="Wingdings 3"/>
        <family val="1"/>
        <charset val="2"/>
      </rPr>
      <t>u</t>
    </r>
    <r>
      <rPr>
        <sz val="11"/>
        <color rgb="FF002060"/>
        <rFont val="Calibri"/>
        <family val="2"/>
        <scheme val="minor"/>
      </rPr>
      <t xml:space="preserve"> SISTEMA GENERAL DE PARTICIPACIONES (SGP EDUCACIÓN)</t>
    </r>
  </si>
  <si>
    <r>
      <rPr>
        <sz val="11"/>
        <color rgb="FFC00000"/>
        <rFont val="Wingdings 3"/>
        <family val="1"/>
        <charset val="2"/>
      </rPr>
      <t>u</t>
    </r>
    <r>
      <rPr>
        <sz val="11"/>
        <color rgb="FF002060"/>
        <rFont val="Calibri"/>
        <family val="2"/>
        <scheme val="minor"/>
      </rPr>
      <t>RECURSOS  PROPIOS (OTROS- LIBRE INVERSION)</t>
    </r>
  </si>
  <si>
    <r>
      <rPr>
        <sz val="11"/>
        <color rgb="FF00B0F0"/>
        <rFont val="Wingdings 3"/>
        <family val="1"/>
        <charset val="2"/>
      </rPr>
      <t>u</t>
    </r>
    <r>
      <rPr>
        <sz val="11"/>
        <color rgb="FF002060"/>
        <rFont val="Calibri"/>
        <family val="2"/>
        <scheme val="minor"/>
      </rPr>
      <t xml:space="preserve"> OTROS (COFINANCIACION)</t>
    </r>
  </si>
  <si>
    <r>
      <rPr>
        <b/>
        <sz val="20"/>
        <color rgb="FFFF99FF"/>
        <rFont val="Wingdings 3"/>
        <family val="1"/>
        <charset val="2"/>
      </rPr>
      <t>u</t>
    </r>
    <r>
      <rPr>
        <b/>
        <sz val="20"/>
        <color rgb="FFD82F27"/>
        <rFont val="Wingdings 3"/>
        <family val="1"/>
        <charset val="2"/>
      </rPr>
      <t xml:space="preserve"> </t>
    </r>
    <r>
      <rPr>
        <b/>
        <sz val="20"/>
        <color rgb="FF0D426A"/>
        <rFont val="Arial"/>
        <family val="2"/>
      </rPr>
      <t>RECURSOS PROPIOS (INGRESOS CORRIENTES DE DESTINACION ESPECIFICA)</t>
    </r>
  </si>
  <si>
    <r>
      <rPr>
        <b/>
        <sz val="20"/>
        <color rgb="FFFF99FF"/>
        <rFont val="Wingdings 3"/>
        <family val="1"/>
        <charset val="2"/>
      </rPr>
      <t>u</t>
    </r>
    <r>
      <rPr>
        <b/>
        <sz val="20"/>
        <color rgb="FFD82F27"/>
        <rFont val="Wingdings 3"/>
        <family val="1"/>
        <charset val="2"/>
      </rPr>
      <t xml:space="preserve"> </t>
    </r>
    <r>
      <rPr>
        <b/>
        <sz val="6"/>
        <color rgb="FF0D426A"/>
        <rFont val="Arial"/>
        <family val="2"/>
      </rPr>
      <t xml:space="preserve"> </t>
    </r>
    <r>
      <rPr>
        <b/>
        <sz val="20"/>
        <color rgb="FF0D426A"/>
        <rFont val="Arial"/>
        <family val="2"/>
      </rPr>
      <t>RECUROS PROPIOS (ESTAMPILLAS)</t>
    </r>
  </si>
  <si>
    <r>
      <rPr>
        <b/>
        <sz val="20"/>
        <color rgb="FFFF99FF"/>
        <rFont val="Wingdings 3"/>
        <family val="1"/>
        <charset val="2"/>
      </rPr>
      <t>u</t>
    </r>
    <r>
      <rPr>
        <b/>
        <sz val="6"/>
        <color rgb="FF0D426A"/>
        <rFont val="Arial"/>
        <family val="2"/>
      </rPr>
      <t xml:space="preserve"> </t>
    </r>
    <r>
      <rPr>
        <b/>
        <sz val="20"/>
        <color rgb="FF0D426A"/>
        <rFont val="Arial"/>
        <family val="2"/>
      </rPr>
      <t>RECURSOS PROPIOS (RENTAS DE DESTINACION ESPECIFICA)</t>
    </r>
  </si>
  <si>
    <r>
      <rPr>
        <sz val="11"/>
        <color rgb="FFFF99FF"/>
        <rFont val="Wingdings 3"/>
        <family val="1"/>
        <charset val="2"/>
      </rPr>
      <t>u</t>
    </r>
    <r>
      <rPr>
        <sz val="8.8000000000000007"/>
        <color rgb="FF002060"/>
        <rFont val="Calibri"/>
        <family val="2"/>
      </rPr>
      <t xml:space="preserve"> </t>
    </r>
    <r>
      <rPr>
        <sz val="11"/>
        <color rgb="FF002060"/>
        <rFont val="Calibri"/>
        <family val="2"/>
        <scheme val="minor"/>
      </rPr>
      <t>RECURSOS PROPIOS (INGRESOS CORRIENTES DE DESTINACION ESPECIFICA)</t>
    </r>
  </si>
  <si>
    <t>RECURSOS PROPIOS (LIBRE INVERSIÓN)</t>
  </si>
  <si>
    <t>RECURSOS PROPIOS (DESTINACIÓN ESPECÍFICA)</t>
  </si>
  <si>
    <t>OTROS RECURSOS DE COFINANCIACIÓN</t>
  </si>
  <si>
    <r>
      <rPr>
        <sz val="11"/>
        <color rgb="FF7030A0"/>
        <rFont val="Wingdings 3"/>
        <family val="1"/>
        <charset val="2"/>
      </rPr>
      <t>u</t>
    </r>
    <r>
      <rPr>
        <sz val="11"/>
        <color rgb="FF002060"/>
        <rFont val="Calibri"/>
        <family val="2"/>
        <scheme val="minor"/>
      </rPr>
      <t>SISTEMA GENERAL DE REGALÍAS (SGR)</t>
    </r>
  </si>
  <si>
    <t xml:space="preserve">SISTEMA GENERAL DE REGALÍAS </t>
  </si>
  <si>
    <t>SISTEMA GENERAL DE PARTICIPACIONES</t>
  </si>
  <si>
    <t xml:space="preserve"> OTROS (COFINANCIACION)</t>
  </si>
  <si>
    <t>SISTEMA GENERAL DE REGALÍAS (SGR)</t>
  </si>
  <si>
    <t xml:space="preserve"> SISTEMA GENERAL DE PARTICIPACIONES (SGP EDUCACIÓN)</t>
  </si>
  <si>
    <r>
      <rPr>
        <sz val="8.8000000000000007"/>
        <color rgb="FF002060"/>
        <rFont val="Calibri"/>
        <family val="2"/>
      </rPr>
      <t xml:space="preserve"> </t>
    </r>
    <r>
      <rPr>
        <sz val="11"/>
        <color rgb="FF002060"/>
        <rFont val="Calibri"/>
        <family val="2"/>
        <scheme val="minor"/>
      </rPr>
      <t>RECURSOS PROPIOS (INGRESOS CORRIENTES DE DESTINACION ESPECIFICA)</t>
    </r>
  </si>
  <si>
    <r>
      <rPr>
        <sz val="11"/>
        <color rgb="FFC00000"/>
        <rFont val="Calibri"/>
        <family val="2"/>
        <scheme val="minor"/>
      </rPr>
      <t xml:space="preserve"> </t>
    </r>
    <r>
      <rPr>
        <sz val="11"/>
        <color rgb="FF002060"/>
        <rFont val="Calibri"/>
        <family val="2"/>
        <scheme val="minor"/>
      </rPr>
      <t>RECURSOS PROPIOS (INGRESOS CORRIENTES DE LIBRE DESTINACION - ICLD)</t>
    </r>
  </si>
  <si>
    <t>RECURSOS DE LA ENTIDAD</t>
  </si>
  <si>
    <t>RECURSOS DE LA NACIÓN, COFINANCIACIÓN Y SGR</t>
  </si>
  <si>
    <t>SGR</t>
  </si>
  <si>
    <t>SGP</t>
  </si>
  <si>
    <r>
      <rPr>
        <sz val="11"/>
        <color rgb="FF289B48"/>
        <rFont val="Wingdings 3"/>
        <family val="1"/>
        <charset val="2"/>
      </rPr>
      <t>u</t>
    </r>
    <r>
      <rPr>
        <sz val="11"/>
        <color rgb="FF002060"/>
        <rFont val="Calibri"/>
        <family val="2"/>
        <scheme val="minor"/>
      </rPr>
      <t xml:space="preserve"> SISTEMA GENERAL DE PARTICIPACIONES (SGP AGUA POTABLE Y SANEAMIENTO BÁSICO) (SSF)</t>
    </r>
  </si>
  <si>
    <r>
      <rPr>
        <b/>
        <sz val="20"/>
        <color rgb="FF00B050"/>
        <rFont val="Wingdings 3"/>
        <family val="1"/>
        <charset val="2"/>
      </rPr>
      <t>u</t>
    </r>
    <r>
      <rPr>
        <b/>
        <sz val="20"/>
        <color rgb="FF0D426A"/>
        <rFont val="Arial"/>
        <family val="2"/>
      </rPr>
      <t xml:space="preserve"> SISTEMA GENERAL DE PARTICIPACIONES (SGP AGUA POTABLE Y SANEAMIENTO BÁSICO) (SSF)</t>
    </r>
  </si>
  <si>
    <t>PROGRAMA PRESUPUESTAL (KIT DE PLANEACIÓN TERRITORIAL)</t>
  </si>
  <si>
    <t>TOTAL DE RECURSOS DE LA ENTIDAD 2020-2023</t>
  </si>
  <si>
    <t>TOTAL DE RECURSOS CUATRIENIO 2020-2023 (INCLUYE COFINANCIACIÓN)</t>
  </si>
  <si>
    <t>NOTA:</t>
  </si>
  <si>
    <r>
      <rPr>
        <sz val="28"/>
        <color rgb="FFC00000"/>
        <rFont val="Wingdings 3"/>
        <family val="1"/>
        <charset val="2"/>
      </rPr>
      <t>u</t>
    </r>
    <r>
      <rPr>
        <sz val="28"/>
        <color theme="1"/>
        <rFont val="Wingdings 3"/>
        <family val="1"/>
        <charset val="2"/>
      </rPr>
      <t xml:space="preserve"> </t>
    </r>
    <r>
      <rPr>
        <sz val="28"/>
        <color theme="1"/>
        <rFont val="Arial"/>
        <family val="2"/>
      </rPr>
      <t>RECURSOS PROPIOS (LIBRE INVERSIÓN)</t>
    </r>
  </si>
  <si>
    <r>
      <rPr>
        <sz val="28"/>
        <color rgb="FFFF99FF"/>
        <rFont val="Wingdings 3"/>
        <family val="1"/>
        <charset val="2"/>
      </rPr>
      <t>u</t>
    </r>
    <r>
      <rPr>
        <sz val="28"/>
        <color theme="1"/>
        <rFont val="Wingdings 3"/>
        <family val="1"/>
        <charset val="2"/>
      </rPr>
      <t xml:space="preserve"> </t>
    </r>
    <r>
      <rPr>
        <sz val="28"/>
        <color theme="1"/>
        <rFont val="Arial"/>
        <family val="2"/>
      </rPr>
      <t>RECURSOS PROPIOS (DESTINACIÓN ESPECÍFICA)</t>
    </r>
  </si>
  <si>
    <r>
      <rPr>
        <sz val="28"/>
        <color rgb="FF289B48"/>
        <rFont val="Wingdings 3"/>
        <family val="1"/>
        <charset val="2"/>
      </rPr>
      <t>u</t>
    </r>
    <r>
      <rPr>
        <sz val="28"/>
        <color theme="1"/>
        <rFont val="Wingdings 3"/>
        <family val="1"/>
        <charset val="2"/>
      </rPr>
      <t xml:space="preserve"> </t>
    </r>
    <r>
      <rPr>
        <sz val="28"/>
        <color theme="1"/>
        <rFont val="Arial"/>
        <family val="2"/>
      </rPr>
      <t>SISTEMA GENERAL DE PARTICIPACIONES</t>
    </r>
  </si>
  <si>
    <r>
      <rPr>
        <sz val="28"/>
        <color rgb="FF7030A0"/>
        <rFont val="Wingdings 3"/>
        <family val="1"/>
        <charset val="2"/>
      </rPr>
      <t>u</t>
    </r>
    <r>
      <rPr>
        <sz val="28"/>
        <color theme="1"/>
        <rFont val="Wingdings 3"/>
        <family val="1"/>
        <charset val="2"/>
      </rPr>
      <t xml:space="preserve"> </t>
    </r>
    <r>
      <rPr>
        <sz val="28"/>
        <color theme="1"/>
        <rFont val="Arial"/>
        <family val="2"/>
      </rPr>
      <t xml:space="preserve">SISTEMA GENERAL DE REGALÍAS </t>
    </r>
  </si>
  <si>
    <r>
      <rPr>
        <sz val="28"/>
        <color rgb="FF00B0F0"/>
        <rFont val="Wingdings 3"/>
        <family val="1"/>
        <charset val="2"/>
      </rPr>
      <t>u</t>
    </r>
    <r>
      <rPr>
        <sz val="28"/>
        <color theme="1"/>
        <rFont val="Wingdings 3"/>
        <family val="1"/>
        <charset val="2"/>
      </rPr>
      <t xml:space="preserve"> </t>
    </r>
    <r>
      <rPr>
        <sz val="28"/>
        <color theme="1"/>
        <rFont val="Arial"/>
        <family val="2"/>
      </rPr>
      <t>OTROS RECURSOS DE COFINANCIACIÓN</t>
    </r>
  </si>
  <si>
    <t>CONVENCIONES</t>
  </si>
  <si>
    <r>
      <rPr>
        <sz val="9"/>
        <color rgb="FFC00000"/>
        <rFont val="Wingdings 3"/>
        <family val="1"/>
        <charset val="2"/>
      </rPr>
      <t>u</t>
    </r>
    <r>
      <rPr>
        <sz val="9"/>
        <color theme="1"/>
        <rFont val="Wingdings 3"/>
        <family val="1"/>
        <charset val="2"/>
      </rPr>
      <t xml:space="preserve"> </t>
    </r>
    <r>
      <rPr>
        <sz val="9"/>
        <color theme="1"/>
        <rFont val="Arial"/>
        <family val="2"/>
      </rPr>
      <t>RECURSOS PROPIOS (LIBRE INVERSIÓN)</t>
    </r>
  </si>
  <si>
    <r>
      <rPr>
        <sz val="9"/>
        <color rgb="FFFF99FF"/>
        <rFont val="Wingdings 3"/>
        <family val="1"/>
        <charset val="2"/>
      </rPr>
      <t>u</t>
    </r>
    <r>
      <rPr>
        <sz val="9"/>
        <color theme="1"/>
        <rFont val="Wingdings 3"/>
        <family val="1"/>
        <charset val="2"/>
      </rPr>
      <t xml:space="preserve"> </t>
    </r>
    <r>
      <rPr>
        <sz val="9"/>
        <color theme="1"/>
        <rFont val="Arial"/>
        <family val="2"/>
      </rPr>
      <t>RECURSOS PROPIOS (DESTINACIÓN ESPECÍFICA)</t>
    </r>
  </si>
  <si>
    <r>
      <rPr>
        <sz val="9"/>
        <color rgb="FF289B48"/>
        <rFont val="Wingdings 3"/>
        <family val="1"/>
        <charset val="2"/>
      </rPr>
      <t>u</t>
    </r>
    <r>
      <rPr>
        <sz val="9"/>
        <color theme="1"/>
        <rFont val="Wingdings 3"/>
        <family val="1"/>
        <charset val="2"/>
      </rPr>
      <t xml:space="preserve"> </t>
    </r>
    <r>
      <rPr>
        <sz val="9"/>
        <color theme="1"/>
        <rFont val="Arial"/>
        <family val="2"/>
      </rPr>
      <t>SISTEMA GENERAL DE PARTICIPACIONES</t>
    </r>
  </si>
  <si>
    <r>
      <rPr>
        <sz val="9"/>
        <color rgb="FF7030A0"/>
        <rFont val="Wingdings 3"/>
        <family val="1"/>
        <charset val="2"/>
      </rPr>
      <t>u</t>
    </r>
    <r>
      <rPr>
        <sz val="9"/>
        <color theme="1"/>
        <rFont val="Wingdings 3"/>
        <family val="1"/>
        <charset val="2"/>
      </rPr>
      <t xml:space="preserve"> </t>
    </r>
    <r>
      <rPr>
        <sz val="9"/>
        <color theme="1"/>
        <rFont val="Arial"/>
        <family val="2"/>
      </rPr>
      <t xml:space="preserve">SISTEMA GENERAL DE REGALÍAS </t>
    </r>
  </si>
  <si>
    <r>
      <rPr>
        <sz val="9"/>
        <color rgb="FF00B0F0"/>
        <rFont val="Wingdings 3"/>
        <family val="1"/>
        <charset val="2"/>
      </rPr>
      <t>u</t>
    </r>
    <r>
      <rPr>
        <sz val="9"/>
        <color theme="1"/>
        <rFont val="Wingdings 3"/>
        <family val="1"/>
        <charset val="2"/>
      </rPr>
      <t xml:space="preserve"> </t>
    </r>
    <r>
      <rPr>
        <sz val="9"/>
        <color theme="1"/>
        <rFont val="Arial"/>
        <family val="2"/>
      </rPr>
      <t>OTROS RECURSOS DE COFINANCIACIÓN</t>
    </r>
  </si>
  <si>
    <r>
      <rPr>
        <sz val="50"/>
        <color rgb="FFC00000"/>
        <rFont val="Wingdings 3"/>
        <family val="1"/>
        <charset val="2"/>
      </rPr>
      <t>u</t>
    </r>
    <r>
      <rPr>
        <sz val="50"/>
        <color theme="1"/>
        <rFont val="Wingdings 3"/>
        <family val="1"/>
        <charset val="2"/>
      </rPr>
      <t xml:space="preserve"> </t>
    </r>
    <r>
      <rPr>
        <sz val="50"/>
        <color theme="1"/>
        <rFont val="Arial"/>
        <family val="2"/>
      </rPr>
      <t>RECURSOS PROPIOS (LIBRE INVERSIÓN)</t>
    </r>
  </si>
  <si>
    <r>
      <rPr>
        <sz val="50"/>
        <color rgb="FFFF99FF"/>
        <rFont val="Wingdings 3"/>
        <family val="1"/>
        <charset val="2"/>
      </rPr>
      <t>u</t>
    </r>
    <r>
      <rPr>
        <sz val="50"/>
        <color theme="1"/>
        <rFont val="Wingdings 3"/>
        <family val="1"/>
        <charset val="2"/>
      </rPr>
      <t xml:space="preserve"> </t>
    </r>
    <r>
      <rPr>
        <sz val="50"/>
        <color theme="1"/>
        <rFont val="Arial"/>
        <family val="2"/>
      </rPr>
      <t>RECURSOS PROPIOS (DESTINACIÓN ESPECÍFICA)</t>
    </r>
  </si>
  <si>
    <r>
      <rPr>
        <sz val="50"/>
        <color rgb="FF289B48"/>
        <rFont val="Wingdings 3"/>
        <family val="1"/>
        <charset val="2"/>
      </rPr>
      <t>u</t>
    </r>
    <r>
      <rPr>
        <sz val="50"/>
        <color theme="1"/>
        <rFont val="Wingdings 3"/>
        <family val="1"/>
        <charset val="2"/>
      </rPr>
      <t xml:space="preserve"> </t>
    </r>
    <r>
      <rPr>
        <sz val="50"/>
        <color theme="1"/>
        <rFont val="Arial"/>
        <family val="2"/>
      </rPr>
      <t>SISTEMA GENERAL DE PARTICIPACIONES</t>
    </r>
  </si>
  <si>
    <r>
      <rPr>
        <sz val="50"/>
        <color rgb="FF7030A0"/>
        <rFont val="Wingdings 3"/>
        <family val="1"/>
        <charset val="2"/>
      </rPr>
      <t>u</t>
    </r>
    <r>
      <rPr>
        <sz val="50"/>
        <color theme="1"/>
        <rFont val="Wingdings 3"/>
        <family val="1"/>
        <charset val="2"/>
      </rPr>
      <t xml:space="preserve"> </t>
    </r>
    <r>
      <rPr>
        <sz val="50"/>
        <color theme="1"/>
        <rFont val="Arial"/>
        <family val="2"/>
      </rPr>
      <t xml:space="preserve">SISTEMA GENERAL DE REGALÍAS </t>
    </r>
  </si>
  <si>
    <r>
      <rPr>
        <sz val="50"/>
        <color rgb="FF00B0F0"/>
        <rFont val="Wingdings 3"/>
        <family val="1"/>
        <charset val="2"/>
      </rPr>
      <t>u</t>
    </r>
    <r>
      <rPr>
        <sz val="50"/>
        <color theme="1"/>
        <rFont val="Wingdings 3"/>
        <family val="1"/>
        <charset val="2"/>
      </rPr>
      <t xml:space="preserve"> </t>
    </r>
    <r>
      <rPr>
        <sz val="50"/>
        <color theme="1"/>
        <rFont val="Arial"/>
        <family val="2"/>
      </rPr>
      <t>OTROS RECURSOS DE COFINANCIACIÓN</t>
    </r>
  </si>
  <si>
    <t>Degüello Ganado Mayor Mpio Arauca</t>
  </si>
  <si>
    <t>Degüello Ganado Mayor Otros Municipios</t>
  </si>
  <si>
    <t>Superávit Cancelación Reserva Rendimientos financieros Estampilla Procultura (Acta No 003/2019)</t>
  </si>
  <si>
    <t>Superávit Cancelación Reserva Estampilla Prodesarrollo Departamental (Acta No 003/2019)</t>
  </si>
  <si>
    <t>SGP Asignación población atendida</t>
  </si>
  <si>
    <t>SGP Asignación población atendida (aportes Patronales ssf)</t>
  </si>
  <si>
    <t>SGP Asignación población atendida (Aportes doc entes ssf)</t>
  </si>
  <si>
    <t>SGP Cancelación de prestaciones sociales CPSM</t>
  </si>
  <si>
    <t xml:space="preserve"> Rendimientos Financieros S.G.P.  Educación</t>
  </si>
  <si>
    <t>SGP Agua Potable y Saneamiento Básico (once doceavas 2020)</t>
  </si>
  <si>
    <t>SGP Agua Potable y saneamiento Básico (ultima doceava 2019)</t>
  </si>
  <si>
    <t>Participación en el Impuesto al Consumo Telefonía Móvil  ( Cultura).</t>
  </si>
  <si>
    <t>Cofinanciación Ministerio de Educación Nacional para el programa de Alimentación Escolar PAE  Jornada Única</t>
  </si>
  <si>
    <t>TRANSFERENCIAS NACIONALES (Cofinanciación alimentación escolar)</t>
  </si>
  <si>
    <t>Rendimientos Financieros Margen de Comercialización Regalías</t>
  </si>
  <si>
    <t>Rendimientos financieros cta. No.064-011935 Dpto de Arauca- empréstito bancario 2013, registro Minhacienda 611515230</t>
  </si>
  <si>
    <t>Rendimientos financieros cta.No.137-31967-9 Departamento de Arauca-Empréstito Bancario 2013,registro Minhacienda 611515221</t>
  </si>
  <si>
    <t>Rendimientos Financieros Departamento de Arauca- Saldos empréstitos</t>
  </si>
  <si>
    <t>Superávit Rendimientos Financieros Indemnización pagada por Aseguradora la confianza en cumplimiento de lo dispuesto en la Resolución No 1982 de 2017</t>
  </si>
  <si>
    <t>Superávit  Indemnización pagada por Aseguradora la confianza en cumplimiento de lo dispuesto en la Resolución No 1982 de 2018</t>
  </si>
  <si>
    <t>Superávit Cancelación Reserva Vigencia Expirada Regalías, Resolución No. 813 de 2003</t>
  </si>
  <si>
    <t>Superávit Cancelación Reservas Regalías petroleras  (Acta No 003/209)</t>
  </si>
  <si>
    <t>1. El Plan Plurianual de Inversiones se realizó conforme al Plan Financiero y a la certificación de  Proyección de Ingresos emitida por la Secretaría de Hacienda.</t>
  </si>
  <si>
    <t>4. Los recursos de la vigencia 2020 se tomaron conforme al Presupuesto de la vigencia 2020 aprobado mediante Ordenanza 020 de 2019 y las adiciones presupuestales realizadas mediante ordenanza 05 de 2020 y Decreto 0375 de 2020</t>
  </si>
  <si>
    <t>5. Los recursos de cofinanciación son aquellos que serán gestionados a través de la Nación,  OCAD Paz, Fondo de Ciencia, Tecnología e innovación, Obras por impuestos, Cooperación internacional,  entre otros desde cada Secretaría y/o ente descentralizado responsbale de cada sector.</t>
  </si>
  <si>
    <t>PLAN FINANCIERO DESAGREGADO POR FUENTES DE RECURSOS DISPONIBLES DEL DEPARTAMENTO DE ARAUCA 2020-2023</t>
  </si>
  <si>
    <t>PLAN FINANCIERO RESUMIDO POR FUENTES DE RECURSOS DISPONIBLES DEL DEPARTAMENTO DE ARAUCA 2020-2023</t>
  </si>
  <si>
    <t xml:space="preserve">PLAN PLURIANUAL DE INVERSIONES PLAN DE DESARROLLO "CONSTRUYENDO FUTURO" 2020-2023 </t>
  </si>
  <si>
    <t>CÓDIGO: PLDES-F-19</t>
  </si>
  <si>
    <t>6. Los programas presupuestales fueron tomados del Kit de Planeación Territorial, el cual es una herramienta dispuesta por el Departamento Nacional de Planeación quien definió la metodología  para la elaboración de los Planes Territoriales de Desarrollo conforme a la Ley 152 de 1994.</t>
  </si>
  <si>
    <t>2. La proyección de Ingresos se realiza conforme al  Marco Fiscal de Mediano plazo y el comportamiento Histórico de recursos y el contexto Nacional a la fecha 31 de marzo de 2020.</t>
  </si>
  <si>
    <t>3. Los valores contemplados en este instrumento de planeación están sujetos a cambios y fluctuaciones , teniendo en cuenta que se realizó sobre proyecciones que pueden ser afectadas positiva o negativamente por factores externos e internos de la entidad, especialmente por la crisis económica, social y ambiental que estamos viviendo debido a la Pandemia del COVID-19.</t>
  </si>
  <si>
    <t>4. Los recursos de la vigencia 2020 se tomaron conforme al Presupuesto de la vigencia 2020 aprobado mediante Ordenanza 020 de 2019 y las adiciones presupuestales realizadas mediante ordenanza 05 de 2020 y Decreto 0376 de 2020</t>
  </si>
  <si>
    <t>ADICIÓN DE RECURSOS
(DECRETO 0376 DE 2020)</t>
  </si>
  <si>
    <t>CONSOLIDADO PLAN ESTRATÉGICO</t>
  </si>
  <si>
    <r>
      <rPr>
        <b/>
        <sz val="70"/>
        <color rgb="FFC00000"/>
        <rFont val="Wingdings 3"/>
        <family val="1"/>
        <charset val="2"/>
      </rPr>
      <t>u</t>
    </r>
    <r>
      <rPr>
        <b/>
        <sz val="70"/>
        <rFont val="Century Gothic"/>
        <family val="2"/>
      </rPr>
      <t xml:space="preserve"> RECURSOS PROPIOS (INGRESOS CORRIENTES DE LIBRE DESTINACION-ICLD)  2020-2023</t>
    </r>
  </si>
  <si>
    <r>
      <rPr>
        <b/>
        <sz val="70"/>
        <color rgb="FFFF99FF"/>
        <rFont val="Wingdings 3"/>
        <family val="1"/>
        <charset val="2"/>
      </rPr>
      <t>u</t>
    </r>
    <r>
      <rPr>
        <b/>
        <sz val="70"/>
        <rFont val="Century Gothic"/>
        <family val="2"/>
      </rPr>
      <t xml:space="preserve"> RECURSOS PROPIOS (INGRESOS CORRIENTES DE DESTINACION ESPECIFICA) 2020-2023</t>
    </r>
  </si>
  <si>
    <r>
      <rPr>
        <b/>
        <sz val="70"/>
        <color rgb="FF289B48"/>
        <rFont val="Wingdings 3"/>
        <family val="1"/>
        <charset val="2"/>
      </rPr>
      <t>u</t>
    </r>
    <r>
      <rPr>
        <b/>
        <sz val="70"/>
        <rFont val="Century Gothic"/>
        <family val="2"/>
      </rPr>
      <t xml:space="preserve"> SISTEMA GENERAL DE PARTICIPACIONES (SGP EDUCACIÓN) 2020-2023</t>
    </r>
  </si>
  <si>
    <r>
      <rPr>
        <b/>
        <sz val="70"/>
        <color rgb="FF289B48"/>
        <rFont val="Wingdings 3"/>
        <family val="1"/>
        <charset val="2"/>
      </rPr>
      <t>u</t>
    </r>
    <r>
      <rPr>
        <b/>
        <sz val="70"/>
        <rFont val="Century Gothic"/>
        <family val="2"/>
      </rPr>
      <t xml:space="preserve"> SISTEMA GENERAL DE PARTICIPACIONES (SGP AGUA POTABLE Y SANEAMIENTO BÁSICO) (SSF) 2020-2023</t>
    </r>
  </si>
  <si>
    <r>
      <rPr>
        <b/>
        <sz val="70"/>
        <color rgb="FF7030A0"/>
        <rFont val="Wingdings 3"/>
        <family val="1"/>
        <charset val="2"/>
      </rPr>
      <t>u</t>
    </r>
    <r>
      <rPr>
        <b/>
        <sz val="70"/>
        <rFont val="Century Gothic"/>
        <family val="2"/>
      </rPr>
      <t xml:space="preserve"> SISTEMA GENERAL DE REGALÍAS (SGR) 2020-2023</t>
    </r>
  </si>
  <si>
    <r>
      <rPr>
        <b/>
        <sz val="70"/>
        <color rgb="FF00B0F0"/>
        <rFont val="Wingdings 3"/>
        <family val="1"/>
        <charset val="2"/>
      </rPr>
      <t>u</t>
    </r>
    <r>
      <rPr>
        <b/>
        <sz val="70"/>
        <rFont val="Century Gothic"/>
        <family val="2"/>
      </rPr>
      <t xml:space="preserve"> OTROS (COFINANCIACION) 2020-2023</t>
    </r>
  </si>
  <si>
    <r>
      <rPr>
        <b/>
        <sz val="70"/>
        <color rgb="FFC00000"/>
        <rFont val="Wingdings 3"/>
        <family val="1"/>
        <charset val="2"/>
      </rPr>
      <t>u</t>
    </r>
    <r>
      <rPr>
        <b/>
        <sz val="70"/>
        <rFont val="Century Gothic"/>
        <family val="2"/>
      </rPr>
      <t xml:space="preserve"> RECURSOS  PROPIOS (OTROS- LIBRE INVERSION) 2020-2023</t>
    </r>
  </si>
  <si>
    <r>
      <rPr>
        <b/>
        <sz val="70"/>
        <color rgb="FFC00000"/>
        <rFont val="Wingdings 3"/>
        <family val="1"/>
        <charset val="2"/>
      </rPr>
      <t>u</t>
    </r>
    <r>
      <rPr>
        <b/>
        <sz val="70"/>
        <rFont val="Century Gothic"/>
        <family val="2"/>
      </rPr>
      <t xml:space="preserve"> RECURSOS PROPIOS (INGRESOS CORRIENTES DE LIBRE DESTINACION-ICLD)</t>
    </r>
  </si>
  <si>
    <r>
      <rPr>
        <b/>
        <sz val="70"/>
        <color rgb="FFFF99FF"/>
        <rFont val="Wingdings 3"/>
        <family val="1"/>
        <charset val="2"/>
      </rPr>
      <t>u</t>
    </r>
    <r>
      <rPr>
        <b/>
        <sz val="70"/>
        <rFont val="Century Gothic"/>
        <family val="2"/>
      </rPr>
      <t xml:space="preserve"> RECURSOS PROPIOS (INGRESOS CORRIENTES DE DESTINACION ESPECIFICA)</t>
    </r>
  </si>
  <si>
    <r>
      <rPr>
        <b/>
        <sz val="70"/>
        <color rgb="FF289B48"/>
        <rFont val="Wingdings 3"/>
        <family val="1"/>
        <charset val="2"/>
      </rPr>
      <t>u</t>
    </r>
    <r>
      <rPr>
        <b/>
        <sz val="70"/>
        <rFont val="Century Gothic"/>
        <family val="2"/>
      </rPr>
      <t xml:space="preserve"> SISTEMA GENERAL DE PARTICIPACIONES (SGP EDUCACIÓN) </t>
    </r>
  </si>
  <si>
    <r>
      <rPr>
        <b/>
        <sz val="70"/>
        <color rgb="FF289B48"/>
        <rFont val="Wingdings 3"/>
        <family val="1"/>
        <charset val="2"/>
      </rPr>
      <t>u</t>
    </r>
    <r>
      <rPr>
        <b/>
        <sz val="70"/>
        <rFont val="Century Gothic"/>
        <family val="2"/>
      </rPr>
      <t xml:space="preserve"> SISTEMA GENERAL DE PARTICIPACIONES (SGP AGUA POTABLE Y SANEAMIENTO BÁSICO) (SSF) </t>
    </r>
  </si>
  <si>
    <r>
      <rPr>
        <b/>
        <sz val="70"/>
        <color rgb="FF7030A0"/>
        <rFont val="Wingdings 3"/>
        <family val="1"/>
        <charset val="2"/>
      </rPr>
      <t>u</t>
    </r>
    <r>
      <rPr>
        <b/>
        <sz val="70"/>
        <rFont val="Century Gothic"/>
        <family val="2"/>
      </rPr>
      <t xml:space="preserve"> SISTEMA GENERAL DE REGALÍAS (SGR) </t>
    </r>
  </si>
  <si>
    <r>
      <rPr>
        <b/>
        <sz val="70"/>
        <color rgb="FF00B0F0"/>
        <rFont val="Wingdings 3"/>
        <family val="1"/>
        <charset val="2"/>
      </rPr>
      <t>u</t>
    </r>
    <r>
      <rPr>
        <b/>
        <sz val="70"/>
        <rFont val="Century Gothic"/>
        <family val="2"/>
      </rPr>
      <t xml:space="preserve"> OTROS (COFINANCIACION)</t>
    </r>
  </si>
  <si>
    <r>
      <rPr>
        <b/>
        <sz val="70"/>
        <color rgb="FFC00000"/>
        <rFont val="Wingdings 3"/>
        <family val="1"/>
        <charset val="2"/>
      </rPr>
      <t>u</t>
    </r>
    <r>
      <rPr>
        <b/>
        <sz val="70"/>
        <rFont val="Century Gothic"/>
        <family val="2"/>
      </rPr>
      <t xml:space="preserve"> RECURSOS  PROPIOS (OTROS- LIBRE INVERSION) </t>
    </r>
  </si>
  <si>
    <t>28. Buen Gobierno Territorial</t>
  </si>
  <si>
    <t xml:space="preserve">TOTAL RECURSOS DE INVERSIÓN SIN SGP </t>
  </si>
  <si>
    <t xml:space="preserve">
PLAN PLURIANUAL DE INVERSIONES RESUMIDO
PLAN DE DESARROLLO "CONSTRUYENDO FUTURO" 2020-2023 </t>
  </si>
  <si>
    <t>DECRETO DE ADICIÓN EN CURSO</t>
  </si>
  <si>
    <t>Reintegros ICLD</t>
  </si>
  <si>
    <t>Sanciones sobre impuesto de vehiculos automotores (vigencia anterior)</t>
  </si>
  <si>
    <t>Sanciones sobre impuesto de vehiculos automotores (vigencia actual)</t>
  </si>
  <si>
    <t>Cancelación Reservas Estampilla Procultura (Acta No 001/2020)</t>
  </si>
  <si>
    <t>Cancelación Reservas Estampilla Procultura (Acta No 002/2020)</t>
  </si>
  <si>
    <t>Escenario Financiero Año 2020
Presentado a la Asamblea</t>
  </si>
  <si>
    <t>Escenario Financiero Año 2020
Propuesto para Segundo Debate</t>
  </si>
  <si>
    <t>PROYECTO DE ORDENANZA EN CURSO</t>
  </si>
  <si>
    <t>Superavit Reintegros Regalias</t>
  </si>
  <si>
    <t>Superavit Reintegro Indemnización Pagada por aseguradora la confianza en cumplimiento de lo dispuesto en la Resolución No. 1982 de 2017.</t>
  </si>
  <si>
    <t>Superavit Reintegro Desahorro Faep (Ley 1530 de 2012)</t>
  </si>
  <si>
    <t>Superavit Reintegros Rendimientos Financieros Margen de Comercialización</t>
  </si>
  <si>
    <t xml:space="preserve">Superavit Desahorro Faep (Ley 1530 de 2012) </t>
  </si>
  <si>
    <t>Superavit Rendimientos Financieros Regalías</t>
  </si>
  <si>
    <t>Superavit Rendimientos Financieros Cta 7370-005256-4 Fondo Rotatorio de Tame</t>
  </si>
  <si>
    <t>Superavit Rendimientos Financieros Desahorro del Fonpet con Situacion de Fondos - Situado Fiscal (Resolución No. 3743 del 15 Oct/2019 Minhacienda)</t>
  </si>
  <si>
    <t>Superavit Desahorro del Fonpet con Situacion de Fondos - Situado Fiscal (Resolución No. 3743 del 15 Oct/2019 Minhacienda)</t>
  </si>
  <si>
    <t>Superavit Desahorro del Fonpet con Situacion de Fondos - Ingresos Cts Libre Destinación (Resolución No. 3743 del 15 Oct/2019 Minhacienda)</t>
  </si>
  <si>
    <t>Superavit Ingreso margen de comercializacion regalias petroleras art.  156 D. 4923/2011</t>
  </si>
  <si>
    <t>Superavit Cancelación Reserva Vigencia Expirada Regalías, Resolución No. 813 de 2.003</t>
  </si>
  <si>
    <t>Superavit Cancelación Reservas Regalias Petroleras (Acta N° 003/2019)</t>
  </si>
  <si>
    <t>Rendimientos Financieros Desahorro del Fonpet con situación de Fondos - Situado Fiscal (Resolución No. 3743 del 15 Oct/2019 Minhacienda)</t>
  </si>
  <si>
    <t>Superavit Convenio Interadministrativo 015 de 2019 suscrito entre la Federación Nacional de Departamentos y el Departamento de Arauca</t>
  </si>
  <si>
    <t>Superavit Cofinanciación de coberturas en educación entidades productoras</t>
  </si>
  <si>
    <t>Superavit Cofinanciación Ministerio de Educación Nacional para el programa de Alimentación Escolar PAE  Jornada Unica</t>
  </si>
  <si>
    <t>Superavit Cofinanciación Ministerio de Educación Nacional para el programa de Alimentación Escolar PAE - (VF 2020)</t>
  </si>
  <si>
    <t>Superavit Cofinanciación Ministerio de Educación Nacional para el programa de Alimentación Escolar PAE. Jornada Unica (VF 2020)</t>
  </si>
  <si>
    <t>Superavit Cofinanciación Municipio de Cravo Norte programa de alimentación escolar</t>
  </si>
  <si>
    <t>Superavit Cofinanciación Municipio de Puerto Rondón programa de alimentación escolar</t>
  </si>
  <si>
    <t>Superavit Rendimientos Financieros Recursos para Cofinanciación Cobertura en Educación de las Entidades Territoriales Productoras, art.145 decreto 4923/2011</t>
  </si>
  <si>
    <t>Superavit Rendimientos Financieros recursos para Agua Potable y Saneamiento Básico SGP- Ley 1176/2007</t>
  </si>
  <si>
    <t>SGP Agua Potable y Saneamiento Básico (Once doceavas 2019 con situacion de fondos)</t>
  </si>
  <si>
    <t>Superavit Asignación Población Atendida -Descuentos del docente SSF -SGP-</t>
  </si>
  <si>
    <t>Superavit S.G.P.  Educación - Cancelaciones</t>
  </si>
  <si>
    <t>Rendimientos Financieros - S.G.P. Educación Prestación del Servicio</t>
  </si>
  <si>
    <t xml:space="preserve">Rendimientos Financieros SGP–Cancelaciones </t>
  </si>
  <si>
    <t>Superavit Reintegros S.G.P. Educación Prestacion de Servicios</t>
  </si>
  <si>
    <t>Reintegros S.G.P. Educación Prestacion de Servicios</t>
  </si>
  <si>
    <t>Superavit Impuesto Del 5% Fondo de Seguridad Ley 418/97, Contratación De La Gobernación De Arauca</t>
  </si>
  <si>
    <t>Superavit Rendimientos Financieros Fondo de Seguridad Ley 418/97</t>
  </si>
  <si>
    <t>Superavit Reintegro Impuesto 5% Fondo de Seguridad</t>
  </si>
  <si>
    <t>Superavit Cancelación Reserva Impuesto Del 5% Fondo de Seguridad Ley 418/97, Contratación De La Gobernación De Arauca (Acta N° 003/2019)</t>
  </si>
  <si>
    <t>2020
PROPUESTO PARA SEGUNDO DEBATE</t>
  </si>
  <si>
    <t>CONSOLIDADO 2020-2023
PRESENTADO A LA ASAMBLEA</t>
  </si>
  <si>
    <t>CONSOLIDADO 2020-2023
PROPUESTO PARA SEGUNDO DEBATE</t>
  </si>
  <si>
    <t>% PARTICIPACION 
PRESENTADO A LA ASAMBLEA</t>
  </si>
  <si>
    <t>% PARTICIPACION 
PROPUESTO PARA SEGUNDO DEBATE</t>
  </si>
  <si>
    <t>TOTAL CUATRIENIO
PRESENTADO A LA ASAMBLEA</t>
  </si>
  <si>
    <t>TOTAL CUATRIENIO
PROPUESTO PARA SEGUNDO DEBATE</t>
  </si>
  <si>
    <t>DECRETO DE ADICIÓN DE RECURSOS EN VIRTUD DEL DECRETO 461/2020 REORIENTACIÓN DE RENTAS A LA ATENCIÓN DEL COVID-19</t>
  </si>
  <si>
    <t>RENTAS DE DESTINACIÓN ESPECÍFICA</t>
  </si>
  <si>
    <t xml:space="preserve">ICLD </t>
  </si>
  <si>
    <t>RENTAS DE DESTINACIÓN ESPECÍFICA (CONVENIO FND)</t>
  </si>
  <si>
    <t>RENTAS DE DESTINACIÓN ESPECÍFICA (PROGRAMA DE ALIMENTACIÓN ESCOLAR)</t>
  </si>
  <si>
    <t>RENTAS DE DESTINACIÓN ESPECÍFICA (FONDO DE SEGURIDAD)</t>
  </si>
  <si>
    <t>RENTAS DE DESTINACIÓN ESPECÍFICA (GESTORES CULTURALES)</t>
  </si>
  <si>
    <t>TOTAL DE LA ADICIÓN</t>
  </si>
  <si>
    <t>VALOR ADICIONADO</t>
  </si>
  <si>
    <t>VALOR REORIENTADO A LA ATENCIÓN DEL COVID</t>
  </si>
  <si>
    <t>SISTEMA GENERAL DE PARTICIPACIONES (SGP AGUA POTABLE Y SANEAMIENTO BÁSICO) (SSF)</t>
  </si>
  <si>
    <t>SISTEMA GENERAL DE PARTICIPACIONES (SGP EDUCACIÓN)</t>
  </si>
  <si>
    <t>COMPENSACIÓN DE ASIGNACIONES DIRECTAS SGR</t>
  </si>
  <si>
    <t>OBSERVACIÓN</t>
  </si>
  <si>
    <t>SECTOR PARA LA CLASIFICACIÓN DE LA INVERSIÓN</t>
  </si>
  <si>
    <t>AJUSTES PRESUPUESTALES</t>
  </si>
  <si>
    <t>Proyecto aprobado: Apoyo financiero para el pago del servicio de energía eléctrica para los usuarios de Enelar E.S.P durante el periodo de la pandemia COVID 19 en el departamento de Arauca</t>
  </si>
  <si>
    <t>Proyectos de Desarrollo empresarial que apunten a la rectivación de la economía</t>
  </si>
  <si>
    <t>Obras de protección para mitigar el riesgo en la epoca invernal</t>
  </si>
  <si>
    <t xml:space="preserve">Maquinaria amarilla </t>
  </si>
  <si>
    <t>Saldos para grupos etnicos</t>
  </si>
  <si>
    <t>En virtud del paragrafo 1 del articulo 5 del decreto 513 de 2020 el cual establece que las entidades territoriales deberan priorizar al menos el 30% de los recursos para la atención primaria en salud</t>
  </si>
  <si>
    <t>DECRETOS DE TRASLADOS PRESUPUESTALES</t>
  </si>
  <si>
    <t>PROYECTO : IMPLEMENTACION DEL PLAN DE ACCION ESPECIFICO COVID-19 EN EL MARCO DE LA DECLARATORIA DE LA CALAMIDAD PUBLICA DEL DEPARTAMENTO DE ARAUCA</t>
  </si>
  <si>
    <t>ORDENANZAS DE TRASLADOS PRESUPUESTALES</t>
  </si>
  <si>
    <t>2020
PRSENTADO A LA ASAMBLEA</t>
  </si>
  <si>
    <t>VARIACIÓN</t>
  </si>
  <si>
    <t>ADICIÓN DE RECURSOS AL PLAN FINANCIERO 2020-2023</t>
  </si>
  <si>
    <t>ANEXOS DE AJUSTES EN EL PLAN FINANCIERO 2020-2023</t>
  </si>
  <si>
    <t>Recursos para realizar las adecuaciones de espacios y elementos necesarios para dar cumplimiento a los protocolos de bioseguridad que permitan el manejo adecuado de la pandemia del coronavirus covid-19.</t>
  </si>
  <si>
    <t>Recursos para dar continuidad a los procesos de control, cultura y gestión tributaria para el incremento de las rentas del departamento.</t>
  </si>
  <si>
    <t xml:space="preserve">Recursos teniendo en cuenta se aproxima la época invernal en el departamento y se requieren recursos para atender a las personas que se vean afectadas o damnificadas por los efectos de la ola invernal. </t>
  </si>
  <si>
    <t>PROYECTO: Fortalecimiento de la prestación de servicios de salud de la Red Pública Hospitalaria para la preparación, manejo y atención de la emergencia sanitaria durante la pandemia SARS COV-2 (COVID-19) en el Departamento de Arauca</t>
  </si>
  <si>
    <t>REGALÍAS DEL RÉGIMEN ANTERIOR</t>
  </si>
  <si>
    <t>REEMPLAZADO DE FUENTE UCI SARAVENA</t>
  </si>
  <si>
    <t>ORDENANZA DE DE ADICIÓN DE RECURSOS DEL CIERRE FISCAL 2019</t>
  </si>
  <si>
    <t>ASIGNACIÓN DE USO Y TRASLADOS DE RECURSOS EN EL PLAN FINANCIERO 2020-2023</t>
  </si>
  <si>
    <t>%DE PARTICIPACIÓN INICIAL</t>
  </si>
  <si>
    <t>TOTAL DE RECURSOS CUATRIENIO 2020-2023
PRESENTADO A LA ASAMBLEA</t>
  </si>
  <si>
    <t>%DE PARTICIPACIÓN PROPUESTO</t>
  </si>
  <si>
    <t>TOTAL DE RECURSOS CUATRIENIO 2020-2023
PROPUESTO PARA SEGUNDO DEBATE</t>
  </si>
  <si>
    <t>TOTAL DE RECURSOS 2020
PRESENTADO A LA ASAMBLEA</t>
  </si>
  <si>
    <t>% DE PARTICIPACION INICIAL</t>
  </si>
  <si>
    <t>TOTAL DE RECURSOS 2020
PROPUESTO PARA SEGUNDO DEBATE</t>
  </si>
  <si>
    <t>% DE PARTICPACIÓN PROPUESTO</t>
  </si>
  <si>
    <t>NO INCLUYE LOS RECURSOS DE COFINANCIACIÓN</t>
  </si>
  <si>
    <t>TOTAL DE RECURSOS 2021
PRESENTADO A LA ASAMBLEA</t>
  </si>
  <si>
    <t>TOTAL DE RECURSOS 2022
PRESENTADO A LA ASAMBLEA</t>
  </si>
  <si>
    <t>TOTAL DE RECURSOS 2023
PRESENTADO A LA ASAMBLEA</t>
  </si>
  <si>
    <t>TOTAL DE RECURSOS 2021
PROPUESTO PARA SEGUNDO DEBATE</t>
  </si>
  <si>
    <t>TOTAL DE RECURSOS 2022
PROPUESTO PARA SEGUNDO DEBATE</t>
  </si>
  <si>
    <t>TOTAL DE RECURSOS 2023
PROPUESTO PARA SEGUNDO DEBATE</t>
  </si>
</sst>
</file>

<file path=xl/styles.xml><?xml version="1.0" encoding="utf-8"?>
<styleSheet xmlns="http://schemas.openxmlformats.org/spreadsheetml/2006/main" xmlns:mc="http://schemas.openxmlformats.org/markup-compatibility/2006" xmlns:x14ac="http://schemas.microsoft.com/office/spreadsheetml/2009/9/ac" mc:Ignorable="x14ac">
  <numFmts count="42">
    <numFmt numFmtId="5" formatCode="&quot;$&quot;#,##0;\-&quot;$&quot;#,##0"/>
    <numFmt numFmtId="41" formatCode="_-* #,##0_-;\-* #,##0_-;_-* &quot;-&quot;_-;_-@_-"/>
    <numFmt numFmtId="44" formatCode="_-&quot;$&quot;* #,##0.00_-;\-&quot;$&quot;* #,##0.00_-;_-&quot;$&quot;* &quot;-&quot;??_-;_-@_-"/>
    <numFmt numFmtId="43" formatCode="_-* #,##0.00_-;\-* #,##0.00_-;_-* &quot;-&quot;??_-;_-@_-"/>
    <numFmt numFmtId="164" formatCode="&quot;$&quot;\ #,##0;\-&quot;$&quot;\ #,##0"/>
    <numFmt numFmtId="165" formatCode="_(&quot;$&quot;\ * #,##0_);_(&quot;$&quot;\ * \(#,##0\);_(&quot;$&quot;\ * &quot;-&quot;_);_(@_)"/>
    <numFmt numFmtId="166" formatCode="_(&quot;$&quot;\ * #,##0.00_);_(&quot;$&quot;\ * \(#,##0.00\);_(&quot;$&quot;\ * &quot;-&quot;??_);_(@_)"/>
    <numFmt numFmtId="167" formatCode="_(* #,##0.00_);_(* \(#,##0.00\);_(* &quot;-&quot;??_);_(@_)"/>
    <numFmt numFmtId="168" formatCode="_-* #,##0\ &quot;€&quot;_-;\-* #,##0\ &quot;€&quot;_-;_-* &quot;-&quot;\ &quot;€&quot;_-;_-@_-"/>
    <numFmt numFmtId="169" formatCode="_-* #,##0.00\ _€_-;\-* #,##0.00\ _€_-;_-* &quot;-&quot;??\ _€_-;_-@_-"/>
    <numFmt numFmtId="170" formatCode="0.000"/>
    <numFmt numFmtId="171" formatCode="_-* #,##0.00\ _p_t_a_-;\-* #,##0.00\ _p_t_a_-;_-* &quot;-&quot;??\ _p_t_a_-;_-@_-"/>
    <numFmt numFmtId="172" formatCode="_(* #,##0.00_);_(* \(#,##0.00\);_(* \-??_);_(@_)"/>
    <numFmt numFmtId="173" formatCode="_ &quot;$&quot;\ * #,##0.00_ ;_ &quot;$&quot;\ * \-#,##0.00_ ;_ &quot;$&quot;\ * &quot;-&quot;??_ ;_ @_ "/>
    <numFmt numFmtId="174" formatCode="_([$€-2]* #,##0.00_);_([$€-2]* \(#,##0.00\);_([$€-2]* &quot;-&quot;??_)"/>
    <numFmt numFmtId="175" formatCode="#.##000"/>
    <numFmt numFmtId="176" formatCode="_-* #,##0\ _P_t_s_-;\-* #,##0\ _P_t_s_-;_-* &quot;-&quot;\ _P_t_s_-;_-@_-"/>
    <numFmt numFmtId="177" formatCode="0_)"/>
    <numFmt numFmtId="178" formatCode="\$#,#00"/>
    <numFmt numFmtId="179" formatCode="_-* #,##0\ &quot;Pts&quot;_-;\-* #,##0\ &quot;Pts&quot;_-;_-* &quot;-&quot;\ &quot;Pts&quot;_-;_-@_-"/>
    <numFmt numFmtId="180" formatCode="_ * #,##0.00_ ;_ * \-#,##0.00_ ;_ * &quot;-&quot;??_ ;_ @_ "/>
    <numFmt numFmtId="181" formatCode="#,##0."/>
    <numFmt numFmtId="182" formatCode="_(* #,##0.0000000_);_(* \(#,##0.0000000\);_(* &quot;-&quot;??_);_(@_)"/>
    <numFmt numFmtId="183" formatCode="_-* #,##0.00\ _P_t_s_-;\-* #,##0.00\ _P_t_s_-;_-* &quot;-&quot;??\ _P_t_s_-;_-@_-"/>
    <numFmt numFmtId="184" formatCode="#,##0.000"/>
    <numFmt numFmtId="185" formatCode="_-* #,##0.000\ _p_t_a_-;\-* #,##0.000\ _p_t_a_-;_-* &quot;-&quot;??\ _p_t_a_-;_-@_-"/>
    <numFmt numFmtId="186" formatCode="_(* #,##0.000_);_(* \(#,##0.000\);_(* &quot;-&quot;??_);_(@_)"/>
    <numFmt numFmtId="187" formatCode="_(* #,##0.000000_);_(* \(#,##0.000000\);_(* &quot;-&quot;??_);_(@_)"/>
    <numFmt numFmtId="188" formatCode="#,##0.000;\-#,##0.000"/>
    <numFmt numFmtId="189" formatCode="%#,#00"/>
    <numFmt numFmtId="190" formatCode="General_)"/>
    <numFmt numFmtId="191" formatCode="\$#,##0.00\ ;\(\$#,##0.00\)"/>
    <numFmt numFmtId="192" formatCode="_-[$$-409]* #,##0.00_ ;_-[$$-409]* \-#,##0.00\ ;_-[$$-409]* &quot;-&quot;??_ ;_-@_ "/>
    <numFmt numFmtId="193" formatCode="_(* #,##0_);_(* \(#,##0\);_(* &quot;-&quot;??_);_(@_)"/>
    <numFmt numFmtId="194" formatCode="0.0%"/>
    <numFmt numFmtId="195" formatCode="_([$$-409]* #,##0.00_);_([$$-409]* \(#,##0.00\);_([$$-409]* &quot;-&quot;??_);_(@_)"/>
    <numFmt numFmtId="196" formatCode="_-&quot;$&quot;* #,##0_-;\-&quot;$&quot;* #,##0_-;_-&quot;$&quot;* &quot;-&quot;_-;_-@"/>
    <numFmt numFmtId="197" formatCode="00"/>
    <numFmt numFmtId="198" formatCode="_(&quot;$&quot;\ * #,##0.0000_);_(&quot;$&quot;\ * \(#,##0.0000\);_(&quot;$&quot;\ * &quot;-&quot;??_);_(@_)"/>
    <numFmt numFmtId="199" formatCode="_(&quot;$&quot;\ * #,##0.000_);_(&quot;$&quot;\ * \(#,##0.000\);_(&quot;$&quot;\ * &quot;-&quot;??_);_(@_)"/>
    <numFmt numFmtId="200" formatCode="0.000%"/>
    <numFmt numFmtId="201" formatCode="0.0000000000%"/>
  </numFmts>
  <fonts count="174">
    <font>
      <sz val="11"/>
      <color theme="1"/>
      <name val="Calibri"/>
      <family val="2"/>
      <scheme val="minor"/>
    </font>
    <font>
      <sz val="10"/>
      <name val="Arial"/>
      <family val="2"/>
    </font>
    <font>
      <sz val="11"/>
      <color indexed="8"/>
      <name val="Calibri"/>
      <family val="2"/>
    </font>
    <font>
      <sz val="8"/>
      <name val="Arial"/>
      <family val="2"/>
    </font>
    <font>
      <sz val="10"/>
      <color indexed="8"/>
      <name val="Arial"/>
      <family val="2"/>
    </font>
    <font>
      <sz val="12"/>
      <color indexed="24"/>
      <name val="Modern"/>
      <family val="3"/>
      <charset val="255"/>
    </font>
    <font>
      <b/>
      <sz val="18"/>
      <color indexed="24"/>
      <name val="Modern"/>
      <family val="3"/>
      <charset val="255"/>
    </font>
    <font>
      <b/>
      <sz val="12"/>
      <color indexed="24"/>
      <name val="Modern"/>
      <family val="3"/>
      <charset val="255"/>
    </font>
    <font>
      <b/>
      <sz val="1"/>
      <color indexed="8"/>
      <name val="Courier"/>
      <family val="3"/>
    </font>
    <font>
      <sz val="1"/>
      <color indexed="8"/>
      <name val="Courier"/>
      <family val="3"/>
    </font>
    <font>
      <sz val="12"/>
      <color indexed="9"/>
      <name val="Helvetica"/>
      <family val="2"/>
    </font>
    <font>
      <b/>
      <i/>
      <sz val="1"/>
      <color indexed="8"/>
      <name val="Courier"/>
      <family val="3"/>
    </font>
    <font>
      <sz val="10"/>
      <name val="BERNHARD"/>
    </font>
    <font>
      <sz val="10"/>
      <name val="MS Sans Serif"/>
      <family val="2"/>
    </font>
    <font>
      <sz val="8"/>
      <color indexed="10"/>
      <name val="BERNHARD"/>
    </font>
    <font>
      <sz val="12"/>
      <name val="Arial MT"/>
    </font>
    <font>
      <b/>
      <sz val="8"/>
      <color indexed="8"/>
      <name val="Arial"/>
      <family val="2"/>
    </font>
    <font>
      <b/>
      <sz val="9"/>
      <color indexed="8"/>
      <name val="Arial"/>
      <family val="2"/>
    </font>
    <font>
      <sz val="8"/>
      <color indexed="8"/>
      <name val="Arial"/>
      <family val="2"/>
    </font>
    <font>
      <sz val="11"/>
      <color theme="1"/>
      <name val="Calibri"/>
      <family val="2"/>
      <scheme val="minor"/>
    </font>
    <font>
      <u/>
      <sz val="8"/>
      <color theme="10"/>
      <name val="Arial"/>
      <family val="2"/>
    </font>
    <font>
      <sz val="8"/>
      <color rgb="FF000000"/>
      <name val="Arial"/>
      <family val="2"/>
    </font>
    <font>
      <u/>
      <sz val="11"/>
      <color theme="10"/>
      <name val="Calibri"/>
      <family val="2"/>
      <scheme val="minor"/>
    </font>
    <font>
      <u/>
      <sz val="11"/>
      <color theme="11"/>
      <name val="Calibri"/>
      <family val="2"/>
      <scheme val="minor"/>
    </font>
    <font>
      <sz val="8"/>
      <name val="Calibri"/>
      <family val="2"/>
      <scheme val="minor"/>
    </font>
    <font>
      <b/>
      <sz val="11"/>
      <color theme="1"/>
      <name val="Calibri"/>
      <family val="2"/>
      <scheme val="minor"/>
    </font>
    <font>
      <b/>
      <sz val="11"/>
      <color theme="1"/>
      <name val="Calibri"/>
      <family val="2"/>
      <scheme val="minor"/>
    </font>
    <font>
      <sz val="11"/>
      <color theme="1"/>
      <name val="Arial"/>
      <family val="2"/>
    </font>
    <font>
      <sz val="11"/>
      <name val="Arial"/>
      <family val="2"/>
    </font>
    <font>
      <sz val="11"/>
      <color rgb="FF000000"/>
      <name val="Arial"/>
      <family val="2"/>
    </font>
    <font>
      <b/>
      <sz val="11"/>
      <color theme="1"/>
      <name val="Arial"/>
      <family val="2"/>
    </font>
    <font>
      <b/>
      <sz val="11"/>
      <name val="Arial"/>
      <family val="2"/>
    </font>
    <font>
      <sz val="11"/>
      <color rgb="FF002060"/>
      <name val="Calibri"/>
      <family val="2"/>
      <scheme val="minor"/>
    </font>
    <font>
      <b/>
      <sz val="11"/>
      <color theme="0"/>
      <name val="Arial"/>
      <family val="2"/>
    </font>
    <font>
      <sz val="11"/>
      <color rgb="FF0D426A"/>
      <name val="Arial"/>
      <family val="2"/>
    </font>
    <font>
      <sz val="11"/>
      <color theme="0"/>
      <name val="Arial"/>
      <family val="2"/>
    </font>
    <font>
      <sz val="20"/>
      <color theme="1"/>
      <name val="Calibri"/>
      <family val="2"/>
      <scheme val="minor"/>
    </font>
    <font>
      <b/>
      <sz val="20"/>
      <color theme="0"/>
      <name val="Calibri"/>
      <family val="2"/>
      <scheme val="minor"/>
    </font>
    <font>
      <b/>
      <sz val="11"/>
      <color theme="0"/>
      <name val="Calibri"/>
      <family val="2"/>
      <scheme val="minor"/>
    </font>
    <font>
      <sz val="20"/>
      <color theme="1"/>
      <name val="Arial"/>
      <family val="2"/>
    </font>
    <font>
      <b/>
      <sz val="20"/>
      <color theme="3" tint="-0.499984740745262"/>
      <name val="Arial"/>
      <family val="2"/>
    </font>
    <font>
      <b/>
      <sz val="20"/>
      <color theme="0"/>
      <name val="Arial"/>
      <family val="2"/>
    </font>
    <font>
      <b/>
      <sz val="20"/>
      <color theme="1"/>
      <name val="Arial"/>
      <family val="2"/>
    </font>
    <font>
      <b/>
      <sz val="20"/>
      <name val="Arial"/>
      <family val="2"/>
    </font>
    <font>
      <sz val="20"/>
      <name val="Arial"/>
      <family val="2"/>
    </font>
    <font>
      <sz val="20"/>
      <color theme="0"/>
      <name val="Arial"/>
      <family val="2"/>
    </font>
    <font>
      <sz val="8"/>
      <color theme="1"/>
      <name val="Calibri"/>
      <family val="2"/>
      <scheme val="minor"/>
    </font>
    <font>
      <sz val="10"/>
      <color theme="1"/>
      <name val="Calibri"/>
      <family val="2"/>
      <scheme val="minor"/>
    </font>
    <font>
      <b/>
      <sz val="11"/>
      <color theme="1"/>
      <name val="Arial Rounded MT Bold"/>
      <family val="2"/>
    </font>
    <font>
      <b/>
      <sz val="10"/>
      <color theme="1"/>
      <name val="Arial Rounded MT Bold"/>
      <family val="2"/>
    </font>
    <font>
      <b/>
      <sz val="10"/>
      <name val="Arial"/>
      <family val="2"/>
    </font>
    <font>
      <sz val="12"/>
      <color rgb="FF000000"/>
      <name val="Calibri"/>
      <family val="2"/>
    </font>
    <font>
      <sz val="8"/>
      <name val="Arial Rounded MT Bold"/>
      <family val="2"/>
    </font>
    <font>
      <sz val="8"/>
      <name val="Arial Narrow"/>
      <family val="2"/>
    </font>
    <font>
      <b/>
      <sz val="10"/>
      <name val="Arial Rounded MT Bold"/>
      <family val="2"/>
    </font>
    <font>
      <b/>
      <sz val="12"/>
      <name val="Arial Rounded MT Bold"/>
      <family val="2"/>
    </font>
    <font>
      <sz val="7"/>
      <name val="Arial Rounded MT Bold"/>
      <family val="2"/>
    </font>
    <font>
      <b/>
      <sz val="8"/>
      <name val="Arial Rounded MT Bold"/>
      <family val="2"/>
    </font>
    <font>
      <b/>
      <sz val="8"/>
      <color indexed="8"/>
      <name val="Arial Narrow"/>
      <family val="2"/>
    </font>
    <font>
      <sz val="10"/>
      <name val="Arial Rounded MT Bold"/>
      <family val="2"/>
    </font>
    <font>
      <sz val="8"/>
      <color indexed="8"/>
      <name val="Arial Narrow"/>
      <family val="2"/>
    </font>
    <font>
      <sz val="10"/>
      <name val="Arial Narrow"/>
      <family val="2"/>
    </font>
    <font>
      <sz val="8"/>
      <color theme="1"/>
      <name val="Arial Narrow"/>
      <family val="2"/>
    </font>
    <font>
      <sz val="8"/>
      <color theme="1"/>
      <name val="Arial Rounded MT Bold"/>
      <family val="2"/>
    </font>
    <font>
      <sz val="8"/>
      <color rgb="FF0000FF"/>
      <name val="Arial Rounded MT Bold"/>
      <family val="2"/>
    </font>
    <font>
      <b/>
      <sz val="10"/>
      <color rgb="FF0000FF"/>
      <name val="Arial Rounded MT Bold"/>
      <family val="2"/>
    </font>
    <font>
      <b/>
      <sz val="8"/>
      <name val="Arial Narrow"/>
      <family val="2"/>
    </font>
    <font>
      <b/>
      <sz val="10"/>
      <color indexed="10"/>
      <name val="Tahoma"/>
      <family val="2"/>
    </font>
    <font>
      <b/>
      <sz val="8"/>
      <color theme="1"/>
      <name val="Arial Narrow"/>
      <family val="2"/>
    </font>
    <font>
      <sz val="8"/>
      <color rgb="FFFF0000"/>
      <name val="Arial Narrow"/>
      <family val="2"/>
    </font>
    <font>
      <b/>
      <sz val="8"/>
      <color rgb="FFFF0000"/>
      <name val="Arial Narrow"/>
      <family val="2"/>
    </font>
    <font>
      <b/>
      <sz val="8"/>
      <color indexed="10"/>
      <name val="Arial Narrow"/>
      <family val="2"/>
    </font>
    <font>
      <sz val="8"/>
      <color rgb="FF0000FF"/>
      <name val="Arial Narrow"/>
      <family val="2"/>
    </font>
    <font>
      <b/>
      <sz val="8"/>
      <color theme="9" tint="-0.499984740745262"/>
      <name val="Arial Narrow"/>
      <family val="2"/>
    </font>
    <font>
      <sz val="8"/>
      <color theme="9" tint="-0.499984740745262"/>
      <name val="Arial Narrow"/>
      <family val="2"/>
    </font>
    <font>
      <b/>
      <i/>
      <sz val="8"/>
      <name val="Arial Narrow"/>
      <family val="2"/>
    </font>
    <font>
      <i/>
      <sz val="8"/>
      <name val="Arial Rounded MT Bold"/>
      <family val="2"/>
    </font>
    <font>
      <i/>
      <sz val="8"/>
      <name val="Arial Narrow"/>
      <family val="2"/>
    </font>
    <font>
      <b/>
      <i/>
      <sz val="10"/>
      <name val="Arial Rounded MT Bold"/>
      <family val="2"/>
    </font>
    <font>
      <b/>
      <sz val="8"/>
      <color theme="1"/>
      <name val="Arial Rounded MT Bold"/>
      <family val="2"/>
    </font>
    <font>
      <i/>
      <sz val="8"/>
      <color theme="1"/>
      <name val="Arial Narrow"/>
      <family val="2"/>
    </font>
    <font>
      <i/>
      <sz val="8"/>
      <color theme="1"/>
      <name val="Arial Rounded MT Bold"/>
      <family val="2"/>
    </font>
    <font>
      <b/>
      <i/>
      <sz val="10"/>
      <color theme="1"/>
      <name val="Arial Rounded MT Bold"/>
      <family val="2"/>
    </font>
    <font>
      <b/>
      <sz val="11"/>
      <name val="Arial Rounded MT Bold"/>
      <family val="2"/>
    </font>
    <font>
      <sz val="10"/>
      <color indexed="8"/>
      <name val="Arial Rounded MT Bold"/>
      <family val="2"/>
    </font>
    <font>
      <sz val="10"/>
      <color indexed="8"/>
      <name val="Arial Narrow"/>
      <family val="2"/>
    </font>
    <font>
      <sz val="9"/>
      <name val="Arial Narrow"/>
      <family val="2"/>
    </font>
    <font>
      <sz val="11"/>
      <color rgb="FFFF0000"/>
      <name val="Arial"/>
      <family val="2"/>
    </font>
    <font>
      <b/>
      <sz val="10"/>
      <color rgb="FFFF0000"/>
      <name val="Arial Rounded MT Bold"/>
      <family val="2"/>
    </font>
    <font>
      <b/>
      <sz val="20"/>
      <name val="Calibri"/>
      <family val="2"/>
      <scheme val="minor"/>
    </font>
    <font>
      <sz val="8"/>
      <name val="Courier"/>
      <family val="3"/>
    </font>
    <font>
      <b/>
      <sz val="20"/>
      <color rgb="FFFF0000"/>
      <name val="Arial"/>
      <family val="2"/>
    </font>
    <font>
      <b/>
      <sz val="20"/>
      <color rgb="FFFF0000"/>
      <name val="Calibri"/>
      <family val="2"/>
      <scheme val="minor"/>
    </font>
    <font>
      <b/>
      <sz val="16"/>
      <color rgb="FF0D426A"/>
      <name val="Arial"/>
      <family val="2"/>
    </font>
    <font>
      <b/>
      <sz val="20"/>
      <color theme="8" tint="-0.499984740745262"/>
      <name val="Arial"/>
      <family val="2"/>
    </font>
    <font>
      <sz val="20"/>
      <color theme="8" tint="-0.499984740745262"/>
      <name val="Arial"/>
      <family val="2"/>
    </font>
    <font>
      <sz val="20"/>
      <color theme="8" tint="-0.499984740745262"/>
      <name val="Calibri"/>
      <family val="2"/>
      <scheme val="minor"/>
    </font>
    <font>
      <sz val="11"/>
      <color rgb="FF0D426A"/>
      <name val="Calibri"/>
      <family val="2"/>
      <scheme val="minor"/>
    </font>
    <font>
      <sz val="20"/>
      <name val="Century Gothic"/>
      <family val="2"/>
    </font>
    <font>
      <b/>
      <sz val="20"/>
      <name val="Century Gothic"/>
      <family val="2"/>
    </font>
    <font>
      <b/>
      <sz val="48"/>
      <name val="Century Gothic"/>
      <family val="2"/>
    </font>
    <font>
      <sz val="20"/>
      <color rgb="FF0D426A"/>
      <name val="Arial"/>
      <family val="2"/>
    </font>
    <font>
      <b/>
      <sz val="20"/>
      <color rgb="FF0D426A"/>
      <name val="Arial"/>
      <family val="2"/>
    </font>
    <font>
      <sz val="20"/>
      <color rgb="FFFF0000"/>
      <name val="Arial"/>
      <family val="2"/>
    </font>
    <font>
      <sz val="20"/>
      <color rgb="FFFF0000"/>
      <name val="Calibri"/>
      <family val="2"/>
      <scheme val="minor"/>
    </font>
    <font>
      <sz val="48"/>
      <name val="Century Gothic"/>
      <family val="2"/>
    </font>
    <font>
      <b/>
      <sz val="48"/>
      <color theme="0"/>
      <name val="Century Gothic"/>
      <family val="2"/>
    </font>
    <font>
      <sz val="36"/>
      <name val="Century Gothic"/>
      <family val="2"/>
    </font>
    <font>
      <b/>
      <sz val="120"/>
      <color rgb="FF0D426A"/>
      <name val="Century Gothic"/>
      <family val="2"/>
    </font>
    <font>
      <b/>
      <sz val="22"/>
      <color rgb="FF0D426A"/>
      <name val="Arial"/>
      <family val="2"/>
    </font>
    <font>
      <b/>
      <sz val="20"/>
      <color rgb="FF00B0F0"/>
      <name val="Arial"/>
      <family val="2"/>
    </font>
    <font>
      <b/>
      <sz val="120"/>
      <name val="Century Gothic"/>
      <family val="2"/>
    </font>
    <font>
      <sz val="90"/>
      <name val="Century Gothic"/>
      <family val="2"/>
    </font>
    <font>
      <b/>
      <sz val="90"/>
      <name val="Century Gothic"/>
      <family val="2"/>
    </font>
    <font>
      <b/>
      <sz val="50"/>
      <name val="Century Gothic"/>
      <family val="2"/>
    </font>
    <font>
      <b/>
      <sz val="55"/>
      <name val="Century Gothic"/>
      <family val="2"/>
    </font>
    <font>
      <sz val="50"/>
      <name val="Century Gothic"/>
      <family val="2"/>
    </font>
    <font>
      <b/>
      <sz val="6"/>
      <color rgb="FF0D426A"/>
      <name val="Arial"/>
      <family val="2"/>
    </font>
    <font>
      <b/>
      <sz val="20"/>
      <color rgb="FF00B050"/>
      <name val="Wingdings 3"/>
      <family val="1"/>
      <charset val="2"/>
    </font>
    <font>
      <b/>
      <sz val="20"/>
      <color rgb="FFD82F27"/>
      <name val="Wingdings 3"/>
      <family val="1"/>
      <charset val="2"/>
    </font>
    <font>
      <b/>
      <sz val="20"/>
      <color rgb="FFC00000"/>
      <name val="Wingdings 3"/>
      <family val="1"/>
      <charset val="2"/>
    </font>
    <font>
      <b/>
      <sz val="20"/>
      <color rgb="FF00B0F0"/>
      <name val="Wingdings 3"/>
      <family val="1"/>
      <charset val="2"/>
    </font>
    <font>
      <b/>
      <sz val="20"/>
      <color rgb="FF7030A0"/>
      <name val="Wingdings 3"/>
      <family val="1"/>
      <charset val="2"/>
    </font>
    <font>
      <sz val="11"/>
      <color rgb="FFC00000"/>
      <name val="Calibri"/>
      <family val="2"/>
      <scheme val="minor"/>
    </font>
    <font>
      <sz val="11"/>
      <color rgb="FFC00000"/>
      <name val="Wingdings 3"/>
      <family val="1"/>
      <charset val="2"/>
    </font>
    <font>
      <sz val="8.8000000000000007"/>
      <color rgb="FF002060"/>
      <name val="Calibri"/>
      <family val="2"/>
    </font>
    <font>
      <sz val="11"/>
      <color rgb="FF289B48"/>
      <name val="Wingdings 3"/>
      <family val="1"/>
      <charset val="2"/>
    </font>
    <font>
      <sz val="11"/>
      <color rgb="FF7030A0"/>
      <name val="Wingdings 3"/>
      <family val="1"/>
      <charset val="2"/>
    </font>
    <font>
      <sz val="11"/>
      <color rgb="FF00B0F0"/>
      <name val="Wingdings 3"/>
      <family val="1"/>
      <charset val="2"/>
    </font>
    <font>
      <b/>
      <sz val="20"/>
      <color rgb="FFFF99FF"/>
      <name val="Wingdings 3"/>
      <family val="1"/>
      <charset val="2"/>
    </font>
    <font>
      <sz val="11"/>
      <color rgb="FFFF99FF"/>
      <name val="Wingdings 3"/>
      <family val="1"/>
      <charset val="2"/>
    </font>
    <font>
      <sz val="9"/>
      <color theme="1"/>
      <name val="Arial"/>
      <family val="2"/>
    </font>
    <font>
      <sz val="9"/>
      <color theme="1"/>
      <name val="Wingdings 3"/>
      <family val="1"/>
      <charset val="2"/>
    </font>
    <font>
      <sz val="28"/>
      <color theme="1"/>
      <name val="Arial"/>
      <family val="2"/>
    </font>
    <font>
      <sz val="28"/>
      <color theme="1"/>
      <name val="Wingdings 3"/>
      <family val="1"/>
      <charset val="2"/>
    </font>
    <font>
      <sz val="28"/>
      <color rgb="FFC00000"/>
      <name val="Wingdings 3"/>
      <family val="1"/>
      <charset val="2"/>
    </font>
    <font>
      <sz val="28"/>
      <color rgb="FFFF99FF"/>
      <name val="Wingdings 3"/>
      <family val="1"/>
      <charset val="2"/>
    </font>
    <font>
      <sz val="28"/>
      <color rgb="FF289B48"/>
      <name val="Wingdings 3"/>
      <family val="1"/>
      <charset val="2"/>
    </font>
    <font>
      <sz val="28"/>
      <color rgb="FF7030A0"/>
      <name val="Wingdings 3"/>
      <family val="1"/>
      <charset val="2"/>
    </font>
    <font>
      <sz val="28"/>
      <color rgb="FF00B0F0"/>
      <name val="Wingdings 3"/>
      <family val="1"/>
      <charset val="2"/>
    </font>
    <font>
      <b/>
      <sz val="28"/>
      <color theme="1"/>
      <name val="Arial"/>
      <family val="2"/>
    </font>
    <font>
      <b/>
      <sz val="9"/>
      <color theme="1"/>
      <name val="Arial"/>
      <family val="2"/>
    </font>
    <font>
      <sz val="9"/>
      <color rgb="FFC00000"/>
      <name val="Wingdings 3"/>
      <family val="1"/>
      <charset val="2"/>
    </font>
    <font>
      <sz val="9"/>
      <color rgb="FFFF99FF"/>
      <name val="Wingdings 3"/>
      <family val="1"/>
      <charset val="2"/>
    </font>
    <font>
      <sz val="9"/>
      <color rgb="FF289B48"/>
      <name val="Wingdings 3"/>
      <family val="1"/>
      <charset val="2"/>
    </font>
    <font>
      <sz val="9"/>
      <color rgb="FF7030A0"/>
      <name val="Wingdings 3"/>
      <family val="1"/>
      <charset val="2"/>
    </font>
    <font>
      <sz val="9"/>
      <color rgb="FF00B0F0"/>
      <name val="Wingdings 3"/>
      <family val="1"/>
      <charset val="2"/>
    </font>
    <font>
      <b/>
      <sz val="50"/>
      <color theme="1"/>
      <name val="Arial"/>
      <family val="2"/>
    </font>
    <font>
      <sz val="50"/>
      <color theme="1"/>
      <name val="Wingdings 3"/>
      <family val="1"/>
      <charset val="2"/>
    </font>
    <font>
      <sz val="50"/>
      <color rgb="FFC00000"/>
      <name val="Wingdings 3"/>
      <family val="1"/>
      <charset val="2"/>
    </font>
    <font>
      <sz val="50"/>
      <color theme="1"/>
      <name val="Arial"/>
      <family val="2"/>
    </font>
    <font>
      <sz val="50"/>
      <color rgb="FFFF99FF"/>
      <name val="Wingdings 3"/>
      <family val="1"/>
      <charset val="2"/>
    </font>
    <font>
      <sz val="50"/>
      <color rgb="FF289B48"/>
      <name val="Wingdings 3"/>
      <family val="1"/>
      <charset val="2"/>
    </font>
    <font>
      <sz val="50"/>
      <color rgb="FF7030A0"/>
      <name val="Wingdings 3"/>
      <family val="1"/>
      <charset val="2"/>
    </font>
    <font>
      <sz val="50"/>
      <color rgb="FF00B0F0"/>
      <name val="Wingdings 3"/>
      <family val="1"/>
      <charset val="2"/>
    </font>
    <font>
      <sz val="8"/>
      <color theme="1"/>
      <name val="Arial"/>
      <family val="2"/>
    </font>
    <font>
      <sz val="50"/>
      <name val="Arial"/>
      <family val="2"/>
    </font>
    <font>
      <sz val="48"/>
      <name val="Arial"/>
      <family val="2"/>
    </font>
    <font>
      <b/>
      <sz val="160"/>
      <color rgb="FF0D3F6A"/>
      <name val="Century Gothic"/>
      <family val="2"/>
    </font>
    <font>
      <sz val="48"/>
      <color rgb="FF0D3F6A"/>
      <name val="Century Gothic"/>
      <family val="2"/>
    </font>
    <font>
      <sz val="50"/>
      <color rgb="FF0D3F6A"/>
      <name val="Arial"/>
      <family val="2"/>
    </font>
    <font>
      <sz val="20"/>
      <color rgb="FF0D3F6A"/>
      <name val="Century Gothic"/>
      <family val="2"/>
    </font>
    <font>
      <b/>
      <sz val="120"/>
      <color rgb="FF0D3F6A"/>
      <name val="Century Gothic"/>
      <family val="2"/>
    </font>
    <font>
      <sz val="36"/>
      <color rgb="FF0D3F6A"/>
      <name val="Century Gothic"/>
      <family val="2"/>
    </font>
    <font>
      <b/>
      <sz val="70"/>
      <name val="Century Gothic"/>
      <family val="2"/>
    </font>
    <font>
      <b/>
      <sz val="70"/>
      <color rgb="FFC00000"/>
      <name val="Wingdings 3"/>
      <family val="1"/>
      <charset val="2"/>
    </font>
    <font>
      <b/>
      <sz val="70"/>
      <color rgb="FFFF99FF"/>
      <name val="Wingdings 3"/>
      <family val="1"/>
      <charset val="2"/>
    </font>
    <font>
      <b/>
      <sz val="70"/>
      <color rgb="FF289B48"/>
      <name val="Wingdings 3"/>
      <family val="1"/>
      <charset val="2"/>
    </font>
    <font>
      <b/>
      <sz val="70"/>
      <color rgb="FF7030A0"/>
      <name val="Wingdings 3"/>
      <family val="1"/>
      <charset val="2"/>
    </font>
    <font>
      <b/>
      <sz val="70"/>
      <color rgb="FF00B0F0"/>
      <name val="Wingdings 3"/>
      <family val="1"/>
      <charset val="2"/>
    </font>
    <font>
      <b/>
      <sz val="80"/>
      <name val="Century Gothic"/>
      <family val="2"/>
    </font>
    <font>
      <sz val="10"/>
      <name val="Calibri"/>
      <family val="2"/>
      <scheme val="minor"/>
    </font>
    <font>
      <sz val="11"/>
      <name val="Calibri"/>
      <family val="2"/>
      <scheme val="minor"/>
    </font>
    <font>
      <b/>
      <sz val="24"/>
      <color theme="0"/>
      <name val="Arial"/>
      <family val="2"/>
    </font>
  </fonts>
  <fills count="46">
    <fill>
      <patternFill patternType="none"/>
    </fill>
    <fill>
      <patternFill patternType="gray125"/>
    </fill>
    <fill>
      <patternFill patternType="solid">
        <fgColor indexed="9"/>
      </patternFill>
    </fill>
    <fill>
      <patternFill patternType="solid">
        <fgColor indexed="9"/>
        <bgColor indexed="64"/>
      </patternFill>
    </fill>
    <fill>
      <patternFill patternType="solid">
        <fgColor rgb="FFFFFFFF"/>
        <bgColor indexed="64"/>
      </patternFill>
    </fill>
    <fill>
      <patternFill patternType="solid">
        <fgColor rgb="FFFFFF00"/>
        <bgColor indexed="64"/>
      </patternFill>
    </fill>
    <fill>
      <patternFill patternType="solid">
        <fgColor rgb="FFCCFFCC"/>
        <bgColor indexed="64"/>
      </patternFill>
    </fill>
    <fill>
      <patternFill patternType="solid">
        <fgColor rgb="FF00B0F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indexed="13"/>
        <bgColor indexed="64"/>
      </patternFill>
    </fill>
    <fill>
      <patternFill patternType="solid">
        <fgColor rgb="FFFFC000"/>
        <bgColor indexed="64"/>
      </patternFill>
    </fill>
    <fill>
      <patternFill patternType="solid">
        <fgColor rgb="FF0D426A"/>
        <bgColor indexed="64"/>
      </patternFill>
    </fill>
    <fill>
      <patternFill patternType="solid">
        <fgColor rgb="FF92D050"/>
        <bgColor indexed="64"/>
      </patternFill>
    </fill>
    <fill>
      <patternFill patternType="solid">
        <fgColor rgb="FF00FFFF"/>
        <bgColor indexed="64"/>
      </patternFill>
    </fill>
    <fill>
      <patternFill patternType="solid">
        <fgColor theme="9" tint="-0.249977111117893"/>
        <bgColor indexed="64"/>
      </patternFill>
    </fill>
    <fill>
      <patternFill patternType="solid">
        <fgColor rgb="FF002060"/>
        <bgColor indexed="64"/>
      </patternFill>
    </fill>
    <fill>
      <patternFill patternType="solid">
        <fgColor rgb="FFFFCC00"/>
        <bgColor indexed="64"/>
      </patternFill>
    </fill>
    <fill>
      <patternFill patternType="solid">
        <fgColor rgb="FFFF0000"/>
        <bgColor indexed="64"/>
      </patternFill>
    </fill>
    <fill>
      <patternFill patternType="solid">
        <fgColor rgb="FFFF66FF"/>
        <bgColor indexed="64"/>
      </patternFill>
    </fill>
    <fill>
      <patternFill patternType="solid">
        <fgColor theme="3" tint="0.39997558519241921"/>
        <bgColor indexed="64"/>
      </patternFill>
    </fill>
    <fill>
      <patternFill patternType="solid">
        <fgColor rgb="FFFF0066"/>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2" tint="-0.249977111117893"/>
        <bgColor indexed="64"/>
      </patternFill>
    </fill>
    <fill>
      <patternFill patternType="solid">
        <fgColor theme="5"/>
        <bgColor indexed="64"/>
      </patternFill>
    </fill>
    <fill>
      <patternFill patternType="solid">
        <fgColor rgb="FF00FF00"/>
        <bgColor indexed="64"/>
      </patternFill>
    </fill>
    <fill>
      <patternFill patternType="solid">
        <fgColor indexed="41"/>
        <bgColor indexed="64"/>
      </patternFill>
    </fill>
    <fill>
      <patternFill patternType="solid">
        <fgColor theme="6" tint="0.79998168889431442"/>
        <bgColor indexed="64"/>
      </patternFill>
    </fill>
    <fill>
      <patternFill patternType="solid">
        <fgColor rgb="FF522B57"/>
        <bgColor indexed="64"/>
      </patternFill>
    </fill>
    <fill>
      <patternFill patternType="solid">
        <fgColor rgb="FFFFFF99"/>
        <bgColor indexed="64"/>
      </patternFill>
    </fill>
    <fill>
      <patternFill patternType="solid">
        <fgColor rgb="FFFFFFCC"/>
        <bgColor indexed="64"/>
      </patternFill>
    </fill>
    <fill>
      <patternFill patternType="solid">
        <fgColor rgb="FFEBA024"/>
        <bgColor indexed="64"/>
      </patternFill>
    </fill>
    <fill>
      <patternFill patternType="solid">
        <fgColor rgb="FF289B48"/>
        <bgColor indexed="64"/>
      </patternFill>
    </fill>
    <fill>
      <patternFill patternType="solid">
        <fgColor rgb="FF005EA2"/>
        <bgColor indexed="64"/>
      </patternFill>
    </fill>
    <fill>
      <patternFill patternType="solid">
        <fgColor rgb="FF7F2A92"/>
        <bgColor indexed="64"/>
      </patternFill>
    </fill>
    <fill>
      <patternFill patternType="solid">
        <fgColor rgb="FFF2C81B"/>
        <bgColor indexed="64"/>
      </patternFill>
    </fill>
    <fill>
      <patternFill patternType="solid">
        <fgColor rgb="FFD82F27"/>
        <bgColor indexed="64"/>
      </patternFill>
    </fill>
    <fill>
      <patternFill patternType="solid">
        <fgColor rgb="FFD31E4B"/>
        <bgColor indexed="64"/>
      </patternFill>
    </fill>
    <fill>
      <patternFill patternType="solid">
        <fgColor rgb="FF00B050"/>
        <bgColor indexed="64"/>
      </patternFill>
    </fill>
    <fill>
      <patternFill patternType="solid">
        <fgColor theme="0" tint="-0.34998626667073579"/>
        <bgColor indexed="64"/>
      </patternFill>
    </fill>
    <fill>
      <patternFill patternType="solid">
        <fgColor rgb="FFFFCC99"/>
        <bgColor indexed="64"/>
      </patternFill>
    </fill>
    <fill>
      <patternFill patternType="solid">
        <fgColor theme="3" tint="0.59999389629810485"/>
        <bgColor indexed="64"/>
      </patternFill>
    </fill>
    <fill>
      <patternFill patternType="solid">
        <fgColor rgb="FF0D3F6A"/>
        <bgColor indexed="64"/>
      </patternFill>
    </fill>
  </fills>
  <borders count="127">
    <border>
      <left/>
      <right/>
      <top/>
      <bottom/>
      <diagonal/>
    </border>
    <border>
      <left/>
      <right/>
      <top style="thin">
        <color auto="1"/>
      </top>
      <bottom style="double">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diagonal/>
    </border>
    <border>
      <left/>
      <right/>
      <top style="double">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auto="1"/>
      </bottom>
      <diagonal/>
    </border>
    <border>
      <left/>
      <right/>
      <top style="thin">
        <color auto="1"/>
      </top>
      <bottom style="thin">
        <color auto="1"/>
      </bottom>
      <diagonal/>
    </border>
    <border>
      <left style="thin">
        <color auto="1"/>
      </left>
      <right style="medium">
        <color auto="1"/>
      </right>
      <top/>
      <bottom/>
      <diagonal/>
    </border>
    <border>
      <left/>
      <right/>
      <top style="thin">
        <color auto="1"/>
      </top>
      <bottom/>
      <diagonal/>
    </border>
    <border>
      <left style="thin">
        <color auto="1"/>
      </left>
      <right style="thin">
        <color auto="1"/>
      </right>
      <top style="thin">
        <color rgb="FF000000"/>
      </top>
      <bottom style="thin">
        <color auto="1"/>
      </bottom>
      <diagonal/>
    </border>
    <border>
      <left style="thin">
        <color rgb="FF000000"/>
      </left>
      <right style="thin">
        <color rgb="FF000000"/>
      </right>
      <top/>
      <bottom/>
      <diagonal/>
    </border>
    <border>
      <left/>
      <right style="medium">
        <color auto="1"/>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bottom style="medium">
        <color auto="1"/>
      </bottom>
      <diagonal/>
    </border>
    <border>
      <left style="thin">
        <color auto="1"/>
      </left>
      <right style="medium">
        <color auto="1"/>
      </right>
      <top/>
      <bottom style="medium">
        <color auto="1"/>
      </bottom>
      <diagonal/>
    </border>
    <border>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thin">
        <color auto="1"/>
      </top>
      <bottom style="thin">
        <color rgb="FF000000"/>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medium">
        <color auto="1"/>
      </left>
      <right/>
      <top/>
      <bottom/>
      <diagonal/>
    </border>
    <border>
      <left style="medium">
        <color auto="1"/>
      </left>
      <right style="medium">
        <color auto="1"/>
      </right>
      <top/>
      <bottom style="medium">
        <color auto="1"/>
      </bottom>
      <diagonal/>
    </border>
    <border>
      <left style="medium">
        <color rgb="FFECECEC"/>
      </left>
      <right style="medium">
        <color rgb="FFECECEC"/>
      </right>
      <top style="medium">
        <color rgb="FFECECEC"/>
      </top>
      <bottom style="medium">
        <color rgb="FFECECEC"/>
      </bottom>
      <diagonal/>
    </border>
    <border>
      <left style="thin">
        <color rgb="FF0D426A"/>
      </left>
      <right/>
      <top style="thin">
        <color rgb="FF0D426A"/>
      </top>
      <bottom style="thin">
        <color rgb="FF0D426A"/>
      </bottom>
      <diagonal/>
    </border>
    <border>
      <left/>
      <right/>
      <top style="thin">
        <color rgb="FF0D426A"/>
      </top>
      <bottom style="thin">
        <color rgb="FF0D426A"/>
      </bottom>
      <diagonal/>
    </border>
    <border>
      <left/>
      <right style="thin">
        <color rgb="FF0D426A"/>
      </right>
      <top style="thin">
        <color rgb="FF0D426A"/>
      </top>
      <bottom style="thin">
        <color rgb="FF0D426A"/>
      </bottom>
      <diagonal/>
    </border>
    <border>
      <left style="thin">
        <color auto="1"/>
      </left>
      <right/>
      <top/>
      <bottom style="thin">
        <color auto="1"/>
      </bottom>
      <diagonal/>
    </border>
    <border>
      <left style="thin">
        <color auto="1"/>
      </left>
      <right/>
      <top/>
      <bottom style="medium">
        <color auto="1"/>
      </bottom>
      <diagonal/>
    </border>
    <border>
      <left style="thin">
        <color auto="1"/>
      </left>
      <right/>
      <top style="medium">
        <color indexed="64"/>
      </top>
      <bottom style="medium">
        <color indexed="64"/>
      </bottom>
      <diagonal/>
    </border>
    <border>
      <left/>
      <right style="thin">
        <color rgb="FF0D426A"/>
      </right>
      <top style="medium">
        <color indexed="64"/>
      </top>
      <bottom style="medium">
        <color indexed="64"/>
      </bottom>
      <diagonal/>
    </border>
    <border>
      <left style="thin">
        <color rgb="FF0D426A"/>
      </left>
      <right style="thin">
        <color rgb="FF0D426A"/>
      </right>
      <top style="medium">
        <color indexed="64"/>
      </top>
      <bottom style="medium">
        <color indexed="64"/>
      </bottom>
      <diagonal/>
    </border>
    <border>
      <left style="thin">
        <color rgb="FF0D426A"/>
      </left>
      <right style="medium">
        <color indexed="64"/>
      </right>
      <top style="medium">
        <color indexed="64"/>
      </top>
      <bottom style="medium">
        <color indexed="64"/>
      </bottom>
      <diagonal/>
    </border>
    <border>
      <left style="medium">
        <color auto="1"/>
      </left>
      <right/>
      <top/>
      <bottom style="thin">
        <color auto="1"/>
      </bottom>
      <diagonal/>
    </border>
    <border>
      <left/>
      <right style="thin">
        <color auto="1"/>
      </right>
      <top/>
      <bottom style="thin">
        <color auto="1"/>
      </bottom>
      <diagonal/>
    </border>
    <border>
      <left style="medium">
        <color rgb="FF0D3F6A"/>
      </left>
      <right/>
      <top style="medium">
        <color rgb="FF0D3F6A"/>
      </top>
      <bottom/>
      <diagonal/>
    </border>
    <border>
      <left/>
      <right/>
      <top style="medium">
        <color rgb="FF0D3F6A"/>
      </top>
      <bottom/>
      <diagonal/>
    </border>
    <border>
      <left/>
      <right style="medium">
        <color rgb="FF0D3F6A"/>
      </right>
      <top style="medium">
        <color rgb="FF0D3F6A"/>
      </top>
      <bottom/>
      <diagonal/>
    </border>
    <border>
      <left style="medium">
        <color rgb="FF0D3F6A"/>
      </left>
      <right/>
      <top/>
      <bottom/>
      <diagonal/>
    </border>
    <border>
      <left/>
      <right style="medium">
        <color rgb="FF0D3F6A"/>
      </right>
      <top/>
      <bottom/>
      <diagonal/>
    </border>
    <border>
      <left style="medium">
        <color rgb="FF0D3F6A"/>
      </left>
      <right/>
      <top/>
      <bottom style="medium">
        <color rgb="FF0D3F6A"/>
      </bottom>
      <diagonal/>
    </border>
    <border>
      <left/>
      <right/>
      <top/>
      <bottom style="medium">
        <color rgb="FF0D3F6A"/>
      </bottom>
      <diagonal/>
    </border>
    <border>
      <left/>
      <right style="medium">
        <color rgb="FF0D3F6A"/>
      </right>
      <top/>
      <bottom style="medium">
        <color rgb="FF0D3F6A"/>
      </bottom>
      <diagonal/>
    </border>
    <border>
      <left style="thin">
        <color rgb="FF0D3F6A"/>
      </left>
      <right style="thin">
        <color rgb="FF0D3F6A"/>
      </right>
      <top style="thin">
        <color rgb="FF0D3F6A"/>
      </top>
      <bottom style="thin">
        <color rgb="FF0D3F6A"/>
      </bottom>
      <diagonal/>
    </border>
    <border>
      <left style="medium">
        <color rgb="FF0D3F6A"/>
      </left>
      <right/>
      <top style="medium">
        <color rgb="FF0D3F6A"/>
      </top>
      <bottom style="medium">
        <color rgb="FF0D3F6A"/>
      </bottom>
      <diagonal/>
    </border>
    <border>
      <left/>
      <right/>
      <top style="medium">
        <color rgb="FF0D3F6A"/>
      </top>
      <bottom style="medium">
        <color rgb="FF0D3F6A"/>
      </bottom>
      <diagonal/>
    </border>
    <border>
      <left/>
      <right style="medium">
        <color rgb="FF0D3F6A"/>
      </right>
      <top style="medium">
        <color rgb="FF0D3F6A"/>
      </top>
      <bottom style="medium">
        <color rgb="FF0D3F6A"/>
      </bottom>
      <diagonal/>
    </border>
    <border>
      <left/>
      <right style="medium">
        <color auto="1"/>
      </right>
      <top/>
      <bottom style="thin">
        <color auto="1"/>
      </bottom>
      <diagonal/>
    </border>
    <border>
      <left/>
      <right style="medium">
        <color auto="1"/>
      </right>
      <top style="thin">
        <color auto="1"/>
      </top>
      <bottom style="medium">
        <color auto="1"/>
      </bottom>
      <diagonal/>
    </border>
    <border>
      <left style="thin">
        <color auto="1"/>
      </left>
      <right style="thin">
        <color auto="1"/>
      </right>
      <top style="medium">
        <color auto="1"/>
      </top>
      <bottom/>
      <diagonal/>
    </border>
    <border>
      <left style="thin">
        <color rgb="FF0D3F6A"/>
      </left>
      <right style="thin">
        <color rgb="FF0D3F6A"/>
      </right>
      <top style="thin">
        <color rgb="FF0D3F6A"/>
      </top>
      <bottom/>
      <diagonal/>
    </border>
    <border>
      <left style="thin">
        <color rgb="FF0D3F6A"/>
      </left>
      <right style="thin">
        <color rgb="FF0D3F6A"/>
      </right>
      <top/>
      <bottom/>
      <diagonal/>
    </border>
    <border>
      <left style="thin">
        <color rgb="FF0D3F6A"/>
      </left>
      <right style="thin">
        <color rgb="FF0D3F6A"/>
      </right>
      <top/>
      <bottom style="thin">
        <color rgb="FF0D3F6A"/>
      </bottom>
      <diagonal/>
    </border>
    <border>
      <left style="thin">
        <color rgb="FF0D3F6A"/>
      </left>
      <right style="thin">
        <color rgb="FF0D3F6A"/>
      </right>
      <top/>
      <bottom style="medium">
        <color auto="1"/>
      </bottom>
      <diagonal/>
    </border>
    <border>
      <left style="thin">
        <color rgb="FF0D3F6A"/>
      </left>
      <right style="thin">
        <color auto="1"/>
      </right>
      <top style="thin">
        <color rgb="FF0D3F6A"/>
      </top>
      <bottom/>
      <diagonal/>
    </border>
    <border>
      <left style="thin">
        <color rgb="FF0D3F6A"/>
      </left>
      <right style="thin">
        <color auto="1"/>
      </right>
      <top/>
      <bottom style="thin">
        <color rgb="FF0D3F6A"/>
      </bottom>
      <diagonal/>
    </border>
    <border>
      <left style="thin">
        <color rgb="FF0D3F6A"/>
      </left>
      <right/>
      <top style="thin">
        <color rgb="FF0D3F6A"/>
      </top>
      <bottom/>
      <diagonal/>
    </border>
    <border>
      <left/>
      <right/>
      <top style="thin">
        <color rgb="FF0D3F6A"/>
      </top>
      <bottom/>
      <diagonal/>
    </border>
    <border>
      <left/>
      <right style="thin">
        <color rgb="FF0D3F6A"/>
      </right>
      <top style="thin">
        <color rgb="FF0D3F6A"/>
      </top>
      <bottom/>
      <diagonal/>
    </border>
    <border>
      <left style="thin">
        <color rgb="FF0D3F6A"/>
      </left>
      <right/>
      <top/>
      <bottom style="thin">
        <color rgb="FF0D3F6A"/>
      </bottom>
      <diagonal/>
    </border>
    <border>
      <left/>
      <right/>
      <top/>
      <bottom style="thin">
        <color rgb="FF0D3F6A"/>
      </bottom>
      <diagonal/>
    </border>
    <border>
      <left/>
      <right style="thin">
        <color rgb="FF0D3F6A"/>
      </right>
      <top/>
      <bottom style="thin">
        <color rgb="FF0D3F6A"/>
      </bottom>
      <diagonal/>
    </border>
    <border>
      <left style="thin">
        <color rgb="FF0D3F6A"/>
      </left>
      <right/>
      <top style="thin">
        <color rgb="FF0D3F6A"/>
      </top>
      <bottom style="thin">
        <color rgb="FF0D3F6A"/>
      </bottom>
      <diagonal/>
    </border>
    <border>
      <left/>
      <right/>
      <top style="thin">
        <color rgb="FF0D3F6A"/>
      </top>
      <bottom style="thin">
        <color rgb="FF0D3F6A"/>
      </bottom>
      <diagonal/>
    </border>
    <border>
      <left/>
      <right style="thin">
        <color rgb="FF0D3F6A"/>
      </right>
      <top style="thin">
        <color rgb="FF0D3F6A"/>
      </top>
      <bottom style="thin">
        <color rgb="FF0D3F6A"/>
      </bottom>
      <diagonal/>
    </border>
    <border>
      <left style="medium">
        <color rgb="FF0D3F6A"/>
      </left>
      <right style="thin">
        <color rgb="FF0D3F6A"/>
      </right>
      <top style="medium">
        <color rgb="FF0D3F6A"/>
      </top>
      <bottom style="thin">
        <color rgb="FF0D3F6A"/>
      </bottom>
      <diagonal/>
    </border>
    <border>
      <left style="thin">
        <color rgb="FF0D3F6A"/>
      </left>
      <right style="thin">
        <color rgb="FF0D3F6A"/>
      </right>
      <top style="medium">
        <color rgb="FF0D3F6A"/>
      </top>
      <bottom style="thin">
        <color rgb="FF0D3F6A"/>
      </bottom>
      <diagonal/>
    </border>
    <border>
      <left style="thin">
        <color rgb="FF0D3F6A"/>
      </left>
      <right style="medium">
        <color rgb="FF0D3F6A"/>
      </right>
      <top style="medium">
        <color rgb="FF0D3F6A"/>
      </top>
      <bottom style="thin">
        <color rgb="FF0D3F6A"/>
      </bottom>
      <diagonal/>
    </border>
    <border>
      <left style="medium">
        <color rgb="FF0D3F6A"/>
      </left>
      <right style="thin">
        <color rgb="FF0D3F6A"/>
      </right>
      <top style="thin">
        <color rgb="FF0D3F6A"/>
      </top>
      <bottom style="thin">
        <color rgb="FF0D3F6A"/>
      </bottom>
      <diagonal/>
    </border>
    <border>
      <left style="thin">
        <color rgb="FF0D3F6A"/>
      </left>
      <right style="medium">
        <color rgb="FF0D3F6A"/>
      </right>
      <top style="thin">
        <color rgb="FF0D3F6A"/>
      </top>
      <bottom style="thin">
        <color rgb="FF0D3F6A"/>
      </bottom>
      <diagonal/>
    </border>
    <border>
      <left style="medium">
        <color rgb="FF0D3F6A"/>
      </left>
      <right style="thin">
        <color rgb="FF0D3F6A"/>
      </right>
      <top style="thin">
        <color rgb="FF0D3F6A"/>
      </top>
      <bottom style="medium">
        <color rgb="FF0D3F6A"/>
      </bottom>
      <diagonal/>
    </border>
    <border>
      <left style="thin">
        <color rgb="FF0D3F6A"/>
      </left>
      <right style="thin">
        <color rgb="FF0D3F6A"/>
      </right>
      <top style="thin">
        <color rgb="FF0D3F6A"/>
      </top>
      <bottom style="medium">
        <color rgb="FF0D3F6A"/>
      </bottom>
      <diagonal/>
    </border>
    <border>
      <left style="thin">
        <color rgb="FF0D3F6A"/>
      </left>
      <right style="medium">
        <color rgb="FF0D3F6A"/>
      </right>
      <top style="thin">
        <color rgb="FF0D3F6A"/>
      </top>
      <bottom style="medium">
        <color rgb="FF0D3F6A"/>
      </bottom>
      <diagonal/>
    </border>
  </borders>
  <cellStyleXfs count="1290">
    <xf numFmtId="0" fontId="0" fillId="0" borderId="0"/>
    <xf numFmtId="0" fontId="5" fillId="0" borderId="0" applyProtection="0"/>
    <xf numFmtId="0" fontId="5" fillId="0" borderId="0"/>
    <xf numFmtId="0" fontId="5" fillId="0" borderId="1" applyProtection="0"/>
    <xf numFmtId="2" fontId="5" fillId="0" borderId="0" applyProtection="0"/>
    <xf numFmtId="4" fontId="5" fillId="0" borderId="0" applyProtection="0"/>
    <xf numFmtId="0" fontId="6" fillId="0" borderId="0" applyProtection="0"/>
    <xf numFmtId="0" fontId="7" fillId="0" borderId="0" applyProtection="0"/>
    <xf numFmtId="0" fontId="5" fillId="0" borderId="0"/>
    <xf numFmtId="0" fontId="4" fillId="0" borderId="0">
      <alignment vertical="top"/>
    </xf>
    <xf numFmtId="0" fontId="8" fillId="0" borderId="0">
      <protection locked="0"/>
    </xf>
    <xf numFmtId="0" fontId="8" fillId="0" borderId="0">
      <protection locked="0"/>
    </xf>
    <xf numFmtId="174" fontId="8" fillId="0" borderId="0">
      <protection locked="0"/>
    </xf>
    <xf numFmtId="0" fontId="8" fillId="0" borderId="0">
      <protection locked="0"/>
    </xf>
    <xf numFmtId="0" fontId="8" fillId="0" borderId="0">
      <protection locked="0"/>
    </xf>
    <xf numFmtId="0" fontId="8" fillId="0" borderId="0">
      <protection locked="0"/>
    </xf>
    <xf numFmtId="174" fontId="8" fillId="0" borderId="0">
      <protection locked="0"/>
    </xf>
    <xf numFmtId="0" fontId="8" fillId="0" borderId="0">
      <protection locked="0"/>
    </xf>
    <xf numFmtId="0" fontId="1" fillId="0" borderId="0" applyNumberFormat="0" applyFill="0" applyBorder="0" applyProtection="0">
      <alignment horizontal="left"/>
    </xf>
    <xf numFmtId="175" fontId="9" fillId="0" borderId="0">
      <protection locked="0"/>
    </xf>
    <xf numFmtId="176" fontId="3" fillId="0" borderId="0" applyFont="0" applyFill="0" applyBorder="0" applyAlignment="0" applyProtection="0"/>
    <xf numFmtId="175" fontId="9" fillId="0" borderId="0">
      <protection locked="0"/>
    </xf>
    <xf numFmtId="175" fontId="9" fillId="0" borderId="0">
      <protection locked="0"/>
    </xf>
    <xf numFmtId="0" fontId="1" fillId="0" borderId="0">
      <protection locked="0"/>
    </xf>
    <xf numFmtId="177" fontId="1" fillId="0" borderId="0">
      <protection locked="0"/>
    </xf>
    <xf numFmtId="177" fontId="1" fillId="0" borderId="0">
      <protection locked="0"/>
    </xf>
    <xf numFmtId="177" fontId="1" fillId="0" borderId="0">
      <protection locked="0"/>
    </xf>
    <xf numFmtId="177" fontId="1" fillId="0" borderId="0">
      <protection locked="0"/>
    </xf>
    <xf numFmtId="178" fontId="9" fillId="0" borderId="0">
      <protection locked="0"/>
    </xf>
    <xf numFmtId="179" fontId="3" fillId="0" borderId="0" applyFont="0" applyFill="0" applyBorder="0" applyAlignment="0" applyProtection="0"/>
    <xf numFmtId="178" fontId="9" fillId="0" borderId="0">
      <protection locked="0"/>
    </xf>
    <xf numFmtId="178" fontId="9" fillId="0" borderId="0">
      <protection locked="0"/>
    </xf>
    <xf numFmtId="0" fontId="1" fillId="0" borderId="0">
      <protection locked="0"/>
    </xf>
    <xf numFmtId="5" fontId="1" fillId="0" borderId="0">
      <protection locked="0"/>
    </xf>
    <xf numFmtId="5" fontId="1" fillId="0" borderId="0">
      <protection locked="0"/>
    </xf>
    <xf numFmtId="5" fontId="1" fillId="0" borderId="0">
      <protection locked="0"/>
    </xf>
    <xf numFmtId="5" fontId="1" fillId="0" borderId="0">
      <protection locked="0"/>
    </xf>
    <xf numFmtId="0" fontId="9" fillId="0" borderId="0">
      <protection locked="0"/>
    </xf>
    <xf numFmtId="0" fontId="9" fillId="0" borderId="0">
      <protection locked="0"/>
    </xf>
    <xf numFmtId="174" fontId="9" fillId="0" borderId="0">
      <protection locked="0"/>
    </xf>
    <xf numFmtId="0" fontId="9" fillId="0" borderId="0">
      <protection locked="0"/>
    </xf>
    <xf numFmtId="0" fontId="10" fillId="0" borderId="0">
      <protection locked="0"/>
    </xf>
    <xf numFmtId="180" fontId="1" fillId="0" borderId="0" applyFont="0" applyFill="0" applyBorder="0" applyAlignment="0" applyProtection="0"/>
    <xf numFmtId="170"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0" fontId="1" fillId="0" borderId="0" applyFont="0" applyFill="0" applyBorder="0" applyAlignment="0" applyProtection="0"/>
    <xf numFmtId="181" fontId="9" fillId="0" borderId="0">
      <protection locked="0"/>
    </xf>
    <xf numFmtId="181" fontId="9" fillId="0" borderId="0">
      <protection locked="0"/>
    </xf>
    <xf numFmtId="181" fontId="9" fillId="0" borderId="0">
      <protection locked="0"/>
    </xf>
    <xf numFmtId="181" fontId="8" fillId="0" borderId="0">
      <protection locked="0"/>
    </xf>
    <xf numFmtId="181" fontId="11" fillId="0" borderId="0">
      <protection locked="0"/>
    </xf>
    <xf numFmtId="181" fontId="8" fillId="0" borderId="0">
      <protection locked="0"/>
    </xf>
    <xf numFmtId="181" fontId="11" fillId="0" borderId="0">
      <protection locked="0"/>
    </xf>
    <xf numFmtId="0" fontId="9" fillId="0" borderId="0">
      <protection locked="0"/>
    </xf>
    <xf numFmtId="0" fontId="9" fillId="0" borderId="0">
      <protection locked="0"/>
    </xf>
    <xf numFmtId="174" fontId="9" fillId="0" borderId="0">
      <protection locked="0"/>
    </xf>
    <xf numFmtId="0" fontId="9" fillId="0" borderId="0">
      <protection locked="0"/>
    </xf>
    <xf numFmtId="0" fontId="12" fillId="0" borderId="0"/>
    <xf numFmtId="174" fontId="12" fillId="0" borderId="0"/>
    <xf numFmtId="182" fontId="1" fillId="0" borderId="0">
      <protection locked="0"/>
    </xf>
    <xf numFmtId="182" fontId="1" fillId="0" borderId="0">
      <protection locked="0"/>
    </xf>
    <xf numFmtId="182" fontId="1" fillId="0" borderId="0">
      <protection locked="0"/>
    </xf>
    <xf numFmtId="182" fontId="1" fillId="0" borderId="0">
      <protection locked="0"/>
    </xf>
    <xf numFmtId="182" fontId="1" fillId="0" borderId="0">
      <protection locked="0"/>
    </xf>
    <xf numFmtId="182" fontId="1" fillId="0" borderId="0">
      <protection locked="0"/>
    </xf>
    <xf numFmtId="182" fontId="1" fillId="0" borderId="0">
      <protection locked="0"/>
    </xf>
    <xf numFmtId="182" fontId="1" fillId="0" borderId="0">
      <protection locked="0"/>
    </xf>
    <xf numFmtId="0" fontId="9" fillId="0" borderId="0">
      <protection locked="0"/>
    </xf>
    <xf numFmtId="0" fontId="9" fillId="0" borderId="0">
      <protection locked="0"/>
    </xf>
    <xf numFmtId="174" fontId="9" fillId="0" borderId="0">
      <protection locked="0"/>
    </xf>
    <xf numFmtId="0" fontId="9" fillId="0" borderId="0">
      <protection locked="0"/>
    </xf>
    <xf numFmtId="0" fontId="8" fillId="0" borderId="0">
      <protection locked="0"/>
    </xf>
    <xf numFmtId="0" fontId="8" fillId="0" borderId="0">
      <protection locked="0"/>
    </xf>
    <xf numFmtId="174" fontId="8" fillId="0" borderId="0">
      <protection locked="0"/>
    </xf>
    <xf numFmtId="0" fontId="8" fillId="0" borderId="0">
      <protection locked="0"/>
    </xf>
    <xf numFmtId="0" fontId="8" fillId="0" borderId="0">
      <protection locked="0"/>
    </xf>
    <xf numFmtId="0" fontId="8" fillId="0" borderId="0">
      <protection locked="0"/>
    </xf>
    <xf numFmtId="174" fontId="8" fillId="0" borderId="0">
      <protection locked="0"/>
    </xf>
    <xf numFmtId="0" fontId="8" fillId="0" borderId="0">
      <protection locked="0"/>
    </xf>
    <xf numFmtId="0" fontId="8" fillId="0" borderId="0">
      <protection locked="0"/>
    </xf>
    <xf numFmtId="0" fontId="8" fillId="0" borderId="0">
      <protection locked="0"/>
    </xf>
    <xf numFmtId="174" fontId="8" fillId="0" borderId="0">
      <protection locked="0"/>
    </xf>
    <xf numFmtId="0" fontId="8" fillId="0" borderId="0">
      <protection locked="0"/>
    </xf>
    <xf numFmtId="0" fontId="20" fillId="0" borderId="0" applyNumberFormat="0" applyFill="0" applyBorder="0" applyAlignment="0" applyProtection="0">
      <alignment vertical="top"/>
      <protection locked="0"/>
    </xf>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71" fontId="1" fillId="0" borderId="0" applyFont="0" applyFill="0" applyBorder="0" applyAlignment="0" applyProtection="0"/>
    <xf numFmtId="167" fontId="1" fillId="0" borderId="0" applyFont="0" applyFill="0" applyBorder="0" applyAlignment="0" applyProtection="0"/>
    <xf numFmtId="0"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72" fontId="2" fillId="0" borderId="0" applyFill="0" applyBorder="0" applyAlignment="0" applyProtection="0"/>
    <xf numFmtId="167"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8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3"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6" fontId="1" fillId="0" borderId="0" applyFont="0" applyFill="0" applyBorder="0" applyAlignment="0" applyProtection="0"/>
    <xf numFmtId="0" fontId="1" fillId="0" borderId="0" applyFont="0" applyFill="0" applyBorder="0" applyAlignment="0" applyProtection="0"/>
    <xf numFmtId="186"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186"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0" fontId="1" fillId="0" borderId="0" applyFont="0" applyFill="0" applyBorder="0" applyAlignment="0" applyProtection="0"/>
    <xf numFmtId="166" fontId="19" fillId="0" borderId="0" applyFont="0" applyFill="0" applyBorder="0" applyAlignment="0" applyProtection="0"/>
    <xf numFmtId="173" fontId="1" fillId="0" borderId="0" applyFont="0" applyFill="0" applyBorder="0" applyAlignment="0" applyProtection="0"/>
    <xf numFmtId="168" fontId="1" fillId="0" borderId="0" applyFont="0" applyFill="0" applyBorder="0" applyAlignment="0" applyProtection="0"/>
    <xf numFmtId="166" fontId="2"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2" fillId="0" borderId="0"/>
    <xf numFmtId="174" fontId="12" fillId="0" borderId="0"/>
    <xf numFmtId="0" fontId="12" fillId="0" borderId="0"/>
    <xf numFmtId="174" fontId="12" fillId="0" borderId="0"/>
    <xf numFmtId="187" fontId="1" fillId="0" borderId="0">
      <protection locked="0"/>
    </xf>
    <xf numFmtId="187" fontId="1" fillId="0" borderId="0">
      <protection locked="0"/>
    </xf>
    <xf numFmtId="187" fontId="1" fillId="0" borderId="0">
      <protection locked="0"/>
    </xf>
    <xf numFmtId="187" fontId="1" fillId="0" borderId="0">
      <protection locked="0"/>
    </xf>
    <xf numFmtId="188" fontId="1" fillId="0" borderId="0">
      <protection locked="0"/>
    </xf>
    <xf numFmtId="188" fontId="1" fillId="0" borderId="0">
      <protection locked="0"/>
    </xf>
    <xf numFmtId="188" fontId="1" fillId="0" borderId="0">
      <protection locked="0"/>
    </xf>
    <xf numFmtId="188" fontId="1"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Alignment="0" applyProtection="0">
      <alignment vertical="top"/>
    </xf>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Alignment="0" applyProtection="0">
      <alignment vertical="top"/>
    </xf>
    <xf numFmtId="0" fontId="1" fillId="0" borderId="0" applyNumberFormat="0" applyFont="0" applyFill="0" applyBorder="0" applyAlignment="0" applyProtection="0">
      <alignment vertical="top"/>
    </xf>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applyNumberFormat="0" applyFont="0" applyFill="0" applyBorder="0" applyAlignment="0" applyProtection="0">
      <alignment vertical="top"/>
    </xf>
    <xf numFmtId="0" fontId="2" fillId="0" borderId="0"/>
    <xf numFmtId="0" fontId="1" fillId="0" borderId="0" applyNumberFormat="0" applyFont="0" applyFill="0" applyBorder="0" applyAlignment="0" applyProtection="0">
      <alignment vertical="top"/>
    </xf>
    <xf numFmtId="0" fontId="2" fillId="0" borderId="0"/>
    <xf numFmtId="0" fontId="19" fillId="0" borderId="0"/>
    <xf numFmtId="0" fontId="19" fillId="0" borderId="0"/>
    <xf numFmtId="0" fontId="13" fillId="0" borderId="0"/>
    <xf numFmtId="0" fontId="1" fillId="0" borderId="0"/>
    <xf numFmtId="189" fontId="9" fillId="0" borderId="0">
      <protection locked="0"/>
    </xf>
    <xf numFmtId="189" fontId="9" fillId="0" borderId="0">
      <protection locked="0"/>
    </xf>
    <xf numFmtId="189" fontId="9" fillId="0" borderId="0">
      <protection locked="0"/>
    </xf>
    <xf numFmtId="189" fontId="9" fillId="0" borderId="0">
      <protection locked="0"/>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Protection="0">
      <alignment horizontal="left"/>
    </xf>
    <xf numFmtId="0" fontId="1" fillId="0" borderId="0" applyNumberFormat="0" applyFill="0" applyBorder="0" applyAlignment="0" applyProtection="0"/>
    <xf numFmtId="0" fontId="14" fillId="0" borderId="2"/>
    <xf numFmtId="174" fontId="14" fillId="0" borderId="2"/>
    <xf numFmtId="174" fontId="14" fillId="0" borderId="2"/>
    <xf numFmtId="174" fontId="14" fillId="0" borderId="2"/>
    <xf numFmtId="174" fontId="14" fillId="0" borderId="2"/>
    <xf numFmtId="174" fontId="14" fillId="0" borderId="2"/>
    <xf numFmtId="174" fontId="14" fillId="0" borderId="2"/>
    <xf numFmtId="0" fontId="14" fillId="0" borderId="2"/>
    <xf numFmtId="0" fontId="14" fillId="0" borderId="2"/>
    <xf numFmtId="0" fontId="14" fillId="0" borderId="2"/>
    <xf numFmtId="0" fontId="14" fillId="0" borderId="2"/>
    <xf numFmtId="0" fontId="14" fillId="0" borderId="2"/>
    <xf numFmtId="9" fontId="2" fillId="0" borderId="0" applyFont="0" applyFill="0" applyBorder="0" applyAlignment="0" applyProtection="0"/>
    <xf numFmtId="9" fontId="1" fillId="0" borderId="0" applyFont="0" applyFill="0" applyBorder="0" applyAlignment="0" applyProtection="0"/>
    <xf numFmtId="190" fontId="1" fillId="0" borderId="0">
      <protection locked="0"/>
    </xf>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9" fillId="0" borderId="0">
      <protection locked="0"/>
    </xf>
    <xf numFmtId="0" fontId="9" fillId="0" borderId="0">
      <protection locked="0"/>
    </xf>
    <xf numFmtId="174" fontId="9" fillId="0" borderId="0">
      <protection locked="0"/>
    </xf>
    <xf numFmtId="0" fontId="9" fillId="0" borderId="0">
      <protection locked="0"/>
    </xf>
    <xf numFmtId="164" fontId="15" fillId="0" borderId="0">
      <protection locked="0"/>
    </xf>
    <xf numFmtId="0" fontId="12" fillId="0" borderId="0"/>
    <xf numFmtId="174" fontId="12" fillId="0" borderId="0"/>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39" fontId="3" fillId="0" borderId="3" applyFill="0">
      <alignment horizontal="left"/>
    </xf>
    <xf numFmtId="0" fontId="16" fillId="2" borderId="0">
      <alignment horizontal="left" vertical="top"/>
    </xf>
    <xf numFmtId="0" fontId="16" fillId="3" borderId="0">
      <alignment horizontal="left" vertical="top"/>
    </xf>
    <xf numFmtId="0" fontId="16" fillId="3" borderId="0">
      <alignment horizontal="left" vertical="top"/>
    </xf>
    <xf numFmtId="0" fontId="17" fillId="2" borderId="0">
      <alignment horizontal="center" vertical="center"/>
    </xf>
    <xf numFmtId="0" fontId="16" fillId="3" borderId="0">
      <alignment horizontal="left" vertical="center"/>
    </xf>
    <xf numFmtId="0" fontId="16" fillId="3" borderId="0">
      <alignment horizontal="left" vertical="center"/>
    </xf>
    <xf numFmtId="0" fontId="16" fillId="2" borderId="0">
      <alignment horizontal="right" vertical="top"/>
    </xf>
    <xf numFmtId="0" fontId="16" fillId="3" borderId="0">
      <alignment horizontal="right" vertical="center"/>
    </xf>
    <xf numFmtId="0" fontId="16" fillId="3" borderId="0">
      <alignment horizontal="right" vertical="center"/>
    </xf>
    <xf numFmtId="0" fontId="16" fillId="2" borderId="0">
      <alignment horizontal="left" vertical="center"/>
    </xf>
    <xf numFmtId="0" fontId="16" fillId="3" borderId="0">
      <alignment horizontal="right" vertical="top"/>
    </xf>
    <xf numFmtId="0" fontId="16" fillId="3" borderId="0">
      <alignment horizontal="right" vertical="top"/>
    </xf>
    <xf numFmtId="0" fontId="16" fillId="2" borderId="0">
      <alignment horizontal="right" vertical="center"/>
    </xf>
    <xf numFmtId="0" fontId="21" fillId="4" borderId="0">
      <alignment horizontal="right" vertical="top"/>
    </xf>
    <xf numFmtId="0" fontId="21" fillId="4" borderId="0">
      <alignment horizontal="left" vertical="top"/>
    </xf>
    <xf numFmtId="0" fontId="18" fillId="2" borderId="0">
      <alignment horizontal="right" vertical="top"/>
    </xf>
    <xf numFmtId="0" fontId="21" fillId="4" borderId="0">
      <alignment horizontal="left" vertical="top"/>
    </xf>
    <xf numFmtId="0" fontId="21" fillId="4" borderId="0">
      <alignment horizontal="right" vertical="top"/>
    </xf>
    <xf numFmtId="0" fontId="18" fillId="2" borderId="0">
      <alignment horizontal="left" vertical="top"/>
    </xf>
    <xf numFmtId="0" fontId="16" fillId="2" borderId="0">
      <alignment horizontal="right"/>
    </xf>
    <xf numFmtId="0" fontId="17" fillId="2" borderId="0">
      <alignment horizontal="right"/>
    </xf>
    <xf numFmtId="0" fontId="16" fillId="2" borderId="0">
      <alignment horizontal="right" vertical="top"/>
    </xf>
    <xf numFmtId="0" fontId="1" fillId="0" borderId="0" applyNumberFormat="0"/>
    <xf numFmtId="0" fontId="1" fillId="0" borderId="0" applyNumberFormat="0"/>
    <xf numFmtId="174" fontId="1" fillId="0" borderId="0" applyNumberFormat="0"/>
    <xf numFmtId="0" fontId="1" fillId="0" borderId="0" applyNumberFormat="0"/>
    <xf numFmtId="0" fontId="9" fillId="0" borderId="4">
      <protection locked="0"/>
    </xf>
    <xf numFmtId="174" fontId="9" fillId="0" borderId="4">
      <protection locked="0"/>
    </xf>
    <xf numFmtId="0" fontId="5" fillId="0" borderId="0" applyProtection="0"/>
    <xf numFmtId="0" fontId="5" fillId="0" borderId="0" applyProtection="0"/>
    <xf numFmtId="174" fontId="5" fillId="0" borderId="0" applyProtection="0"/>
    <xf numFmtId="0" fontId="5" fillId="0" borderId="0" applyProtection="0"/>
    <xf numFmtId="191" fontId="5" fillId="0" borderId="0" applyProtection="0"/>
    <xf numFmtId="0" fontId="6" fillId="0" borderId="0" applyProtection="0"/>
    <xf numFmtId="0" fontId="6" fillId="0" borderId="0" applyProtection="0"/>
    <xf numFmtId="174" fontId="6" fillId="0" borderId="0" applyProtection="0"/>
    <xf numFmtId="0" fontId="6" fillId="0" borderId="0" applyProtection="0"/>
    <xf numFmtId="0" fontId="7" fillId="0" borderId="0" applyProtection="0"/>
    <xf numFmtId="0" fontId="7" fillId="0" borderId="0" applyProtection="0"/>
    <xf numFmtId="174" fontId="7" fillId="0" borderId="0" applyProtection="0"/>
    <xf numFmtId="0" fontId="7" fillId="0" borderId="0" applyProtection="0"/>
    <xf numFmtId="0" fontId="5" fillId="0" borderId="1" applyProtection="0"/>
    <xf numFmtId="0" fontId="5" fillId="0" borderId="1" applyProtection="0"/>
    <xf numFmtId="174" fontId="5" fillId="0" borderId="1" applyProtection="0"/>
    <xf numFmtId="0" fontId="5" fillId="0" borderId="1" applyProtection="0"/>
    <xf numFmtId="0" fontId="5" fillId="0" borderId="0"/>
    <xf numFmtId="10" fontId="5" fillId="0" borderId="0" applyProtection="0"/>
    <xf numFmtId="0" fontId="5" fillId="0" borderId="0"/>
    <xf numFmtId="0" fontId="5" fillId="0" borderId="0"/>
    <xf numFmtId="174" fontId="5" fillId="0" borderId="0"/>
    <xf numFmtId="0" fontId="5" fillId="0" borderId="0"/>
    <xf numFmtId="2" fontId="5" fillId="0" borderId="0" applyProtection="0"/>
    <xf numFmtId="2" fontId="5" fillId="0" borderId="0" applyProtection="0"/>
    <xf numFmtId="2" fontId="5" fillId="0" borderId="0" applyProtection="0"/>
    <xf numFmtId="2" fontId="5" fillId="0" borderId="0" applyProtection="0"/>
    <xf numFmtId="4" fontId="5" fillId="0" borderId="0" applyProtection="0"/>
    <xf numFmtId="0" fontId="19" fillId="0" borderId="0"/>
    <xf numFmtId="0" fontId="19" fillId="0" borderId="0"/>
    <xf numFmtId="0" fontId="1" fillId="0" borderId="0">
      <alignment vertical="top"/>
    </xf>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0" fontId="4" fillId="0" borderId="0"/>
    <xf numFmtId="165" fontId="19" fillId="0" borderId="0" applyFont="0" applyFill="0" applyBorder="0" applyAlignment="0" applyProtection="0"/>
    <xf numFmtId="167" fontId="19" fillId="0" borderId="0" applyFon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9" fontId="19"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166" fontId="19"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41" fontId="19"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51" fillId="0" borderId="0"/>
    <xf numFmtId="0" fontId="4" fillId="0" borderId="0">
      <alignment vertical="top"/>
    </xf>
    <xf numFmtId="0" fontId="51" fillId="0" borderId="0"/>
    <xf numFmtId="41" fontId="51" fillId="0" borderId="0" applyFont="0" applyFill="0" applyBorder="0" applyAlignment="0" applyProtection="0"/>
    <xf numFmtId="0" fontId="4" fillId="0" borderId="0">
      <alignment vertical="top"/>
    </xf>
    <xf numFmtId="0" fontId="4" fillId="0" borderId="0">
      <alignment vertical="top"/>
    </xf>
    <xf numFmtId="0" fontId="38" fillId="31" borderId="77">
      <alignment horizontal="center" vertical="center" wrapText="1"/>
    </xf>
    <xf numFmtId="5" fontId="19" fillId="0" borderId="0" applyFont="0" applyFill="0" applyBorder="0" applyAlignment="0" applyProtection="0"/>
  </cellStyleXfs>
  <cellXfs count="1813">
    <xf numFmtId="0" fontId="0" fillId="0" borderId="0" xfId="0"/>
    <xf numFmtId="166" fontId="0" fillId="0" borderId="0" xfId="1212" applyFont="1"/>
    <xf numFmtId="0" fontId="27" fillId="0" borderId="0" xfId="0" applyFont="1"/>
    <xf numFmtId="0" fontId="28" fillId="0" borderId="12" xfId="0" applyFont="1" applyFill="1" applyBorder="1" applyAlignment="1">
      <alignment horizontal="left" vertical="center" wrapText="1"/>
    </xf>
    <xf numFmtId="166" fontId="28" fillId="0" borderId="12" xfId="1212" applyFont="1" applyFill="1" applyBorder="1" applyAlignment="1" applyProtection="1">
      <alignment horizontal="right" vertical="center"/>
      <protection hidden="1"/>
    </xf>
    <xf numFmtId="166" fontId="29" fillId="0" borderId="12" xfId="1212" applyFont="1" applyFill="1" applyBorder="1" applyAlignment="1">
      <alignment horizontal="right" vertical="center" wrapText="1"/>
    </xf>
    <xf numFmtId="166" fontId="27" fillId="0" borderId="0" xfId="1212" applyFont="1"/>
    <xf numFmtId="44" fontId="27" fillId="0" borderId="0" xfId="0" applyNumberFormat="1" applyFont="1"/>
    <xf numFmtId="0" fontId="30" fillId="0" borderId="12" xfId="0" applyFont="1" applyBorder="1" applyAlignment="1">
      <alignment vertical="center"/>
    </xf>
    <xf numFmtId="166" fontId="27" fillId="0" borderId="0" xfId="0" applyNumberFormat="1" applyFont="1"/>
    <xf numFmtId="0" fontId="30" fillId="0" borderId="12" xfId="0" applyFont="1" applyBorder="1" applyAlignment="1">
      <alignment vertical="center" wrapText="1"/>
    </xf>
    <xf numFmtId="166" fontId="30" fillId="0" borderId="12" xfId="1212" applyFont="1" applyBorder="1" applyAlignment="1">
      <alignment vertical="center" wrapText="1"/>
    </xf>
    <xf numFmtId="166" fontId="30" fillId="0" borderId="12" xfId="1212" applyFont="1" applyBorder="1" applyAlignment="1">
      <alignment wrapText="1"/>
    </xf>
    <xf numFmtId="166" fontId="27" fillId="0" borderId="12" xfId="1212" applyFont="1" applyBorder="1" applyAlignment="1">
      <alignment vertical="center"/>
    </xf>
    <xf numFmtId="166" fontId="27" fillId="0" borderId="12" xfId="1212" applyFont="1" applyBorder="1"/>
    <xf numFmtId="0" fontId="0" fillId="0" borderId="0" xfId="0" applyAlignment="1">
      <alignment wrapText="1"/>
    </xf>
    <xf numFmtId="166" fontId="0" fillId="0" borderId="0" xfId="1212" applyFont="1" applyAlignment="1">
      <alignment wrapText="1"/>
    </xf>
    <xf numFmtId="44" fontId="0" fillId="0" borderId="0" xfId="0" applyNumberFormat="1" applyAlignment="1">
      <alignment wrapText="1"/>
    </xf>
    <xf numFmtId="0" fontId="27" fillId="0" borderId="19" xfId="0" applyFont="1" applyBorder="1" applyAlignment="1">
      <alignment wrapText="1"/>
    </xf>
    <xf numFmtId="166" fontId="27" fillId="0" borderId="19" xfId="1212" applyFont="1" applyBorder="1" applyAlignment="1">
      <alignment wrapText="1"/>
    </xf>
    <xf numFmtId="166" fontId="31" fillId="0" borderId="19" xfId="1212" applyFont="1" applyBorder="1" applyAlignment="1">
      <alignment wrapText="1"/>
    </xf>
    <xf numFmtId="9" fontId="28" fillId="11" borderId="19" xfId="262" applyFont="1" applyFill="1" applyBorder="1" applyAlignment="1">
      <alignment horizontal="center"/>
    </xf>
    <xf numFmtId="0" fontId="29" fillId="0" borderId="19" xfId="0" applyFont="1" applyFill="1" applyBorder="1" applyAlignment="1">
      <alignment horizontal="left" vertical="center" wrapText="1"/>
    </xf>
    <xf numFmtId="166" fontId="29" fillId="0" borderId="19" xfId="1212" applyFont="1" applyFill="1" applyBorder="1" applyAlignment="1">
      <alignment horizontal="right" vertical="center" wrapText="1"/>
    </xf>
    <xf numFmtId="166" fontId="27" fillId="0" borderId="19" xfId="0" applyNumberFormat="1" applyFont="1" applyBorder="1" applyAlignment="1">
      <alignment wrapText="1"/>
    </xf>
    <xf numFmtId="166" fontId="27" fillId="0" borderId="19" xfId="1212" applyFont="1" applyFill="1" applyBorder="1" applyAlignment="1" applyProtection="1">
      <alignment vertical="center" wrapText="1"/>
      <protection locked="0"/>
    </xf>
    <xf numFmtId="0" fontId="28" fillId="0" borderId="19" xfId="0" applyFont="1" applyFill="1" applyBorder="1" applyAlignment="1" applyProtection="1">
      <alignment horizontal="left" vertical="center" wrapText="1"/>
    </xf>
    <xf numFmtId="166" fontId="31" fillId="0" borderId="19" xfId="1212" applyFont="1" applyBorder="1" applyAlignment="1">
      <alignment horizontal="center" vertical="center" wrapText="1"/>
    </xf>
    <xf numFmtId="0" fontId="30" fillId="0" borderId="19" xfId="0" applyFont="1" applyBorder="1" applyAlignment="1">
      <alignment horizontal="center" vertical="center" wrapText="1"/>
    </xf>
    <xf numFmtId="166" fontId="30" fillId="0" borderId="19" xfId="1212" applyFont="1" applyBorder="1" applyAlignment="1">
      <alignment horizontal="center" vertical="center" wrapText="1"/>
    </xf>
    <xf numFmtId="9" fontId="31" fillId="0" borderId="19" xfId="0" applyNumberFormat="1" applyFont="1" applyBorder="1" applyAlignment="1">
      <alignment horizontal="center"/>
    </xf>
    <xf numFmtId="192" fontId="29" fillId="0" borderId="19" xfId="0" applyNumberFormat="1" applyFont="1" applyFill="1" applyBorder="1" applyAlignment="1">
      <alignment vertical="center" wrapText="1"/>
    </xf>
    <xf numFmtId="0" fontId="27" fillId="0" borderId="19" xfId="0" applyFont="1" applyBorder="1"/>
    <xf numFmtId="166" fontId="29" fillId="10" borderId="19" xfId="1212" applyFont="1" applyFill="1" applyBorder="1" applyAlignment="1">
      <alignment horizontal="right" vertical="center" wrapText="1"/>
    </xf>
    <xf numFmtId="0" fontId="31" fillId="9" borderId="19" xfId="0" applyFont="1" applyFill="1" applyBorder="1" applyAlignment="1">
      <alignment horizontal="center" vertical="center" wrapText="1"/>
    </xf>
    <xf numFmtId="0" fontId="28" fillId="0" borderId="19" xfId="0" applyFont="1" applyFill="1" applyBorder="1" applyAlignment="1" applyProtection="1">
      <alignment vertical="center" wrapText="1"/>
    </xf>
    <xf numFmtId="43" fontId="27" fillId="0" borderId="0" xfId="0" applyNumberFormat="1" applyFont="1"/>
    <xf numFmtId="166" fontId="27" fillId="0" borderId="19" xfId="1212" applyFont="1" applyBorder="1"/>
    <xf numFmtId="166" fontId="31" fillId="9" borderId="19" xfId="1212" applyFont="1" applyFill="1" applyBorder="1" applyAlignment="1">
      <alignment horizontal="center" vertical="center" wrapText="1"/>
    </xf>
    <xf numFmtId="166" fontId="28" fillId="0" borderId="19" xfId="1212" applyFont="1" applyFill="1" applyBorder="1"/>
    <xf numFmtId="166" fontId="31" fillId="0" borderId="19" xfId="1212" applyFont="1" applyFill="1" applyBorder="1"/>
    <xf numFmtId="49" fontId="27" fillId="0" borderId="19" xfId="0" applyNumberFormat="1" applyFont="1" applyBorder="1"/>
    <xf numFmtId="49" fontId="27" fillId="0" borderId="19" xfId="1212" applyNumberFormat="1" applyFont="1" applyBorder="1"/>
    <xf numFmtId="49" fontId="31" fillId="0" borderId="19" xfId="1212" applyNumberFormat="1" applyFont="1" applyBorder="1" applyAlignment="1">
      <alignment wrapText="1"/>
    </xf>
    <xf numFmtId="49" fontId="31" fillId="0" borderId="19" xfId="1212" applyNumberFormat="1" applyFont="1" applyBorder="1" applyAlignment="1">
      <alignment horizontal="center" vertical="justify"/>
    </xf>
    <xf numFmtId="49" fontId="31" fillId="0" borderId="19" xfId="1212" applyNumberFormat="1" applyFont="1" applyBorder="1" applyAlignment="1">
      <alignment horizontal="center" vertical="justify" wrapText="1"/>
    </xf>
    <xf numFmtId="49" fontId="31" fillId="0" borderId="19" xfId="1212" applyNumberFormat="1" applyFont="1" applyBorder="1" applyAlignment="1">
      <alignment horizontal="center" wrapText="1"/>
    </xf>
    <xf numFmtId="49" fontId="27" fillId="0" borderId="0" xfId="0" applyNumberFormat="1" applyFont="1"/>
    <xf numFmtId="49" fontId="0" fillId="0" borderId="0" xfId="0" applyNumberFormat="1"/>
    <xf numFmtId="49" fontId="31" fillId="0" borderId="19" xfId="1212" applyNumberFormat="1" applyFont="1" applyBorder="1" applyAlignment="1">
      <alignment horizontal="center" vertical="center" wrapText="1"/>
    </xf>
    <xf numFmtId="167" fontId="27" fillId="0" borderId="19" xfId="0" applyNumberFormat="1" applyFont="1" applyBorder="1"/>
    <xf numFmtId="166" fontId="27" fillId="0" borderId="19" xfId="0" applyNumberFormat="1" applyFont="1" applyBorder="1"/>
    <xf numFmtId="0" fontId="36" fillId="0" borderId="0" xfId="210" applyFont="1"/>
    <xf numFmtId="0" fontId="39" fillId="0" borderId="0" xfId="210" applyFont="1" applyAlignment="1">
      <alignment wrapText="1"/>
    </xf>
    <xf numFmtId="0" fontId="39" fillId="0" borderId="0" xfId="210" applyFont="1" applyAlignment="1">
      <alignment horizontal="left" vertical="center" wrapText="1"/>
    </xf>
    <xf numFmtId="0" fontId="39" fillId="0" borderId="0" xfId="210" applyFont="1"/>
    <xf numFmtId="0" fontId="39" fillId="0" borderId="9" xfId="210" applyFont="1" applyBorder="1" applyAlignment="1">
      <alignment horizontal="center" vertical="center"/>
    </xf>
    <xf numFmtId="0" fontId="41" fillId="16" borderId="19" xfId="210" applyFont="1" applyFill="1" applyBorder="1"/>
    <xf numFmtId="0" fontId="41" fillId="17" borderId="13" xfId="210" applyFont="1" applyFill="1" applyBorder="1" applyAlignment="1">
      <alignment horizontal="center" vertical="center" wrapText="1"/>
    </xf>
    <xf numFmtId="0" fontId="45" fillId="17" borderId="19" xfId="210" applyFont="1" applyFill="1" applyBorder="1" applyAlignment="1">
      <alignment horizontal="left" vertical="center" wrapText="1"/>
    </xf>
    <xf numFmtId="0" fontId="45" fillId="17" borderId="19" xfId="210" applyFont="1" applyFill="1" applyBorder="1"/>
    <xf numFmtId="0" fontId="44" fillId="18" borderId="19" xfId="210" applyFont="1" applyFill="1" applyBorder="1" applyAlignment="1">
      <alignment horizontal="left" vertical="center" wrapText="1"/>
    </xf>
    <xf numFmtId="0" fontId="44" fillId="18" borderId="19" xfId="210" applyFont="1" applyFill="1" applyBorder="1"/>
    <xf numFmtId="0" fontId="39" fillId="14" borderId="19" xfId="210" applyFont="1" applyFill="1" applyBorder="1" applyAlignment="1">
      <alignment horizontal="left" vertical="center" wrapText="1"/>
    </xf>
    <xf numFmtId="0" fontId="39" fillId="14" borderId="19" xfId="210" applyFont="1" applyFill="1" applyBorder="1"/>
    <xf numFmtId="0" fontId="39" fillId="19" borderId="19" xfId="210" applyFont="1" applyFill="1" applyBorder="1" applyAlignment="1">
      <alignment horizontal="left" vertical="center" wrapText="1"/>
    </xf>
    <xf numFmtId="0" fontId="39" fillId="19" borderId="19" xfId="210" applyFont="1" applyFill="1" applyBorder="1"/>
    <xf numFmtId="0" fontId="39" fillId="15" borderId="19" xfId="210" applyFont="1" applyFill="1" applyBorder="1"/>
    <xf numFmtId="0" fontId="39" fillId="20" borderId="19" xfId="210" applyFont="1" applyFill="1" applyBorder="1"/>
    <xf numFmtId="0" fontId="41" fillId="21" borderId="20" xfId="210" applyFont="1" applyFill="1" applyBorder="1" applyAlignment="1">
      <alignment horizontal="center" vertical="center" wrapText="1"/>
    </xf>
    <xf numFmtId="0" fontId="41" fillId="0" borderId="0" xfId="210" applyFont="1" applyAlignment="1">
      <alignment horizontal="center" vertical="center" wrapText="1"/>
    </xf>
    <xf numFmtId="0" fontId="37" fillId="0" borderId="0" xfId="210" applyFont="1" applyAlignment="1">
      <alignment horizontal="center" vertical="center" wrapText="1"/>
    </xf>
    <xf numFmtId="0" fontId="45" fillId="20" borderId="19" xfId="210" applyFont="1" applyFill="1" applyBorder="1" applyAlignment="1">
      <alignment horizontal="left" vertical="center" wrapText="1"/>
    </xf>
    <xf numFmtId="0" fontId="41" fillId="16" borderId="22" xfId="210" applyFont="1" applyFill="1" applyBorder="1"/>
    <xf numFmtId="0" fontId="39" fillId="0" borderId="0" xfId="210" applyFont="1" applyAlignment="1">
      <alignment horizontal="center" vertical="center" wrapText="1"/>
    </xf>
    <xf numFmtId="0" fontId="39" fillId="14" borderId="22" xfId="210" applyFont="1" applyFill="1" applyBorder="1" applyAlignment="1">
      <alignment horizontal="center" vertical="center" wrapText="1"/>
    </xf>
    <xf numFmtId="0" fontId="45" fillId="17" borderId="22" xfId="210" applyFont="1" applyFill="1" applyBorder="1" applyAlignment="1">
      <alignment horizontal="center" vertical="center" wrapText="1"/>
    </xf>
    <xf numFmtId="0" fontId="44" fillId="18" borderId="22" xfId="210" applyFont="1" applyFill="1" applyBorder="1" applyAlignment="1">
      <alignment horizontal="center" vertical="center" wrapText="1"/>
    </xf>
    <xf numFmtId="0" fontId="39" fillId="19" borderId="22" xfId="210" applyFont="1" applyFill="1" applyBorder="1" applyAlignment="1">
      <alignment horizontal="center" vertical="center" wrapText="1"/>
    </xf>
    <xf numFmtId="0" fontId="39" fillId="20" borderId="22" xfId="210" applyFont="1" applyFill="1" applyBorder="1" applyAlignment="1">
      <alignment horizontal="center" vertical="center" wrapText="1"/>
    </xf>
    <xf numFmtId="0" fontId="39" fillId="15" borderId="22" xfId="210" applyFont="1" applyFill="1" applyBorder="1" applyAlignment="1">
      <alignment horizontal="center" vertical="center" wrapText="1"/>
    </xf>
    <xf numFmtId="0" fontId="27" fillId="14" borderId="28" xfId="210" applyFont="1" applyFill="1" applyBorder="1" applyAlignment="1">
      <alignment horizontal="left" vertical="center" wrapText="1"/>
    </xf>
    <xf numFmtId="0" fontId="35" fillId="17" borderId="28" xfId="210" applyFont="1" applyFill="1" applyBorder="1" applyAlignment="1">
      <alignment horizontal="left" vertical="center" wrapText="1"/>
    </xf>
    <xf numFmtId="0" fontId="28" fillId="18" borderId="28" xfId="210" applyFont="1" applyFill="1" applyBorder="1" applyAlignment="1">
      <alignment horizontal="left" vertical="center" wrapText="1"/>
    </xf>
    <xf numFmtId="0" fontId="27" fillId="19" borderId="28" xfId="210" applyFont="1" applyFill="1" applyBorder="1" applyAlignment="1">
      <alignment horizontal="left" vertical="center" wrapText="1"/>
    </xf>
    <xf numFmtId="0" fontId="35" fillId="20" borderId="28" xfId="210" applyFont="1" applyFill="1" applyBorder="1" applyAlignment="1">
      <alignment horizontal="left" vertical="center" wrapText="1"/>
    </xf>
    <xf numFmtId="0" fontId="27" fillId="15" borderId="28" xfId="210" applyFont="1" applyFill="1" applyBorder="1" applyAlignment="1">
      <alignment horizontal="left" vertical="center" wrapText="1"/>
    </xf>
    <xf numFmtId="166" fontId="27" fillId="0" borderId="28" xfId="1212" applyFont="1" applyBorder="1"/>
    <xf numFmtId="166" fontId="33" fillId="21" borderId="28" xfId="1212" applyFont="1" applyFill="1" applyBorder="1" applyAlignment="1">
      <alignment horizontal="center" vertical="center" wrapText="1"/>
    </xf>
    <xf numFmtId="4" fontId="49" fillId="0" borderId="0" xfId="0" applyNumberFormat="1" applyFont="1" applyFill="1"/>
    <xf numFmtId="0" fontId="0" fillId="0" borderId="0" xfId="0" applyFill="1"/>
    <xf numFmtId="0" fontId="52" fillId="0" borderId="0" xfId="1282" applyFont="1" applyFill="1" applyAlignment="1"/>
    <xf numFmtId="1" fontId="52" fillId="0" borderId="0" xfId="1282" applyNumberFormat="1" applyFont="1" applyFill="1" applyAlignment="1">
      <alignment horizontal="center"/>
    </xf>
    <xf numFmtId="0" fontId="52" fillId="0" borderId="0" xfId="1282" applyFont="1" applyFill="1" applyAlignment="1">
      <alignment horizontal="left" vertical="center"/>
    </xf>
    <xf numFmtId="0" fontId="53" fillId="0" borderId="0" xfId="1282" applyFont="1" applyFill="1" applyAlignment="1">
      <alignment horizontal="left" vertical="center" wrapText="1"/>
    </xf>
    <xf numFmtId="4" fontId="53" fillId="0" borderId="0" xfId="1282" applyNumberFormat="1" applyFont="1" applyFill="1" applyAlignment="1">
      <alignment horizontal="right" vertical="center"/>
    </xf>
    <xf numFmtId="4" fontId="54" fillId="0" borderId="0" xfId="1282" applyNumberFormat="1" applyFont="1" applyFill="1" applyAlignment="1">
      <alignment horizontal="right" vertical="center"/>
    </xf>
    <xf numFmtId="49" fontId="52" fillId="9" borderId="29" xfId="1282" applyNumberFormat="1" applyFont="1" applyFill="1" applyBorder="1" applyAlignment="1">
      <alignment horizontal="center" vertical="center" wrapText="1"/>
    </xf>
    <xf numFmtId="49" fontId="52" fillId="9" borderId="30" xfId="1282" applyNumberFormat="1" applyFont="1" applyFill="1" applyBorder="1" applyAlignment="1">
      <alignment horizontal="center" vertical="center" wrapText="1"/>
    </xf>
    <xf numFmtId="1" fontId="52" fillId="9" borderId="30" xfId="1282" applyNumberFormat="1" applyFont="1" applyFill="1" applyBorder="1" applyAlignment="1">
      <alignment horizontal="center" vertical="center" wrapText="1"/>
    </xf>
    <xf numFmtId="49" fontId="56" fillId="9" borderId="30" xfId="1282" applyNumberFormat="1" applyFont="1" applyFill="1" applyBorder="1" applyAlignment="1">
      <alignment horizontal="center" vertical="center" wrapText="1"/>
    </xf>
    <xf numFmtId="0" fontId="57" fillId="9" borderId="30" xfId="1282" applyFont="1" applyFill="1" applyBorder="1" applyAlignment="1">
      <alignment horizontal="center" vertical="center" wrapText="1"/>
    </xf>
    <xf numFmtId="0" fontId="58" fillId="9" borderId="30" xfId="1283" applyFont="1" applyFill="1" applyBorder="1" applyAlignment="1">
      <alignment horizontal="center" vertical="center" wrapText="1"/>
    </xf>
    <xf numFmtId="3" fontId="58" fillId="9" borderId="30" xfId="1283" applyNumberFormat="1" applyFont="1" applyFill="1" applyBorder="1" applyAlignment="1">
      <alignment horizontal="center" vertical="center" wrapText="1"/>
    </xf>
    <xf numFmtId="4" fontId="54" fillId="9" borderId="31" xfId="1282" applyNumberFormat="1" applyFont="1" applyFill="1" applyBorder="1" applyAlignment="1">
      <alignment horizontal="center" vertical="center" wrapText="1"/>
    </xf>
    <xf numFmtId="4" fontId="49" fillId="0" borderId="20" xfId="0" applyNumberFormat="1" applyFont="1" applyFill="1" applyBorder="1" applyAlignment="1">
      <alignment horizontal="center" vertical="center"/>
    </xf>
    <xf numFmtId="49" fontId="54" fillId="0" borderId="29" xfId="1282" applyNumberFormat="1" applyFont="1" applyFill="1" applyBorder="1" applyAlignment="1">
      <alignment horizontal="center" vertical="center" wrapText="1"/>
    </xf>
    <xf numFmtId="49" fontId="54" fillId="0" borderId="30" xfId="1282" applyNumberFormat="1" applyFont="1" applyFill="1" applyBorder="1" applyAlignment="1">
      <alignment horizontal="center" vertical="center" wrapText="1"/>
    </xf>
    <xf numFmtId="1" fontId="54" fillId="0" borderId="30" xfId="1282" applyNumberFormat="1" applyFont="1" applyFill="1" applyBorder="1" applyAlignment="1">
      <alignment horizontal="center" vertical="center" wrapText="1"/>
    </xf>
    <xf numFmtId="49" fontId="59" fillId="0" borderId="30" xfId="1282" applyNumberFormat="1" applyFont="1" applyFill="1" applyBorder="1" applyAlignment="1">
      <alignment horizontal="center" vertical="center" wrapText="1"/>
    </xf>
    <xf numFmtId="0" fontId="54" fillId="0" borderId="30" xfId="1282" applyFont="1" applyFill="1" applyBorder="1" applyAlignment="1">
      <alignment horizontal="left" vertical="center" wrapText="1"/>
    </xf>
    <xf numFmtId="0" fontId="60" fillId="0" borderId="30" xfId="1283" applyFont="1" applyFill="1" applyBorder="1" applyAlignment="1">
      <alignment horizontal="left" vertical="center" wrapText="1"/>
    </xf>
    <xf numFmtId="3" fontId="60" fillId="0" borderId="30" xfId="1283" applyNumberFormat="1" applyFont="1" applyFill="1" applyBorder="1" applyAlignment="1">
      <alignment vertical="center" wrapText="1"/>
    </xf>
    <xf numFmtId="4" fontId="54" fillId="0" borderId="31" xfId="1282" applyNumberFormat="1" applyFont="1" applyFill="1" applyBorder="1" applyAlignment="1">
      <alignment horizontal="right" vertical="center" wrapText="1"/>
    </xf>
    <xf numFmtId="4" fontId="49" fillId="0" borderId="32" xfId="0" applyNumberFormat="1" applyFont="1" applyFill="1" applyBorder="1" applyAlignment="1">
      <alignment vertical="center"/>
    </xf>
    <xf numFmtId="49" fontId="52" fillId="0" borderId="5" xfId="1282" applyNumberFormat="1" applyFont="1" applyFill="1" applyBorder="1" applyAlignment="1">
      <alignment horizontal="center" vertical="center" wrapText="1"/>
    </xf>
    <xf numFmtId="49" fontId="52" fillId="0" borderId="6" xfId="1282" applyNumberFormat="1" applyFont="1" applyFill="1" applyBorder="1" applyAlignment="1">
      <alignment horizontal="center" vertical="center" wrapText="1"/>
    </xf>
    <xf numFmtId="1" fontId="52" fillId="0" borderId="6" xfId="1282" applyNumberFormat="1" applyFont="1" applyFill="1" applyBorder="1" applyAlignment="1">
      <alignment horizontal="center" vertical="center" wrapText="1"/>
    </xf>
    <xf numFmtId="0" fontId="52" fillId="0" borderId="6" xfId="1282" applyFont="1" applyFill="1" applyBorder="1" applyAlignment="1">
      <alignment horizontal="left" vertical="center" wrapText="1"/>
    </xf>
    <xf numFmtId="0" fontId="53" fillId="0" borderId="6" xfId="1282" applyFont="1" applyFill="1" applyBorder="1" applyAlignment="1">
      <alignment horizontal="left" vertical="center" wrapText="1"/>
    </xf>
    <xf numFmtId="4" fontId="53" fillId="0" borderId="6" xfId="1282" applyNumberFormat="1" applyFont="1" applyFill="1" applyBorder="1" applyAlignment="1">
      <alignment horizontal="right" vertical="center" wrapText="1"/>
    </xf>
    <xf numFmtId="4" fontId="54" fillId="0" borderId="33" xfId="1282" applyNumberFormat="1" applyFont="1" applyFill="1" applyBorder="1" applyAlignment="1">
      <alignment horizontal="right" vertical="center" wrapText="1"/>
    </xf>
    <xf numFmtId="4" fontId="49" fillId="0" borderId="8" xfId="0" applyNumberFormat="1" applyFont="1" applyFill="1" applyBorder="1" applyAlignment="1">
      <alignment vertical="center"/>
    </xf>
    <xf numFmtId="49" fontId="52" fillId="0" borderId="34" xfId="1282" applyNumberFormat="1" applyFont="1" applyFill="1" applyBorder="1" applyAlignment="1">
      <alignment horizontal="center" vertical="center" wrapText="1"/>
    </xf>
    <xf numFmtId="49" fontId="52" fillId="0" borderId="28" xfId="1282" applyNumberFormat="1" applyFont="1" applyFill="1" applyBorder="1" applyAlignment="1">
      <alignment horizontal="center" vertical="center" wrapText="1"/>
    </xf>
    <xf numFmtId="1" fontId="52" fillId="0" borderId="28" xfId="1282" applyNumberFormat="1" applyFont="1" applyFill="1" applyBorder="1" applyAlignment="1">
      <alignment horizontal="center" vertical="center" wrapText="1"/>
    </xf>
    <xf numFmtId="49" fontId="52" fillId="0" borderId="28" xfId="1282" applyNumberFormat="1" applyFont="1" applyFill="1" applyBorder="1" applyAlignment="1">
      <alignment horizontal="left" vertical="center" wrapText="1"/>
    </xf>
    <xf numFmtId="49" fontId="53" fillId="0" borderId="28" xfId="1282" applyNumberFormat="1" applyFont="1" applyFill="1" applyBorder="1" applyAlignment="1">
      <alignment horizontal="left" vertical="center" wrapText="1"/>
    </xf>
    <xf numFmtId="4" fontId="53" fillId="0" borderId="28" xfId="1282" applyNumberFormat="1" applyFont="1" applyFill="1" applyBorder="1" applyAlignment="1">
      <alignment horizontal="right" vertical="center" wrapText="1"/>
    </xf>
    <xf numFmtId="4" fontId="54" fillId="0" borderId="35" xfId="1282" applyNumberFormat="1" applyFont="1" applyFill="1" applyBorder="1" applyAlignment="1">
      <alignment horizontal="right" vertical="center" wrapText="1"/>
    </xf>
    <xf numFmtId="4" fontId="49" fillId="0" borderId="36" xfId="0" applyNumberFormat="1" applyFont="1" applyFill="1" applyBorder="1" applyAlignment="1">
      <alignment vertical="center"/>
    </xf>
    <xf numFmtId="0" fontId="25" fillId="0" borderId="0" xfId="0" applyFont="1" applyFill="1"/>
    <xf numFmtId="0" fontId="52" fillId="0" borderId="28" xfId="1282" applyFont="1" applyFill="1" applyBorder="1" applyAlignment="1">
      <alignment horizontal="left" vertical="center" wrapText="1"/>
    </xf>
    <xf numFmtId="0" fontId="53" fillId="0" borderId="28" xfId="1282" applyFont="1" applyFill="1" applyBorder="1" applyAlignment="1">
      <alignment horizontal="left" vertical="center" wrapText="1"/>
    </xf>
    <xf numFmtId="49" fontId="52" fillId="0" borderId="37" xfId="1282" applyNumberFormat="1" applyFont="1" applyFill="1" applyBorder="1" applyAlignment="1">
      <alignment horizontal="center" vertical="center" wrapText="1"/>
    </xf>
    <xf numFmtId="49" fontId="52" fillId="0" borderId="38" xfId="1282" applyNumberFormat="1" applyFont="1" applyFill="1" applyBorder="1" applyAlignment="1">
      <alignment horizontal="center" vertical="center" wrapText="1"/>
    </xf>
    <xf numFmtId="1" fontId="52" fillId="0" borderId="38" xfId="1282" applyNumberFormat="1" applyFont="1" applyFill="1" applyBorder="1" applyAlignment="1">
      <alignment horizontal="center" vertical="center" wrapText="1"/>
    </xf>
    <xf numFmtId="0" fontId="52" fillId="0" borderId="38" xfId="1282" applyFont="1" applyFill="1" applyBorder="1" applyAlignment="1">
      <alignment horizontal="left" vertical="center" wrapText="1"/>
    </xf>
    <xf numFmtId="0" fontId="53" fillId="0" borderId="38" xfId="1282" applyFont="1" applyFill="1" applyBorder="1" applyAlignment="1">
      <alignment horizontal="left" vertical="center" wrapText="1"/>
    </xf>
    <xf numFmtId="4" fontId="53" fillId="0" borderId="38" xfId="1282" applyNumberFormat="1" applyFont="1" applyFill="1" applyBorder="1" applyAlignment="1">
      <alignment horizontal="right" vertical="center" wrapText="1"/>
    </xf>
    <xf numFmtId="4" fontId="54" fillId="0" borderId="39" xfId="1282" applyNumberFormat="1" applyFont="1" applyFill="1" applyBorder="1" applyAlignment="1">
      <alignment horizontal="right" vertical="center" wrapText="1"/>
    </xf>
    <xf numFmtId="4" fontId="49" fillId="0" borderId="40" xfId="0" applyNumberFormat="1" applyFont="1" applyFill="1" applyBorder="1" applyAlignment="1">
      <alignment vertical="center"/>
    </xf>
    <xf numFmtId="49" fontId="54" fillId="0" borderId="21" xfId="1282" applyNumberFormat="1" applyFont="1" applyFill="1" applyBorder="1" applyAlignment="1">
      <alignment horizontal="center" vertical="center" wrapText="1"/>
    </xf>
    <xf numFmtId="49" fontId="54" fillId="0" borderId="24" xfId="1282" applyNumberFormat="1" applyFont="1" applyFill="1" applyBorder="1" applyAlignment="1">
      <alignment horizontal="center" vertical="center" wrapText="1"/>
    </xf>
    <xf numFmtId="1" fontId="54" fillId="0" borderId="24" xfId="1282" applyNumberFormat="1" applyFont="1" applyFill="1" applyBorder="1" applyAlignment="1">
      <alignment horizontal="center" vertical="center" wrapText="1"/>
    </xf>
    <xf numFmtId="0" fontId="54" fillId="0" borderId="24" xfId="1284" applyFont="1" applyFill="1" applyBorder="1" applyAlignment="1">
      <alignment vertical="center" wrapText="1"/>
    </xf>
    <xf numFmtId="0" fontId="61" fillId="0" borderId="24" xfId="1284" applyFont="1" applyFill="1" applyBorder="1" applyAlignment="1">
      <alignment horizontal="left" vertical="center" wrapText="1"/>
    </xf>
    <xf numFmtId="4" fontId="61" fillId="0" borderId="24" xfId="1284" applyNumberFormat="1" applyFont="1" applyFill="1" applyBorder="1" applyAlignment="1">
      <alignment horizontal="right" vertical="center" wrapText="1"/>
    </xf>
    <xf numFmtId="4" fontId="54" fillId="0" borderId="41" xfId="1284" applyNumberFormat="1" applyFont="1" applyFill="1" applyBorder="1" applyAlignment="1">
      <alignment horizontal="right" vertical="center" wrapText="1"/>
    </xf>
    <xf numFmtId="4" fontId="49" fillId="0" borderId="42" xfId="0" applyNumberFormat="1" applyFont="1" applyFill="1" applyBorder="1" applyAlignment="1">
      <alignment vertical="center"/>
    </xf>
    <xf numFmtId="49" fontId="52" fillId="0" borderId="43" xfId="1282" applyNumberFormat="1" applyFont="1" applyFill="1" applyBorder="1" applyAlignment="1">
      <alignment horizontal="center" vertical="center" wrapText="1"/>
    </xf>
    <xf numFmtId="49" fontId="52" fillId="0" borderId="44" xfId="1282" applyNumberFormat="1" applyFont="1" applyFill="1" applyBorder="1" applyAlignment="1">
      <alignment horizontal="center" vertical="center" wrapText="1"/>
    </xf>
    <xf numFmtId="1" fontId="52" fillId="0" borderId="44" xfId="1282" applyNumberFormat="1" applyFont="1" applyFill="1" applyBorder="1" applyAlignment="1">
      <alignment horizontal="center" vertical="center" wrapText="1"/>
    </xf>
    <xf numFmtId="0" fontId="52" fillId="0" borderId="44" xfId="1284" applyFont="1" applyFill="1" applyBorder="1" applyAlignment="1">
      <alignment vertical="center" wrapText="1"/>
    </xf>
    <xf numFmtId="196" fontId="53" fillId="5" borderId="45" xfId="1282" applyNumberFormat="1" applyFont="1" applyFill="1" applyBorder="1" applyAlignment="1">
      <alignment horizontal="left" vertical="center" wrapText="1"/>
    </xf>
    <xf numFmtId="4" fontId="53" fillId="5" borderId="44" xfId="1284" applyNumberFormat="1" applyFont="1" applyFill="1" applyBorder="1" applyAlignment="1">
      <alignment horizontal="right" vertical="center" wrapText="1"/>
    </xf>
    <xf numFmtId="4" fontId="54" fillId="0" borderId="46" xfId="1284" applyNumberFormat="1" applyFont="1" applyFill="1" applyBorder="1" applyAlignment="1">
      <alignment horizontal="right" vertical="center" wrapText="1"/>
    </xf>
    <xf numFmtId="4" fontId="49" fillId="0" borderId="47" xfId="0" applyNumberFormat="1" applyFont="1" applyFill="1" applyBorder="1" applyAlignment="1">
      <alignment vertical="center"/>
    </xf>
    <xf numFmtId="49" fontId="54" fillId="0" borderId="21" xfId="1285" applyNumberFormat="1" applyFont="1" applyFill="1" applyBorder="1" applyAlignment="1">
      <alignment horizontal="center" vertical="center" wrapText="1"/>
    </xf>
    <xf numFmtId="49" fontId="54" fillId="0" borderId="24" xfId="1285" applyNumberFormat="1" applyFont="1" applyFill="1" applyBorder="1" applyAlignment="1">
      <alignment horizontal="center" vertical="center" wrapText="1"/>
    </xf>
    <xf numFmtId="49" fontId="52" fillId="0" borderId="34" xfId="1285" applyNumberFormat="1" applyFont="1" applyFill="1" applyBorder="1" applyAlignment="1">
      <alignment horizontal="center" vertical="center" wrapText="1"/>
    </xf>
    <xf numFmtId="49" fontId="52" fillId="0" borderId="28" xfId="1285" applyNumberFormat="1" applyFont="1" applyFill="1" applyBorder="1" applyAlignment="1">
      <alignment horizontal="center" vertical="center" wrapText="1"/>
    </xf>
    <xf numFmtId="0" fontId="52" fillId="0" borderId="28" xfId="1284" applyFont="1" applyFill="1" applyBorder="1" applyAlignment="1">
      <alignment vertical="center" wrapText="1"/>
    </xf>
    <xf numFmtId="196" fontId="53" fillId="5" borderId="48" xfId="1282" applyNumberFormat="1" applyFont="1" applyFill="1" applyBorder="1" applyAlignment="1">
      <alignment horizontal="left" vertical="center" wrapText="1"/>
    </xf>
    <xf numFmtId="4" fontId="53" fillId="5" borderId="28" xfId="1284" applyNumberFormat="1" applyFont="1" applyFill="1" applyBorder="1" applyAlignment="1">
      <alignment horizontal="right" vertical="center" wrapText="1"/>
    </xf>
    <xf numFmtId="4" fontId="54" fillId="0" borderId="35" xfId="1284" applyNumberFormat="1" applyFont="1" applyFill="1" applyBorder="1" applyAlignment="1">
      <alignment horizontal="right" vertical="center" wrapText="1"/>
    </xf>
    <xf numFmtId="196" fontId="53" fillId="0" borderId="48" xfId="1282" applyNumberFormat="1" applyFont="1" applyFill="1" applyBorder="1" applyAlignment="1">
      <alignment horizontal="left" vertical="center" wrapText="1"/>
    </xf>
    <xf numFmtId="4" fontId="53" fillId="0" borderId="28" xfId="1284" applyNumberFormat="1" applyFont="1" applyFill="1" applyBorder="1" applyAlignment="1">
      <alignment horizontal="right" vertical="center" wrapText="1"/>
    </xf>
    <xf numFmtId="49" fontId="52" fillId="0" borderId="43" xfId="1285" applyNumberFormat="1" applyFont="1" applyFill="1" applyBorder="1" applyAlignment="1">
      <alignment horizontal="center" vertical="center" wrapText="1"/>
    </xf>
    <xf numFmtId="49" fontId="52" fillId="0" borderId="44" xfId="1285" applyNumberFormat="1" applyFont="1" applyFill="1" applyBorder="1" applyAlignment="1">
      <alignment horizontal="center" vertical="center" wrapText="1"/>
    </xf>
    <xf numFmtId="49" fontId="52" fillId="0" borderId="6" xfId="1282" applyNumberFormat="1" applyFont="1" applyFill="1" applyBorder="1" applyAlignment="1">
      <alignment horizontal="left" vertical="center" wrapText="1"/>
    </xf>
    <xf numFmtId="49" fontId="53" fillId="0" borderId="6" xfId="1282" applyNumberFormat="1" applyFont="1" applyFill="1" applyBorder="1" applyAlignment="1">
      <alignment horizontal="left" vertical="center" wrapText="1"/>
    </xf>
    <xf numFmtId="0" fontId="53" fillId="0" borderId="24" xfId="1284" applyFont="1" applyFill="1" applyBorder="1" applyAlignment="1">
      <alignment horizontal="left" vertical="center" wrapText="1"/>
    </xf>
    <xf numFmtId="4" fontId="53" fillId="0" borderId="24" xfId="1284" applyNumberFormat="1" applyFont="1" applyFill="1" applyBorder="1" applyAlignment="1">
      <alignment horizontal="right" vertical="center" wrapText="1"/>
    </xf>
    <xf numFmtId="4" fontId="59" fillId="0" borderId="33" xfId="1282" applyNumberFormat="1" applyFont="1" applyFill="1" applyBorder="1" applyAlignment="1">
      <alignment horizontal="right" vertical="center" wrapText="1"/>
    </xf>
    <xf numFmtId="4" fontId="59" fillId="0" borderId="39" xfId="1282" applyNumberFormat="1" applyFont="1" applyFill="1" applyBorder="1" applyAlignment="1">
      <alignment horizontal="right" vertical="center" wrapText="1"/>
    </xf>
    <xf numFmtId="1" fontId="59" fillId="0" borderId="30" xfId="1282" applyNumberFormat="1" applyFont="1" applyFill="1" applyBorder="1" applyAlignment="1">
      <alignment horizontal="center" vertical="center" wrapText="1"/>
    </xf>
    <xf numFmtId="0" fontId="53" fillId="0" borderId="30" xfId="1282" applyFont="1" applyFill="1" applyBorder="1" applyAlignment="1">
      <alignment horizontal="left" vertical="center" wrapText="1"/>
    </xf>
    <xf numFmtId="4" fontId="53" fillId="0" borderId="30" xfId="1282" applyNumberFormat="1" applyFont="1" applyFill="1" applyBorder="1" applyAlignment="1">
      <alignment horizontal="right" vertical="center" wrapText="1"/>
    </xf>
    <xf numFmtId="1" fontId="49" fillId="0" borderId="24" xfId="0" applyNumberFormat="1" applyFont="1" applyFill="1" applyBorder="1" applyAlignment="1">
      <alignment horizontal="center" vertical="center" wrapText="1"/>
    </xf>
    <xf numFmtId="0" fontId="49" fillId="0" borderId="24" xfId="0" applyFont="1" applyFill="1" applyBorder="1" applyAlignment="1">
      <alignment horizontal="justify" vertical="center" wrapText="1"/>
    </xf>
    <xf numFmtId="0" fontId="62" fillId="0" borderId="24" xfId="0" applyFont="1" applyFill="1" applyBorder="1" applyAlignment="1">
      <alignment horizontal="left" vertical="center" wrapText="1"/>
    </xf>
    <xf numFmtId="4" fontId="62" fillId="0" borderId="24" xfId="0" applyNumberFormat="1" applyFont="1" applyFill="1" applyBorder="1" applyAlignment="1">
      <alignment horizontal="right" vertical="center" wrapText="1"/>
    </xf>
    <xf numFmtId="4" fontId="49" fillId="0" borderId="41" xfId="0" applyNumberFormat="1" applyFont="1" applyFill="1" applyBorder="1" applyAlignment="1">
      <alignment horizontal="right" vertical="center" wrapText="1"/>
    </xf>
    <xf numFmtId="1" fontId="63" fillId="0" borderId="28" xfId="0" applyNumberFormat="1" applyFont="1" applyFill="1" applyBorder="1" applyAlignment="1">
      <alignment horizontal="center" vertical="center" wrapText="1"/>
    </xf>
    <xf numFmtId="0" fontId="63" fillId="0" borderId="28" xfId="0" applyFont="1" applyFill="1" applyBorder="1" applyAlignment="1">
      <alignment horizontal="justify" vertical="center" wrapText="1"/>
    </xf>
    <xf numFmtId="4" fontId="62" fillId="5" borderId="28" xfId="0" applyNumberFormat="1" applyFont="1" applyFill="1" applyBorder="1" applyAlignment="1">
      <alignment horizontal="right" vertical="center" wrapText="1"/>
    </xf>
    <xf numFmtId="4" fontId="49" fillId="0" borderId="35" xfId="0" applyNumberFormat="1" applyFont="1" applyFill="1" applyBorder="1" applyAlignment="1">
      <alignment horizontal="right" vertical="center" wrapText="1"/>
    </xf>
    <xf numFmtId="1" fontId="63" fillId="0" borderId="44" xfId="0" applyNumberFormat="1" applyFont="1" applyFill="1" applyBorder="1" applyAlignment="1">
      <alignment horizontal="center" vertical="center" wrapText="1"/>
    </xf>
    <xf numFmtId="0" fontId="63" fillId="0" borderId="44" xfId="0" applyFont="1" applyFill="1" applyBorder="1" applyAlignment="1">
      <alignment horizontal="justify" vertical="center" wrapText="1"/>
    </xf>
    <xf numFmtId="4" fontId="49" fillId="0" borderId="46" xfId="0" applyNumberFormat="1" applyFont="1" applyFill="1" applyBorder="1" applyAlignment="1">
      <alignment horizontal="right" vertical="center" wrapText="1"/>
    </xf>
    <xf numFmtId="49" fontId="52" fillId="0" borderId="21" xfId="1282" applyNumberFormat="1" applyFont="1" applyFill="1" applyBorder="1" applyAlignment="1">
      <alignment horizontal="center" vertical="center" wrapText="1"/>
    </xf>
    <xf numFmtId="49" fontId="52" fillId="0" borderId="24" xfId="1282" applyNumberFormat="1" applyFont="1" applyFill="1" applyBorder="1" applyAlignment="1">
      <alignment horizontal="center" vertical="center" wrapText="1"/>
    </xf>
    <xf numFmtId="1" fontId="52" fillId="0" borderId="24" xfId="1282" applyNumberFormat="1" applyFont="1" applyFill="1" applyBorder="1" applyAlignment="1">
      <alignment horizontal="center" vertical="center" wrapText="1"/>
    </xf>
    <xf numFmtId="0" fontId="52" fillId="0" borderId="24" xfId="1282" applyFont="1" applyFill="1" applyBorder="1" applyAlignment="1">
      <alignment horizontal="left" vertical="center" wrapText="1"/>
    </xf>
    <xf numFmtId="0" fontId="53" fillId="0" borderId="24" xfId="1282" applyFont="1" applyFill="1" applyBorder="1" applyAlignment="1">
      <alignment horizontal="left" vertical="center" wrapText="1"/>
    </xf>
    <xf numFmtId="4" fontId="53" fillId="0" borderId="24" xfId="1282" applyNumberFormat="1" applyFont="1" applyFill="1" applyBorder="1" applyAlignment="1">
      <alignment horizontal="right" vertical="center" wrapText="1"/>
    </xf>
    <xf numFmtId="4" fontId="54" fillId="0" borderId="41" xfId="1282" applyNumberFormat="1" applyFont="1" applyFill="1" applyBorder="1" applyAlignment="1">
      <alignment horizontal="right" vertical="center" wrapText="1"/>
    </xf>
    <xf numFmtId="0" fontId="52" fillId="0" borderId="38" xfId="1284" applyFont="1" applyFill="1" applyBorder="1" applyAlignment="1">
      <alignment vertical="center" wrapText="1"/>
    </xf>
    <xf numFmtId="196" fontId="53" fillId="5" borderId="49" xfId="1282" applyNumberFormat="1" applyFont="1" applyFill="1" applyBorder="1" applyAlignment="1">
      <alignment horizontal="left" vertical="center" wrapText="1"/>
    </xf>
    <xf numFmtId="4" fontId="54" fillId="0" borderId="39" xfId="1284" applyNumberFormat="1" applyFont="1" applyFill="1" applyBorder="1" applyAlignment="1">
      <alignment horizontal="right" vertical="center" wrapText="1"/>
    </xf>
    <xf numFmtId="49" fontId="54" fillId="0" borderId="5" xfId="1282" applyNumberFormat="1" applyFont="1" applyFill="1" applyBorder="1" applyAlignment="1">
      <alignment horizontal="center" vertical="center" wrapText="1"/>
    </xf>
    <xf numFmtId="49" fontId="54" fillId="0" borderId="6" xfId="1282" applyNumberFormat="1" applyFont="1" applyFill="1" applyBorder="1" applyAlignment="1">
      <alignment horizontal="center" vertical="center" wrapText="1"/>
    </xf>
    <xf numFmtId="1" fontId="54" fillId="0" borderId="6" xfId="1282" applyNumberFormat="1" applyFont="1" applyFill="1" applyBorder="1" applyAlignment="1">
      <alignment horizontal="center" vertical="center" wrapText="1"/>
    </xf>
    <xf numFmtId="0" fontId="54" fillId="0" borderId="6" xfId="1282" applyFont="1" applyFill="1" applyBorder="1" applyAlignment="1">
      <alignment horizontal="left" vertical="center" wrapText="1"/>
    </xf>
    <xf numFmtId="1" fontId="49" fillId="0" borderId="6" xfId="0" applyNumberFormat="1" applyFont="1" applyFill="1" applyBorder="1" applyAlignment="1">
      <alignment horizontal="center" vertical="center" wrapText="1"/>
    </xf>
    <xf numFmtId="0" fontId="49" fillId="0" borderId="6" xfId="0" applyFont="1" applyFill="1" applyBorder="1" applyAlignment="1">
      <alignment horizontal="justify" vertical="center" wrapText="1"/>
    </xf>
    <xf numFmtId="0" fontId="62" fillId="0" borderId="6" xfId="0" applyFont="1" applyFill="1" applyBorder="1" applyAlignment="1">
      <alignment horizontal="left" vertical="center" wrapText="1"/>
    </xf>
    <xf numFmtId="4" fontId="62" fillId="0" borderId="6" xfId="0" applyNumberFormat="1" applyFont="1" applyFill="1" applyBorder="1" applyAlignment="1">
      <alignment horizontal="right" vertical="center" wrapText="1"/>
    </xf>
    <xf numFmtId="4" fontId="49" fillId="0" borderId="33" xfId="0" applyNumberFormat="1" applyFont="1" applyFill="1" applyBorder="1" applyAlignment="1">
      <alignment horizontal="right" vertical="center" wrapText="1"/>
    </xf>
    <xf numFmtId="49" fontId="52" fillId="0" borderId="29" xfId="1282" applyNumberFormat="1" applyFont="1" applyFill="1" applyBorder="1" applyAlignment="1">
      <alignment horizontal="center" vertical="center" wrapText="1"/>
    </xf>
    <xf numFmtId="49" fontId="52" fillId="0" borderId="30" xfId="1282" applyNumberFormat="1" applyFont="1" applyFill="1" applyBorder="1" applyAlignment="1">
      <alignment horizontal="center" vertical="center" wrapText="1"/>
    </xf>
    <xf numFmtId="1" fontId="52" fillId="0" borderId="30" xfId="1282" applyNumberFormat="1" applyFont="1" applyFill="1" applyBorder="1" applyAlignment="1">
      <alignment horizontal="center" vertical="center" wrapText="1"/>
    </xf>
    <xf numFmtId="0" fontId="52" fillId="0" borderId="30" xfId="1282" applyFont="1" applyFill="1" applyBorder="1" applyAlignment="1">
      <alignment horizontal="left" vertical="center" wrapText="1"/>
    </xf>
    <xf numFmtId="1" fontId="54" fillId="0" borderId="24" xfId="0" applyNumberFormat="1" applyFont="1" applyFill="1" applyBorder="1" applyAlignment="1">
      <alignment horizontal="center" vertical="center" wrapText="1"/>
    </xf>
    <xf numFmtId="0" fontId="54" fillId="0" borderId="24" xfId="0" applyFont="1" applyFill="1" applyBorder="1" applyAlignment="1">
      <alignment horizontal="justify" vertical="center" wrapText="1"/>
    </xf>
    <xf numFmtId="0" fontId="53" fillId="0" borderId="24" xfId="0" applyFont="1" applyFill="1" applyBorder="1" applyAlignment="1">
      <alignment horizontal="left" vertical="center" wrapText="1"/>
    </xf>
    <xf numFmtId="4" fontId="53" fillId="0" borderId="24" xfId="0" applyNumberFormat="1" applyFont="1" applyFill="1" applyBorder="1" applyAlignment="1">
      <alignment horizontal="right" vertical="center" wrapText="1"/>
    </xf>
    <xf numFmtId="4" fontId="54" fillId="0" borderId="41" xfId="0" applyNumberFormat="1" applyFont="1" applyFill="1" applyBorder="1" applyAlignment="1">
      <alignment horizontal="right" vertical="center" wrapText="1"/>
    </xf>
    <xf numFmtId="1" fontId="64" fillId="0" borderId="28" xfId="0" applyNumberFormat="1" applyFont="1" applyFill="1" applyBorder="1" applyAlignment="1">
      <alignment horizontal="center" vertical="center" wrapText="1"/>
    </xf>
    <xf numFmtId="0" fontId="64" fillId="0" borderId="28" xfId="0" applyFont="1" applyFill="1" applyBorder="1" applyAlignment="1">
      <alignment horizontal="justify" vertical="center" wrapText="1"/>
    </xf>
    <xf numFmtId="4" fontId="65" fillId="0" borderId="35" xfId="0" applyNumberFormat="1" applyFont="1" applyFill="1" applyBorder="1" applyAlignment="1">
      <alignment horizontal="right" vertical="center" wrapText="1"/>
    </xf>
    <xf numFmtId="1" fontId="64" fillId="0" borderId="44" xfId="0" applyNumberFormat="1" applyFont="1" applyFill="1" applyBorder="1" applyAlignment="1">
      <alignment horizontal="center" vertical="center" wrapText="1"/>
    </xf>
    <xf numFmtId="0" fontId="64" fillId="0" borderId="44" xfId="0" applyFont="1" applyFill="1" applyBorder="1" applyAlignment="1">
      <alignment horizontal="justify" vertical="center" wrapText="1"/>
    </xf>
    <xf numFmtId="4" fontId="65" fillId="0" borderId="46" xfId="0" applyNumberFormat="1" applyFont="1" applyFill="1" applyBorder="1" applyAlignment="1">
      <alignment horizontal="right" vertical="center" wrapText="1"/>
    </xf>
    <xf numFmtId="0" fontId="54" fillId="0" borderId="24" xfId="1282" applyFont="1" applyFill="1" applyBorder="1" applyAlignment="1">
      <alignment horizontal="left" vertical="center" wrapText="1"/>
    </xf>
    <xf numFmtId="0" fontId="52" fillId="0" borderId="44" xfId="1282" applyFont="1" applyFill="1" applyBorder="1" applyAlignment="1">
      <alignment horizontal="left" vertical="center" wrapText="1"/>
    </xf>
    <xf numFmtId="4" fontId="54" fillId="0" borderId="46" xfId="1282" applyNumberFormat="1" applyFont="1" applyFill="1" applyBorder="1" applyAlignment="1">
      <alignment horizontal="right" vertical="center" wrapText="1"/>
    </xf>
    <xf numFmtId="4" fontId="53" fillId="5" borderId="28" xfId="1282" applyNumberFormat="1" applyFont="1" applyFill="1" applyBorder="1" applyAlignment="1">
      <alignment horizontal="right" vertical="center" wrapText="1"/>
    </xf>
    <xf numFmtId="49" fontId="54" fillId="0" borderId="37" xfId="1285" applyNumberFormat="1" applyFont="1" applyFill="1" applyBorder="1" applyAlignment="1">
      <alignment horizontal="center" vertical="center" wrapText="1"/>
    </xf>
    <xf numFmtId="49" fontId="54" fillId="0" borderId="38" xfId="1282" applyNumberFormat="1" applyFont="1" applyFill="1" applyBorder="1" applyAlignment="1">
      <alignment horizontal="center" vertical="center" wrapText="1"/>
    </xf>
    <xf numFmtId="1" fontId="54" fillId="0" borderId="38" xfId="1282" applyNumberFormat="1" applyFont="1" applyFill="1" applyBorder="1" applyAlignment="1">
      <alignment horizontal="center" vertical="center" wrapText="1"/>
    </xf>
    <xf numFmtId="0" fontId="54" fillId="0" borderId="38" xfId="1282" applyFont="1" applyFill="1" applyBorder="1" applyAlignment="1">
      <alignment horizontal="left" vertical="center" wrapText="1"/>
    </xf>
    <xf numFmtId="49" fontId="54" fillId="0" borderId="5" xfId="1285" applyNumberFormat="1" applyFont="1" applyFill="1" applyBorder="1" applyAlignment="1">
      <alignment horizontal="center" vertical="center" wrapText="1"/>
    </xf>
    <xf numFmtId="4" fontId="0" fillId="0" borderId="0" xfId="0" applyNumberFormat="1" applyFill="1"/>
    <xf numFmtId="0" fontId="54" fillId="0" borderId="6" xfId="1284" applyFont="1" applyFill="1" applyBorder="1" applyAlignment="1">
      <alignment vertical="center" wrapText="1"/>
    </xf>
    <xf numFmtId="0" fontId="53" fillId="0" borderId="6" xfId="1284" applyFont="1" applyFill="1" applyBorder="1" applyAlignment="1">
      <alignment horizontal="left" vertical="center" wrapText="1"/>
    </xf>
    <xf numFmtId="4" fontId="53" fillId="0" borderId="6" xfId="1284" applyNumberFormat="1" applyFont="1" applyFill="1" applyBorder="1" applyAlignment="1">
      <alignment horizontal="right" vertical="center" wrapText="1"/>
    </xf>
    <xf numFmtId="4" fontId="54" fillId="0" borderId="33" xfId="1284" applyNumberFormat="1" applyFont="1" applyFill="1" applyBorder="1" applyAlignment="1">
      <alignment horizontal="right" vertical="center" wrapText="1"/>
    </xf>
    <xf numFmtId="0" fontId="0" fillId="22" borderId="0" xfId="0" applyFill="1" applyAlignment="1">
      <alignment vertical="center"/>
    </xf>
    <xf numFmtId="0" fontId="47" fillId="0" borderId="32" xfId="0" applyFont="1" applyBorder="1" applyAlignment="1">
      <alignment vertical="center" wrapText="1"/>
    </xf>
    <xf numFmtId="0" fontId="0" fillId="0" borderId="0" xfId="0" applyAlignment="1">
      <alignment vertical="center" wrapText="1"/>
    </xf>
    <xf numFmtId="0" fontId="52" fillId="0" borderId="24" xfId="1284" applyFont="1" applyFill="1" applyBorder="1" applyAlignment="1">
      <alignment vertical="center" wrapText="1"/>
    </xf>
    <xf numFmtId="49" fontId="52" fillId="0" borderId="27" xfId="1282" applyNumberFormat="1" applyFont="1" applyFill="1" applyBorder="1" applyAlignment="1">
      <alignment horizontal="center" vertical="center" wrapText="1"/>
    </xf>
    <xf numFmtId="49" fontId="52" fillId="0" borderId="25" xfId="1282" applyNumberFormat="1" applyFont="1" applyFill="1" applyBorder="1" applyAlignment="1">
      <alignment horizontal="center" vertical="center" wrapText="1"/>
    </xf>
    <xf numFmtId="1" fontId="52" fillId="0" borderId="25" xfId="1282" applyNumberFormat="1" applyFont="1" applyFill="1" applyBorder="1" applyAlignment="1">
      <alignment horizontal="center" vertical="center" wrapText="1"/>
    </xf>
    <xf numFmtId="0" fontId="52" fillId="0" borderId="25" xfId="1284" applyFont="1" applyFill="1" applyBorder="1" applyAlignment="1">
      <alignment vertical="center" wrapText="1"/>
    </xf>
    <xf numFmtId="4" fontId="54" fillId="0" borderId="51" xfId="1284" applyNumberFormat="1" applyFont="1" applyFill="1" applyBorder="1" applyAlignment="1">
      <alignment horizontal="right" vertical="center" wrapText="1"/>
    </xf>
    <xf numFmtId="0" fontId="54" fillId="0" borderId="24" xfId="1284" applyFont="1" applyFill="1" applyBorder="1" applyAlignment="1">
      <alignment horizontal="left" vertical="center" wrapText="1"/>
    </xf>
    <xf numFmtId="0" fontId="52" fillId="0" borderId="28" xfId="1284" applyFont="1" applyFill="1" applyBorder="1" applyAlignment="1">
      <alignment horizontal="left" vertical="center" wrapText="1"/>
    </xf>
    <xf numFmtId="0" fontId="52" fillId="0" borderId="38" xfId="1284" applyFont="1" applyFill="1" applyBorder="1" applyAlignment="1">
      <alignment horizontal="left" vertical="center" wrapText="1"/>
    </xf>
    <xf numFmtId="49" fontId="52" fillId="0" borderId="37" xfId="1285" applyNumberFormat="1" applyFont="1" applyFill="1" applyBorder="1" applyAlignment="1">
      <alignment horizontal="center" vertical="center" wrapText="1"/>
    </xf>
    <xf numFmtId="49" fontId="52" fillId="0" borderId="21" xfId="1285" applyNumberFormat="1" applyFont="1" applyFill="1" applyBorder="1" applyAlignment="1">
      <alignment horizontal="center" vertical="center" wrapText="1"/>
    </xf>
    <xf numFmtId="1" fontId="57" fillId="0" borderId="24" xfId="1282" applyNumberFormat="1" applyFont="1" applyFill="1" applyBorder="1" applyAlignment="1">
      <alignment horizontal="center" vertical="center" wrapText="1"/>
    </xf>
    <xf numFmtId="1" fontId="57" fillId="0" borderId="6" xfId="1282" applyNumberFormat="1" applyFont="1" applyFill="1" applyBorder="1" applyAlignment="1">
      <alignment horizontal="center" vertical="center" wrapText="1"/>
    </xf>
    <xf numFmtId="0" fontId="54" fillId="0" borderId="6" xfId="1282" applyFont="1" applyFill="1" applyBorder="1" applyAlignment="1">
      <alignment horizontal="center" vertical="center"/>
    </xf>
    <xf numFmtId="4" fontId="49" fillId="0" borderId="55" xfId="0" applyNumberFormat="1" applyFont="1" applyFill="1" applyBorder="1" applyAlignment="1">
      <alignment vertical="center"/>
    </xf>
    <xf numFmtId="0" fontId="52" fillId="0" borderId="28" xfId="1282" applyFont="1" applyFill="1" applyBorder="1" applyAlignment="1">
      <alignment horizontal="center" vertical="center"/>
    </xf>
    <xf numFmtId="49" fontId="52" fillId="0" borderId="14" xfId="1282" applyNumberFormat="1" applyFont="1" applyFill="1" applyBorder="1" applyAlignment="1">
      <alignment horizontal="center" vertical="center" wrapText="1"/>
    </xf>
    <xf numFmtId="49" fontId="52" fillId="0" borderId="15" xfId="1282" applyNumberFormat="1" applyFont="1" applyFill="1" applyBorder="1" applyAlignment="1">
      <alignment horizontal="center" vertical="center" wrapText="1"/>
    </xf>
    <xf numFmtId="1" fontId="52" fillId="0" borderId="15" xfId="1282" applyNumberFormat="1" applyFont="1" applyFill="1" applyBorder="1" applyAlignment="1">
      <alignment horizontal="center" vertical="center" wrapText="1"/>
    </xf>
    <xf numFmtId="0" fontId="52" fillId="0" borderId="15" xfId="1282" applyFont="1" applyFill="1" applyBorder="1" applyAlignment="1">
      <alignment horizontal="center" vertical="center"/>
    </xf>
    <xf numFmtId="0" fontId="52" fillId="0" borderId="15" xfId="1282" applyFont="1" applyFill="1" applyBorder="1" applyAlignment="1">
      <alignment horizontal="left" vertical="center" wrapText="1"/>
    </xf>
    <xf numFmtId="4" fontId="54" fillId="0" borderId="58" xfId="1282" applyNumberFormat="1" applyFont="1" applyFill="1" applyBorder="1" applyAlignment="1">
      <alignment horizontal="right" vertical="center" wrapText="1"/>
    </xf>
    <xf numFmtId="4" fontId="49" fillId="0" borderId="59" xfId="0" applyNumberFormat="1" applyFont="1" applyFill="1" applyBorder="1" applyAlignment="1">
      <alignment vertical="center"/>
    </xf>
    <xf numFmtId="4" fontId="54" fillId="0" borderId="55" xfId="1282" applyNumberFormat="1" applyFont="1" applyFill="1" applyBorder="1" applyAlignment="1">
      <alignment horizontal="right" vertical="center" wrapText="1"/>
    </xf>
    <xf numFmtId="49" fontId="54" fillId="0" borderId="30" xfId="1282" applyNumberFormat="1" applyFont="1" applyFill="1" applyBorder="1" applyAlignment="1">
      <alignment horizontal="left" vertical="center" wrapText="1"/>
    </xf>
    <xf numFmtId="49" fontId="53" fillId="0" borderId="30" xfId="1282" applyNumberFormat="1" applyFont="1" applyFill="1" applyBorder="1" applyAlignment="1">
      <alignment horizontal="left" vertical="center" wrapText="1"/>
    </xf>
    <xf numFmtId="192" fontId="53" fillId="0" borderId="60" xfId="1282" applyNumberFormat="1" applyFont="1" applyFill="1" applyBorder="1" applyAlignment="1">
      <alignment horizontal="left" vertical="center" wrapText="1"/>
    </xf>
    <xf numFmtId="192" fontId="54" fillId="0" borderId="11" xfId="1282" applyNumberFormat="1" applyFont="1" applyFill="1" applyBorder="1" applyAlignment="1">
      <alignment horizontal="left" vertical="center" wrapText="1"/>
    </xf>
    <xf numFmtId="49" fontId="54" fillId="0" borderId="24" xfId="1282" applyNumberFormat="1" applyFont="1" applyFill="1" applyBorder="1" applyAlignment="1">
      <alignment horizontal="center" vertical="center"/>
    </xf>
    <xf numFmtId="49" fontId="54" fillId="0" borderId="43" xfId="1282" applyNumberFormat="1" applyFont="1" applyFill="1" applyBorder="1" applyAlignment="1">
      <alignment horizontal="center" vertical="center" wrapText="1"/>
    </xf>
    <xf numFmtId="49" fontId="54" fillId="0" borderId="44" xfId="1282" applyNumberFormat="1" applyFont="1" applyFill="1" applyBorder="1" applyAlignment="1">
      <alignment horizontal="center" vertical="center" wrapText="1"/>
    </xf>
    <xf numFmtId="49" fontId="54" fillId="0" borderId="44" xfId="1282" applyNumberFormat="1" applyFont="1" applyFill="1" applyBorder="1" applyAlignment="1">
      <alignment horizontal="center" vertical="center"/>
    </xf>
    <xf numFmtId="0" fontId="54" fillId="0" borderId="44" xfId="1282" applyFont="1" applyFill="1" applyBorder="1" applyAlignment="1">
      <alignment horizontal="left" vertical="center" wrapText="1"/>
    </xf>
    <xf numFmtId="49" fontId="54" fillId="0" borderId="6" xfId="1282" applyNumberFormat="1" applyFont="1" applyFill="1" applyBorder="1" applyAlignment="1">
      <alignment horizontal="center" vertical="center"/>
    </xf>
    <xf numFmtId="0" fontId="54" fillId="0" borderId="6" xfId="0" applyFont="1" applyFill="1" applyBorder="1" applyAlignment="1">
      <alignment horizontal="justify" vertical="center" wrapText="1"/>
    </xf>
    <xf numFmtId="49" fontId="54" fillId="0" borderId="37" xfId="1282" applyNumberFormat="1" applyFont="1" applyFill="1" applyBorder="1" applyAlignment="1">
      <alignment horizontal="center" vertical="center" wrapText="1"/>
    </xf>
    <xf numFmtId="49" fontId="54" fillId="0" borderId="38" xfId="1282" applyNumberFormat="1" applyFont="1" applyFill="1" applyBorder="1" applyAlignment="1">
      <alignment horizontal="center" vertical="center"/>
    </xf>
    <xf numFmtId="0" fontId="54" fillId="0" borderId="44" xfId="1282" applyNumberFormat="1" applyFont="1" applyFill="1" applyBorder="1" applyAlignment="1">
      <alignment horizontal="justify" vertical="center" wrapText="1"/>
    </xf>
    <xf numFmtId="0" fontId="54" fillId="0" borderId="38" xfId="1282" applyNumberFormat="1" applyFont="1" applyFill="1" applyBorder="1" applyAlignment="1">
      <alignment horizontal="justify" vertical="center" wrapText="1"/>
    </xf>
    <xf numFmtId="0" fontId="54" fillId="0" borderId="6" xfId="1282" applyNumberFormat="1" applyFont="1" applyFill="1" applyBorder="1" applyAlignment="1">
      <alignment horizontal="justify" vertical="center" wrapText="1"/>
    </xf>
    <xf numFmtId="0" fontId="54" fillId="0" borderId="24" xfId="1282" applyNumberFormat="1" applyFont="1" applyFill="1" applyBorder="1" applyAlignment="1">
      <alignment horizontal="justify" vertical="center" wrapText="1"/>
    </xf>
    <xf numFmtId="0" fontId="54" fillId="0" borderId="38" xfId="0" applyFont="1" applyFill="1" applyBorder="1" applyAlignment="1">
      <alignment horizontal="justify" vertical="center" wrapText="1"/>
    </xf>
    <xf numFmtId="0" fontId="54" fillId="0" borderId="6" xfId="0" applyFont="1" applyFill="1" applyBorder="1" applyAlignment="1" applyProtection="1">
      <alignment horizontal="justify" vertical="center" wrapText="1"/>
      <protection locked="0"/>
    </xf>
    <xf numFmtId="0" fontId="54" fillId="0" borderId="38" xfId="0" applyFont="1" applyFill="1" applyBorder="1" applyAlignment="1">
      <alignment vertical="center"/>
    </xf>
    <xf numFmtId="0" fontId="68" fillId="0" borderId="6" xfId="0" applyFont="1" applyFill="1" applyBorder="1" applyAlignment="1">
      <alignment horizontal="left" vertical="center" wrapText="1"/>
    </xf>
    <xf numFmtId="197" fontId="54" fillId="0" borderId="38" xfId="0" applyNumberFormat="1" applyFont="1" applyFill="1" applyBorder="1" applyAlignment="1">
      <alignment vertical="center"/>
    </xf>
    <xf numFmtId="197" fontId="54" fillId="0" borderId="44" xfId="0" applyNumberFormat="1" applyFont="1" applyFill="1" applyBorder="1" applyAlignment="1">
      <alignment vertical="center"/>
    </xf>
    <xf numFmtId="0" fontId="54" fillId="0" borderId="6" xfId="1287" applyFont="1" applyFill="1" applyBorder="1" applyAlignment="1">
      <alignment horizontal="justify" vertical="center"/>
    </xf>
    <xf numFmtId="0" fontId="54" fillId="0" borderId="6" xfId="1287" applyFont="1" applyFill="1" applyBorder="1" applyAlignment="1">
      <alignment horizontal="justify" vertical="center" wrapText="1"/>
    </xf>
    <xf numFmtId="49" fontId="52" fillId="0" borderId="28" xfId="1282" applyNumberFormat="1" applyFont="1" applyFill="1" applyBorder="1" applyAlignment="1">
      <alignment horizontal="center" vertical="center"/>
    </xf>
    <xf numFmtId="0" fontId="63" fillId="0" borderId="28" xfId="0" applyFont="1" applyFill="1" applyBorder="1" applyAlignment="1">
      <alignment vertical="center"/>
    </xf>
    <xf numFmtId="49" fontId="52" fillId="0" borderId="44" xfId="1282" applyNumberFormat="1" applyFont="1" applyFill="1" applyBorder="1" applyAlignment="1">
      <alignment horizontal="center" vertical="center"/>
    </xf>
    <xf numFmtId="0" fontId="63" fillId="0" borderId="44" xfId="0" applyFont="1" applyFill="1" applyBorder="1" applyAlignment="1">
      <alignment vertical="center"/>
    </xf>
    <xf numFmtId="49" fontId="52" fillId="0" borderId="24" xfId="1282" applyNumberFormat="1" applyFont="1" applyFill="1" applyBorder="1" applyAlignment="1">
      <alignment horizontal="left" vertical="center" wrapText="1"/>
    </xf>
    <xf numFmtId="0" fontId="75" fillId="0" borderId="24" xfId="1284" applyFont="1" applyFill="1" applyBorder="1" applyAlignment="1">
      <alignment horizontal="left" vertical="center" wrapText="1"/>
    </xf>
    <xf numFmtId="4" fontId="75" fillId="0" borderId="24" xfId="1284" applyNumberFormat="1" applyFont="1" applyFill="1" applyBorder="1" applyAlignment="1">
      <alignment horizontal="right" vertical="center" wrapText="1"/>
    </xf>
    <xf numFmtId="0" fontId="76" fillId="0" borderId="44" xfId="1284" applyFont="1" applyFill="1" applyBorder="1" applyAlignment="1">
      <alignment vertical="center" wrapText="1"/>
    </xf>
    <xf numFmtId="4" fontId="78" fillId="0" borderId="46" xfId="1284" applyNumberFormat="1" applyFont="1" applyFill="1" applyBorder="1" applyAlignment="1">
      <alignment horizontal="right" vertical="center" wrapText="1"/>
    </xf>
    <xf numFmtId="2" fontId="54" fillId="0" borderId="24" xfId="1282" applyNumberFormat="1" applyFont="1" applyFill="1" applyBorder="1" applyAlignment="1">
      <alignment horizontal="left" vertical="center" wrapText="1"/>
    </xf>
    <xf numFmtId="2" fontId="66" fillId="0" borderId="24" xfId="1282" applyNumberFormat="1" applyFont="1" applyFill="1" applyBorder="1" applyAlignment="1">
      <alignment horizontal="left" vertical="center" wrapText="1"/>
    </xf>
    <xf numFmtId="4" fontId="66" fillId="0" borderId="24" xfId="1282" applyNumberFormat="1" applyFont="1" applyFill="1" applyBorder="1" applyAlignment="1">
      <alignment horizontal="right" vertical="center" wrapText="1"/>
    </xf>
    <xf numFmtId="2" fontId="52" fillId="0" borderId="28" xfId="1282" applyNumberFormat="1" applyFont="1" applyFill="1" applyBorder="1" applyAlignment="1">
      <alignment horizontal="left" vertical="center" wrapText="1"/>
    </xf>
    <xf numFmtId="2" fontId="52" fillId="0" borderId="44" xfId="1282" applyNumberFormat="1" applyFont="1" applyFill="1" applyBorder="1" applyAlignment="1">
      <alignment horizontal="left" vertical="center" wrapText="1"/>
    </xf>
    <xf numFmtId="0" fontId="66" fillId="0" borderId="24" xfId="1284" applyFont="1" applyFill="1" applyBorder="1" applyAlignment="1">
      <alignment horizontal="left" vertical="center" wrapText="1"/>
    </xf>
    <xf numFmtId="4" fontId="66" fillId="0" borderId="24" xfId="1284" applyNumberFormat="1" applyFont="1" applyFill="1" applyBorder="1" applyAlignment="1">
      <alignment horizontal="right" vertical="center" wrapText="1"/>
    </xf>
    <xf numFmtId="1" fontId="79" fillId="0" borderId="6" xfId="0" applyNumberFormat="1" applyFont="1" applyFill="1" applyBorder="1" applyAlignment="1">
      <alignment horizontal="center" vertical="center" wrapText="1"/>
    </xf>
    <xf numFmtId="4" fontId="68" fillId="0" borderId="6" xfId="0" applyNumberFormat="1" applyFont="1" applyFill="1" applyBorder="1" applyAlignment="1">
      <alignment horizontal="right" vertical="center" wrapText="1"/>
    </xf>
    <xf numFmtId="1" fontId="63" fillId="0" borderId="24" xfId="0" applyNumberFormat="1" applyFont="1" applyFill="1" applyBorder="1" applyAlignment="1">
      <alignment horizontal="center" vertical="center" wrapText="1"/>
    </xf>
    <xf numFmtId="0" fontId="63" fillId="0" borderId="24" xfId="0" applyFont="1" applyFill="1" applyBorder="1" applyAlignment="1">
      <alignment horizontal="justify" vertical="center" wrapText="1"/>
    </xf>
    <xf numFmtId="1" fontId="63" fillId="0" borderId="15" xfId="0" applyNumberFormat="1" applyFont="1" applyFill="1" applyBorder="1" applyAlignment="1">
      <alignment horizontal="center" vertical="center" wrapText="1"/>
    </xf>
    <xf numFmtId="0" fontId="63" fillId="0" borderId="15" xfId="0" applyFont="1" applyFill="1" applyBorder="1" applyAlignment="1">
      <alignment horizontal="justify" vertical="center" wrapText="1"/>
    </xf>
    <xf numFmtId="4" fontId="49" fillId="0" borderId="58" xfId="0" applyNumberFormat="1" applyFont="1" applyFill="1" applyBorder="1" applyAlignment="1">
      <alignment horizontal="right" vertical="center" wrapText="1"/>
    </xf>
    <xf numFmtId="1" fontId="63" fillId="0" borderId="38" xfId="0" applyNumberFormat="1" applyFont="1" applyFill="1" applyBorder="1" applyAlignment="1">
      <alignment horizontal="center" vertical="center" wrapText="1"/>
    </xf>
    <xf numFmtId="0" fontId="63" fillId="0" borderId="38" xfId="0" applyFont="1" applyFill="1" applyBorder="1" applyAlignment="1">
      <alignment horizontal="justify" vertical="center" wrapText="1"/>
    </xf>
    <xf numFmtId="4" fontId="62" fillId="0" borderId="38" xfId="0" applyNumberFormat="1" applyFont="1" applyFill="1" applyBorder="1" applyAlignment="1">
      <alignment horizontal="right" vertical="center" wrapText="1"/>
    </xf>
    <xf numFmtId="4" fontId="49" fillId="0" borderId="39" xfId="0" applyNumberFormat="1" applyFont="1" applyFill="1" applyBorder="1" applyAlignment="1">
      <alignment horizontal="right" vertical="center" wrapText="1"/>
    </xf>
    <xf numFmtId="1" fontId="63" fillId="0" borderId="25" xfId="0" applyNumberFormat="1" applyFont="1" applyFill="1" applyBorder="1" applyAlignment="1">
      <alignment horizontal="center" vertical="center" wrapText="1"/>
    </xf>
    <xf numFmtId="0" fontId="63" fillId="0" borderId="25" xfId="0" applyFont="1" applyFill="1" applyBorder="1" applyAlignment="1">
      <alignment horizontal="justify" vertical="center" wrapText="1"/>
    </xf>
    <xf numFmtId="4" fontId="49" fillId="0" borderId="51" xfId="0" applyNumberFormat="1" applyFont="1" applyFill="1" applyBorder="1" applyAlignment="1">
      <alignment horizontal="right" vertical="center" wrapText="1"/>
    </xf>
    <xf numFmtId="1" fontId="79" fillId="0" borderId="24" xfId="0" applyNumberFormat="1" applyFont="1" applyFill="1" applyBorder="1" applyAlignment="1">
      <alignment horizontal="center" vertical="center" wrapText="1"/>
    </xf>
    <xf numFmtId="0" fontId="68" fillId="0" borderId="24" xfId="0" applyFont="1" applyFill="1" applyBorder="1" applyAlignment="1">
      <alignment horizontal="left" vertical="center" wrapText="1"/>
    </xf>
    <xf numFmtId="4" fontId="68" fillId="0" borderId="24" xfId="0" applyNumberFormat="1" applyFont="1" applyFill="1" applyBorder="1" applyAlignment="1">
      <alignment horizontal="right" vertical="center" wrapText="1"/>
    </xf>
    <xf numFmtId="1" fontId="57" fillId="0" borderId="6" xfId="0" applyNumberFormat="1" applyFont="1" applyFill="1" applyBorder="1" applyAlignment="1">
      <alignment horizontal="center" vertical="center" wrapText="1"/>
    </xf>
    <xf numFmtId="0" fontId="66" fillId="0" borderId="6" xfId="0" applyFont="1" applyFill="1" applyBorder="1" applyAlignment="1">
      <alignment horizontal="left" vertical="center" wrapText="1"/>
    </xf>
    <xf numFmtId="4" fontId="66" fillId="0" borderId="6" xfId="0" applyNumberFormat="1" applyFont="1" applyFill="1" applyBorder="1" applyAlignment="1">
      <alignment horizontal="right" vertical="center" wrapText="1"/>
    </xf>
    <xf numFmtId="4" fontId="54" fillId="0" borderId="33" xfId="0" applyNumberFormat="1" applyFont="1" applyFill="1" applyBorder="1" applyAlignment="1">
      <alignment horizontal="right" vertical="center" wrapText="1"/>
    </xf>
    <xf numFmtId="1" fontId="52" fillId="0" borderId="24" xfId="0" applyNumberFormat="1" applyFont="1" applyFill="1" applyBorder="1" applyAlignment="1">
      <alignment horizontal="center" vertical="center" wrapText="1"/>
    </xf>
    <xf numFmtId="0" fontId="52" fillId="0" borderId="24" xfId="0" applyFont="1" applyFill="1" applyBorder="1" applyAlignment="1">
      <alignment horizontal="justify" vertical="center" wrapText="1"/>
    </xf>
    <xf numFmtId="1" fontId="52" fillId="0" borderId="25" xfId="0" applyNumberFormat="1" applyFont="1" applyFill="1" applyBorder="1" applyAlignment="1">
      <alignment horizontal="center" vertical="center" wrapText="1"/>
    </xf>
    <xf numFmtId="0" fontId="52" fillId="0" borderId="25" xfId="0" applyFont="1" applyFill="1" applyBorder="1" applyAlignment="1">
      <alignment horizontal="justify" vertical="center" wrapText="1"/>
    </xf>
    <xf numFmtId="4" fontId="54" fillId="0" borderId="51" xfId="0" applyNumberFormat="1" applyFont="1" applyFill="1" applyBorder="1" applyAlignment="1">
      <alignment horizontal="right" vertical="center" wrapText="1"/>
    </xf>
    <xf numFmtId="0" fontId="66" fillId="0" borderId="6" xfId="1284" applyFont="1" applyFill="1" applyBorder="1" applyAlignment="1">
      <alignment horizontal="left" vertical="center" wrapText="1"/>
    </xf>
    <xf numFmtId="4" fontId="66" fillId="0" borderId="6" xfId="1284" applyNumberFormat="1" applyFont="1" applyFill="1" applyBorder="1" applyAlignment="1">
      <alignment horizontal="right" vertical="center" wrapText="1"/>
    </xf>
    <xf numFmtId="49" fontId="52" fillId="0" borderId="38" xfId="1282" applyNumberFormat="1" applyFont="1" applyFill="1" applyBorder="1" applyAlignment="1">
      <alignment horizontal="left" vertical="center" wrapText="1"/>
    </xf>
    <xf numFmtId="49" fontId="53" fillId="0" borderId="38" xfId="1282" applyNumberFormat="1" applyFont="1" applyFill="1" applyBorder="1" applyAlignment="1">
      <alignment horizontal="left" vertical="center" wrapText="1"/>
    </xf>
    <xf numFmtId="49" fontId="54" fillId="0" borderId="24" xfId="1282" applyNumberFormat="1" applyFont="1" applyFill="1" applyBorder="1" applyAlignment="1">
      <alignment horizontal="left" vertical="center" wrapText="1"/>
    </xf>
    <xf numFmtId="49" fontId="66" fillId="0" borderId="24" xfId="1282" applyNumberFormat="1" applyFont="1" applyFill="1" applyBorder="1" applyAlignment="1">
      <alignment horizontal="left" vertical="center" wrapText="1"/>
    </xf>
    <xf numFmtId="49" fontId="52" fillId="0" borderId="44" xfId="1282" applyNumberFormat="1" applyFont="1" applyFill="1" applyBorder="1" applyAlignment="1">
      <alignment horizontal="left" vertical="center" wrapText="1"/>
    </xf>
    <xf numFmtId="49" fontId="52" fillId="0" borderId="30" xfId="1282" applyNumberFormat="1" applyFont="1" applyFill="1" applyBorder="1" applyAlignment="1">
      <alignment horizontal="left" vertical="center" wrapText="1"/>
    </xf>
    <xf numFmtId="0" fontId="49" fillId="0" borderId="24" xfId="0" applyFont="1" applyFill="1" applyBorder="1" applyAlignment="1">
      <alignment vertical="center" wrapText="1"/>
    </xf>
    <xf numFmtId="0" fontId="63" fillId="0" borderId="44" xfId="0" applyFont="1" applyFill="1" applyBorder="1" applyAlignment="1">
      <alignment vertical="center" wrapText="1"/>
    </xf>
    <xf numFmtId="0" fontId="63" fillId="0" borderId="30" xfId="0" applyFont="1" applyFill="1" applyBorder="1" applyAlignment="1">
      <alignment vertical="center" wrapText="1"/>
    </xf>
    <xf numFmtId="0" fontId="62" fillId="0" borderId="30" xfId="0" applyFont="1" applyFill="1" applyBorder="1" applyAlignment="1">
      <alignment horizontal="left" vertical="center" wrapText="1"/>
    </xf>
    <xf numFmtId="4" fontId="62" fillId="0" borderId="30" xfId="0" applyNumberFormat="1" applyFont="1" applyFill="1" applyBorder="1" applyAlignment="1">
      <alignment horizontal="right" vertical="center" wrapText="1"/>
    </xf>
    <xf numFmtId="4" fontId="49" fillId="0" borderId="31" xfId="0" applyNumberFormat="1" applyFont="1" applyFill="1" applyBorder="1" applyAlignment="1">
      <alignment horizontal="right" vertical="center" wrapText="1"/>
    </xf>
    <xf numFmtId="0" fontId="63" fillId="0" borderId="6" xfId="0" applyFont="1" applyFill="1" applyBorder="1" applyAlignment="1">
      <alignment vertical="center" wrapText="1"/>
    </xf>
    <xf numFmtId="0" fontId="63" fillId="0" borderId="38" xfId="0" applyFont="1" applyFill="1" applyBorder="1" applyAlignment="1">
      <alignment vertical="center" wrapText="1"/>
    </xf>
    <xf numFmtId="0" fontId="62" fillId="0" borderId="38" xfId="0" applyFont="1" applyFill="1" applyBorder="1" applyAlignment="1">
      <alignment horizontal="left" vertical="center" wrapText="1"/>
    </xf>
    <xf numFmtId="0" fontId="80" fillId="0" borderId="24" xfId="0" applyFont="1" applyFill="1" applyBorder="1" applyAlignment="1">
      <alignment horizontal="left" vertical="center" wrapText="1"/>
    </xf>
    <xf numFmtId="4" fontId="80" fillId="0" borderId="24" xfId="0" applyNumberFormat="1" applyFont="1" applyFill="1" applyBorder="1" applyAlignment="1">
      <alignment horizontal="right" vertical="center" wrapText="1"/>
    </xf>
    <xf numFmtId="0" fontId="81" fillId="0" borderId="28" xfId="0" applyFont="1" applyFill="1" applyBorder="1" applyAlignment="1">
      <alignment vertical="center" wrapText="1"/>
    </xf>
    <xf numFmtId="4" fontId="82" fillId="0" borderId="35" xfId="0" applyNumberFormat="1" applyFont="1" applyFill="1" applyBorder="1" applyAlignment="1">
      <alignment horizontal="right" vertical="center" wrapText="1"/>
    </xf>
    <xf numFmtId="0" fontId="81" fillId="0" borderId="44" xfId="0" applyFont="1" applyFill="1" applyBorder="1" applyAlignment="1">
      <alignment vertical="center" wrapText="1"/>
    </xf>
    <xf numFmtId="4" fontId="82" fillId="0" borderId="46" xfId="0" applyNumberFormat="1" applyFont="1" applyFill="1" applyBorder="1" applyAlignment="1">
      <alignment horizontal="right" vertical="center" wrapText="1"/>
    </xf>
    <xf numFmtId="0" fontId="49" fillId="0" borderId="6" xfId="0" applyFont="1" applyFill="1" applyBorder="1" applyAlignment="1">
      <alignment vertical="center" wrapText="1"/>
    </xf>
    <xf numFmtId="0" fontId="63" fillId="0" borderId="24" xfId="0" applyFont="1" applyFill="1" applyBorder="1" applyAlignment="1">
      <alignment vertical="center" wrapText="1"/>
    </xf>
    <xf numFmtId="0" fontId="63" fillId="0" borderId="25" xfId="0" applyFont="1" applyFill="1" applyBorder="1" applyAlignment="1">
      <alignment vertical="center" wrapText="1"/>
    </xf>
    <xf numFmtId="4" fontId="62" fillId="5" borderId="25" xfId="0" applyNumberFormat="1" applyFont="1" applyFill="1" applyBorder="1" applyAlignment="1">
      <alignment horizontal="right" vertical="center" wrapText="1"/>
    </xf>
    <xf numFmtId="4" fontId="54" fillId="9" borderId="31" xfId="1282" applyNumberFormat="1" applyFont="1" applyFill="1" applyBorder="1" applyAlignment="1">
      <alignment horizontal="right" vertical="center" wrapText="1"/>
    </xf>
    <xf numFmtId="49" fontId="52" fillId="0" borderId="0" xfId="1282" applyNumberFormat="1" applyFont="1" applyFill="1" applyAlignment="1">
      <alignment horizontal="center" vertical="center" wrapText="1"/>
    </xf>
    <xf numFmtId="166" fontId="52" fillId="0" borderId="0" xfId="1282" applyNumberFormat="1" applyFont="1" applyFill="1" applyBorder="1" applyAlignment="1">
      <alignment horizontal="left" vertical="center" wrapText="1"/>
    </xf>
    <xf numFmtId="192" fontId="52" fillId="0" borderId="0" xfId="1282" applyNumberFormat="1" applyFont="1" applyFill="1" applyBorder="1" applyAlignment="1">
      <alignment vertical="center" wrapText="1"/>
    </xf>
    <xf numFmtId="196" fontId="52" fillId="0" borderId="0" xfId="1282" applyNumberFormat="1" applyFont="1" applyFill="1" applyAlignment="1">
      <alignment vertical="center" wrapText="1"/>
    </xf>
    <xf numFmtId="196" fontId="53" fillId="0" borderId="0" xfId="1282" applyNumberFormat="1" applyFont="1" applyFill="1" applyAlignment="1">
      <alignment horizontal="left" vertical="center" wrapText="1"/>
    </xf>
    <xf numFmtId="4" fontId="53" fillId="0" borderId="0" xfId="1282" applyNumberFormat="1" applyFont="1" applyFill="1" applyAlignment="1">
      <alignment horizontal="right" vertical="center" wrapText="1"/>
    </xf>
    <xf numFmtId="4" fontId="54" fillId="0" borderId="0" xfId="1282" applyNumberFormat="1" applyFont="1" applyFill="1" applyAlignment="1">
      <alignment horizontal="right" vertical="center" wrapText="1"/>
    </xf>
    <xf numFmtId="4" fontId="49" fillId="0" borderId="31" xfId="0" applyNumberFormat="1" applyFont="1" applyFill="1" applyBorder="1" applyAlignment="1">
      <alignment horizontal="center" vertical="center"/>
    </xf>
    <xf numFmtId="0" fontId="84" fillId="0" borderId="66" xfId="1283" applyFont="1" applyFill="1" applyBorder="1" applyAlignment="1">
      <alignment horizontal="left" vertical="center"/>
    </xf>
    <xf numFmtId="0" fontId="84" fillId="0" borderId="50" xfId="1283" applyFont="1" applyFill="1" applyBorder="1" applyAlignment="1">
      <alignment horizontal="left" vertical="center"/>
    </xf>
    <xf numFmtId="0" fontId="85" fillId="0" borderId="50" xfId="1283" applyFont="1" applyFill="1" applyBorder="1" applyAlignment="1">
      <alignment horizontal="left" vertical="center" wrapText="1"/>
    </xf>
    <xf numFmtId="0" fontId="85" fillId="0" borderId="62" xfId="1283" applyFont="1" applyFill="1" applyBorder="1" applyAlignment="1">
      <alignment horizontal="left" vertical="center"/>
    </xf>
    <xf numFmtId="4" fontId="54" fillId="0" borderId="35" xfId="0" applyNumberFormat="1" applyFont="1" applyFill="1" applyBorder="1" applyAlignment="1">
      <alignment horizontal="right" vertical="center" wrapText="1"/>
    </xf>
    <xf numFmtId="0" fontId="84" fillId="0" borderId="67" xfId="1283" applyFont="1" applyFill="1" applyBorder="1" applyAlignment="1">
      <alignment horizontal="left" vertical="center"/>
    </xf>
    <xf numFmtId="0" fontId="84" fillId="0" borderId="16" xfId="1283" applyFont="1" applyFill="1" applyBorder="1" applyAlignment="1">
      <alignment horizontal="left" vertical="center"/>
    </xf>
    <xf numFmtId="0" fontId="85" fillId="0" borderId="16" xfId="1283" applyFont="1" applyFill="1" applyBorder="1" applyAlignment="1">
      <alignment horizontal="left" vertical="center" wrapText="1"/>
    </xf>
    <xf numFmtId="0" fontId="85" fillId="0" borderId="68" xfId="1283" applyFont="1" applyFill="1" applyBorder="1" applyAlignment="1">
      <alignment horizontal="left" vertical="center"/>
    </xf>
    <xf numFmtId="4" fontId="54" fillId="0" borderId="58" xfId="0" applyNumberFormat="1" applyFont="1" applyFill="1" applyBorder="1" applyAlignment="1">
      <alignment horizontal="right" vertical="center" wrapText="1"/>
    </xf>
    <xf numFmtId="4" fontId="48" fillId="9" borderId="31" xfId="0" applyNumberFormat="1" applyFont="1" applyFill="1" applyBorder="1" applyAlignment="1">
      <alignment vertical="center"/>
    </xf>
    <xf numFmtId="0" fontId="63" fillId="0" borderId="0" xfId="0" applyFont="1" applyFill="1"/>
    <xf numFmtId="0" fontId="63" fillId="0" borderId="0" xfId="0" applyFont="1" applyFill="1" applyAlignment="1">
      <alignment vertical="center"/>
    </xf>
    <xf numFmtId="4" fontId="62" fillId="0" borderId="0" xfId="0" applyNumberFormat="1" applyFont="1" applyFill="1" applyAlignment="1">
      <alignment horizontal="left" vertical="center" wrapText="1"/>
    </xf>
    <xf numFmtId="4" fontId="62" fillId="0" borderId="0" xfId="0" applyNumberFormat="1" applyFont="1" applyFill="1" applyAlignment="1">
      <alignment vertical="center"/>
    </xf>
    <xf numFmtId="0" fontId="49" fillId="0" borderId="0" xfId="0" applyFont="1" applyFill="1" applyAlignment="1">
      <alignment vertical="center"/>
    </xf>
    <xf numFmtId="4" fontId="48" fillId="9" borderId="11" xfId="0" applyNumberFormat="1" applyFont="1" applyFill="1" applyBorder="1" applyAlignment="1">
      <alignment vertical="center"/>
    </xf>
    <xf numFmtId="0" fontId="59" fillId="0" borderId="0" xfId="0" applyFont="1" applyFill="1"/>
    <xf numFmtId="49" fontId="59" fillId="0" borderId="0" xfId="0" applyNumberFormat="1" applyFont="1" applyFill="1" applyAlignment="1">
      <alignment horizontal="justify" vertical="center"/>
    </xf>
    <xf numFmtId="0" fontId="86" fillId="0" borderId="0" xfId="0" applyFont="1" applyFill="1" applyAlignment="1">
      <alignment horizontal="left" vertical="center" wrapText="1"/>
    </xf>
    <xf numFmtId="4" fontId="86" fillId="0" borderId="0" xfId="0" applyNumberFormat="1" applyFont="1" applyFill="1" applyAlignment="1">
      <alignment horizontal="right" vertical="center"/>
    </xf>
    <xf numFmtId="4" fontId="59" fillId="0" borderId="0" xfId="0" applyNumberFormat="1" applyFont="1" applyFill="1" applyAlignment="1">
      <alignment horizontal="right"/>
    </xf>
    <xf numFmtId="4" fontId="46" fillId="0" borderId="0" xfId="0" applyNumberFormat="1" applyFont="1" applyFill="1"/>
    <xf numFmtId="0" fontId="27" fillId="0" borderId="0" xfId="0" applyFont="1" applyAlignment="1">
      <alignment wrapText="1"/>
    </xf>
    <xf numFmtId="0" fontId="27" fillId="0" borderId="28" xfId="0" applyFont="1" applyBorder="1" applyAlignment="1">
      <alignment wrapText="1"/>
    </xf>
    <xf numFmtId="0" fontId="35" fillId="16" borderId="28" xfId="210" applyFont="1" applyFill="1" applyBorder="1" applyAlignment="1">
      <alignment vertical="center" wrapText="1"/>
    </xf>
    <xf numFmtId="196" fontId="53" fillId="19" borderId="48" xfId="1282" applyNumberFormat="1" applyFont="1" applyFill="1" applyBorder="1" applyAlignment="1">
      <alignment horizontal="left" vertical="center" wrapText="1"/>
    </xf>
    <xf numFmtId="4" fontId="53" fillId="19" borderId="28" xfId="1284" applyNumberFormat="1" applyFont="1" applyFill="1" applyBorder="1" applyAlignment="1">
      <alignment horizontal="right" vertical="center" wrapText="1"/>
    </xf>
    <xf numFmtId="196" fontId="53" fillId="19" borderId="45" xfId="1282" applyNumberFormat="1" applyFont="1" applyFill="1" applyBorder="1" applyAlignment="1">
      <alignment horizontal="left" vertical="center" wrapText="1"/>
    </xf>
    <xf numFmtId="4" fontId="53" fillId="19" borderId="44" xfId="1284" applyNumberFormat="1" applyFont="1" applyFill="1" applyBorder="1" applyAlignment="1">
      <alignment horizontal="right" vertical="center" wrapText="1"/>
    </xf>
    <xf numFmtId="196" fontId="66" fillId="23" borderId="48" xfId="1282" applyNumberFormat="1" applyFont="1" applyFill="1" applyBorder="1" applyAlignment="1">
      <alignment horizontal="left" vertical="center" wrapText="1"/>
    </xf>
    <xf numFmtId="4" fontId="53" fillId="23" borderId="24" xfId="1284" applyNumberFormat="1" applyFont="1" applyFill="1" applyBorder="1" applyAlignment="1">
      <alignment horizontal="right" vertical="center" wrapText="1"/>
    </xf>
    <xf numFmtId="166" fontId="28" fillId="23" borderId="12" xfId="1212" applyFont="1" applyFill="1" applyBorder="1" applyAlignment="1" applyProtection="1">
      <alignment horizontal="right" vertical="center"/>
      <protection hidden="1"/>
    </xf>
    <xf numFmtId="0" fontId="53" fillId="23" borderId="24" xfId="1284" applyFont="1" applyFill="1" applyBorder="1" applyAlignment="1">
      <alignment horizontal="left" vertical="center" wrapText="1"/>
    </xf>
    <xf numFmtId="4" fontId="60" fillId="23" borderId="28" xfId="1286" applyNumberFormat="1" applyFont="1" applyFill="1" applyBorder="1" applyAlignment="1">
      <alignment horizontal="left" vertical="center" wrapText="1"/>
    </xf>
    <xf numFmtId="4" fontId="53" fillId="23" borderId="28" xfId="1284" applyNumberFormat="1" applyFont="1" applyFill="1" applyBorder="1" applyAlignment="1">
      <alignment horizontal="right" vertical="center" wrapText="1"/>
    </xf>
    <xf numFmtId="196" fontId="53" fillId="23" borderId="48" xfId="1282" applyNumberFormat="1" applyFont="1" applyFill="1" applyBorder="1" applyAlignment="1">
      <alignment horizontal="left" vertical="center" wrapText="1"/>
    </xf>
    <xf numFmtId="2" fontId="60" fillId="23" borderId="50" xfId="1286" applyNumberFormat="1" applyFont="1" applyFill="1" applyBorder="1" applyAlignment="1">
      <alignment horizontal="left" vertical="center" wrapText="1"/>
    </xf>
    <xf numFmtId="0" fontId="60" fillId="23" borderId="50" xfId="1283" applyFont="1" applyFill="1" applyBorder="1" applyAlignment="1">
      <alignment horizontal="left" vertical="center" wrapText="1"/>
    </xf>
    <xf numFmtId="166" fontId="29" fillId="23" borderId="12" xfId="1212" applyFont="1" applyFill="1" applyBorder="1" applyAlignment="1">
      <alignment horizontal="right" vertical="center" wrapText="1"/>
    </xf>
    <xf numFmtId="196" fontId="53" fillId="23" borderId="45" xfId="1282" applyNumberFormat="1" applyFont="1" applyFill="1" applyBorder="1" applyAlignment="1">
      <alignment horizontal="left" vertical="center" wrapText="1"/>
    </xf>
    <xf numFmtId="4" fontId="53" fillId="23" borderId="44" xfId="1284" applyNumberFormat="1" applyFont="1" applyFill="1" applyBorder="1" applyAlignment="1">
      <alignment horizontal="right" vertical="center" wrapText="1"/>
    </xf>
    <xf numFmtId="196" fontId="53" fillId="7" borderId="48" xfId="1282" applyNumberFormat="1" applyFont="1" applyFill="1" applyBorder="1" applyAlignment="1">
      <alignment horizontal="left" vertical="center" wrapText="1"/>
    </xf>
    <xf numFmtId="4" fontId="53" fillId="7" borderId="28" xfId="1284" applyNumberFormat="1" applyFont="1" applyFill="1" applyBorder="1" applyAlignment="1">
      <alignment horizontal="right" vertical="center" wrapText="1"/>
    </xf>
    <xf numFmtId="4" fontId="60" fillId="7" borderId="28" xfId="1286" applyNumberFormat="1" applyFont="1" applyFill="1" applyBorder="1" applyAlignment="1">
      <alignment horizontal="left" vertical="center" wrapText="1"/>
    </xf>
    <xf numFmtId="166" fontId="28" fillId="7" borderId="12" xfId="1212" applyFont="1" applyFill="1" applyBorder="1" applyAlignment="1" applyProtection="1">
      <alignment horizontal="right" vertical="center"/>
      <protection hidden="1"/>
    </xf>
    <xf numFmtId="2" fontId="60" fillId="7" borderId="50" xfId="1286" applyNumberFormat="1" applyFont="1" applyFill="1" applyBorder="1" applyAlignment="1">
      <alignment horizontal="left" vertical="center" wrapText="1"/>
    </xf>
    <xf numFmtId="196" fontId="66" fillId="7" borderId="48" xfId="1282" applyNumberFormat="1" applyFont="1" applyFill="1" applyBorder="1" applyAlignment="1">
      <alignment horizontal="left" vertical="center" wrapText="1"/>
    </xf>
    <xf numFmtId="196" fontId="66" fillId="7" borderId="45" xfId="1282" applyNumberFormat="1" applyFont="1" applyFill="1" applyBorder="1" applyAlignment="1">
      <alignment horizontal="left" vertical="center" wrapText="1"/>
    </xf>
    <xf numFmtId="4" fontId="53" fillId="7" borderId="44" xfId="1284" applyNumberFormat="1" applyFont="1" applyFill="1" applyBorder="1" applyAlignment="1">
      <alignment horizontal="right" vertical="center" wrapText="1"/>
    </xf>
    <xf numFmtId="0" fontId="60" fillId="7" borderId="50" xfId="1283" applyFont="1" applyFill="1" applyBorder="1" applyAlignment="1">
      <alignment horizontal="left" vertical="center" wrapText="1"/>
    </xf>
    <xf numFmtId="166" fontId="29" fillId="7" borderId="12" xfId="1212" applyFont="1" applyFill="1" applyBorder="1" applyAlignment="1">
      <alignment horizontal="right" vertical="center" wrapText="1"/>
    </xf>
    <xf numFmtId="4" fontId="53" fillId="24" borderId="28" xfId="1284" applyNumberFormat="1" applyFont="1" applyFill="1" applyBorder="1" applyAlignment="1">
      <alignment horizontal="right" vertical="center" wrapText="1"/>
    </xf>
    <xf numFmtId="4" fontId="53" fillId="24" borderId="44" xfId="1284" applyNumberFormat="1" applyFont="1" applyFill="1" applyBorder="1" applyAlignment="1">
      <alignment horizontal="right" vertical="center" wrapText="1"/>
    </xf>
    <xf numFmtId="166" fontId="27" fillId="24" borderId="12" xfId="1212" applyFont="1" applyFill="1" applyBorder="1" applyAlignment="1">
      <alignment vertical="center"/>
    </xf>
    <xf numFmtId="166" fontId="27" fillId="19" borderId="12" xfId="1212" applyFont="1" applyFill="1" applyBorder="1"/>
    <xf numFmtId="4" fontId="60" fillId="19" borderId="28" xfId="1286" applyNumberFormat="1" applyFont="1" applyFill="1" applyBorder="1" applyAlignment="1">
      <alignment horizontal="left" vertical="center" wrapText="1"/>
    </xf>
    <xf numFmtId="2" fontId="60" fillId="19" borderId="50" xfId="1286" applyNumberFormat="1" applyFont="1" applyFill="1" applyBorder="1" applyAlignment="1">
      <alignment horizontal="left" vertical="center" wrapText="1"/>
    </xf>
    <xf numFmtId="196" fontId="66" fillId="19" borderId="48" xfId="1282" applyNumberFormat="1" applyFont="1" applyFill="1" applyBorder="1" applyAlignment="1">
      <alignment horizontal="left" vertical="center" wrapText="1"/>
    </xf>
    <xf numFmtId="0" fontId="60" fillId="19" borderId="50" xfId="1283" applyFont="1" applyFill="1" applyBorder="1" applyAlignment="1">
      <alignment horizontal="left" vertical="center" wrapText="1"/>
    </xf>
    <xf numFmtId="196" fontId="53" fillId="19" borderId="28" xfId="1282" applyNumberFormat="1" applyFont="1" applyFill="1" applyBorder="1" applyAlignment="1">
      <alignment horizontal="left" vertical="center" wrapText="1"/>
    </xf>
    <xf numFmtId="0" fontId="60" fillId="19" borderId="0" xfId="1283" applyFont="1" applyFill="1" applyBorder="1" applyAlignment="1">
      <alignment horizontal="left" vertical="center" wrapText="1"/>
    </xf>
    <xf numFmtId="0" fontId="60" fillId="19" borderId="61" xfId="1283" applyFont="1" applyFill="1" applyBorder="1" applyAlignment="1">
      <alignment horizontal="left" vertical="center" wrapText="1"/>
    </xf>
    <xf numFmtId="196" fontId="53" fillId="25" borderId="49" xfId="1282" applyNumberFormat="1" applyFont="1" applyFill="1" applyBorder="1" applyAlignment="1">
      <alignment horizontal="left" vertical="center" wrapText="1"/>
    </xf>
    <xf numFmtId="4" fontId="53" fillId="25" borderId="38" xfId="1284" applyNumberFormat="1" applyFont="1" applyFill="1" applyBorder="1" applyAlignment="1">
      <alignment horizontal="right" vertical="center" wrapText="1"/>
    </xf>
    <xf numFmtId="166" fontId="27" fillId="25" borderId="12" xfId="1212" applyFont="1" applyFill="1" applyBorder="1"/>
    <xf numFmtId="166" fontId="87" fillId="0" borderId="28" xfId="1212" applyFont="1" applyBorder="1"/>
    <xf numFmtId="4" fontId="62" fillId="5" borderId="44" xfId="0" applyNumberFormat="1" applyFont="1" applyFill="1" applyBorder="1" applyAlignment="1">
      <alignment horizontal="right" vertical="center" wrapText="1"/>
    </xf>
    <xf numFmtId="196" fontId="66" fillId="5" borderId="48" xfId="1282" applyNumberFormat="1" applyFont="1" applyFill="1" applyBorder="1" applyAlignment="1">
      <alignment horizontal="left" vertical="center" wrapText="1"/>
    </xf>
    <xf numFmtId="4" fontId="53" fillId="5" borderId="38" xfId="1282" applyNumberFormat="1" applyFont="1" applyFill="1" applyBorder="1" applyAlignment="1">
      <alignment horizontal="right" vertical="center" wrapText="1"/>
    </xf>
    <xf numFmtId="196" fontId="66" fillId="5" borderId="45" xfId="1282" applyNumberFormat="1" applyFont="1" applyFill="1" applyBorder="1" applyAlignment="1">
      <alignment horizontal="left" vertical="center" wrapText="1"/>
    </xf>
    <xf numFmtId="196" fontId="53" fillId="26" borderId="48" xfId="1282" applyNumberFormat="1" applyFont="1" applyFill="1" applyBorder="1" applyAlignment="1">
      <alignment horizontal="left" vertical="center" wrapText="1"/>
    </xf>
    <xf numFmtId="4" fontId="53" fillId="26" borderId="28" xfId="0" applyNumberFormat="1" applyFont="1" applyFill="1" applyBorder="1" applyAlignment="1">
      <alignment horizontal="right" vertical="center" wrapText="1"/>
    </xf>
    <xf numFmtId="196" fontId="53" fillId="26" borderId="45" xfId="1282" applyNumberFormat="1" applyFont="1" applyFill="1" applyBorder="1" applyAlignment="1">
      <alignment horizontal="left" vertical="center" wrapText="1"/>
    </xf>
    <xf numFmtId="4" fontId="53" fillId="26" borderId="44" xfId="0" applyNumberFormat="1" applyFont="1" applyFill="1" applyBorder="1" applyAlignment="1">
      <alignment horizontal="right" vertical="center" wrapText="1"/>
    </xf>
    <xf numFmtId="196" fontId="70" fillId="5" borderId="45" xfId="1282" applyNumberFormat="1" applyFont="1" applyFill="1" applyBorder="1" applyAlignment="1">
      <alignment horizontal="left" vertical="center" wrapText="1"/>
    </xf>
    <xf numFmtId="4" fontId="69" fillId="5" borderId="44" xfId="1282" applyNumberFormat="1" applyFont="1" applyFill="1" applyBorder="1" applyAlignment="1">
      <alignment horizontal="right" vertical="center" wrapText="1"/>
    </xf>
    <xf numFmtId="4" fontId="53" fillId="5" borderId="44" xfId="1282" applyNumberFormat="1" applyFont="1" applyFill="1" applyBorder="1" applyAlignment="1">
      <alignment horizontal="right" vertical="center" wrapText="1"/>
    </xf>
    <xf numFmtId="196" fontId="53" fillId="27" borderId="48" xfId="1282" applyNumberFormat="1" applyFont="1" applyFill="1" applyBorder="1" applyAlignment="1">
      <alignment horizontal="left" vertical="center" wrapText="1"/>
    </xf>
    <xf numFmtId="4" fontId="53" fillId="27" borderId="28" xfId="1282" applyNumberFormat="1" applyFont="1" applyFill="1" applyBorder="1" applyAlignment="1">
      <alignment horizontal="right" vertical="center" wrapText="1"/>
    </xf>
    <xf numFmtId="4" fontId="53" fillId="26" borderId="28" xfId="1282" applyNumberFormat="1" applyFont="1" applyFill="1" applyBorder="1" applyAlignment="1">
      <alignment horizontal="right" vertical="center" wrapText="1"/>
    </xf>
    <xf numFmtId="196" fontId="53" fillId="26" borderId="49" xfId="1282" applyNumberFormat="1" applyFont="1" applyFill="1" applyBorder="1" applyAlignment="1">
      <alignment horizontal="left" vertical="center" wrapText="1"/>
    </xf>
    <xf numFmtId="4" fontId="53" fillId="26" borderId="38" xfId="1282" applyNumberFormat="1" applyFont="1" applyFill="1" applyBorder="1" applyAlignment="1">
      <alignment horizontal="right" vertical="center" wrapText="1"/>
    </xf>
    <xf numFmtId="4" fontId="53" fillId="26" borderId="28" xfId="1284" applyNumberFormat="1" applyFont="1" applyFill="1" applyBorder="1" applyAlignment="1">
      <alignment horizontal="right" vertical="center" wrapText="1"/>
    </xf>
    <xf numFmtId="4" fontId="53" fillId="26" borderId="44" xfId="1284" applyNumberFormat="1" applyFont="1" applyFill="1" applyBorder="1" applyAlignment="1">
      <alignment horizontal="right" vertical="center" wrapText="1"/>
    </xf>
    <xf numFmtId="196" fontId="53" fillId="6" borderId="48" xfId="1282" applyNumberFormat="1" applyFont="1" applyFill="1" applyBorder="1" applyAlignment="1">
      <alignment horizontal="left" vertical="center" wrapText="1"/>
    </xf>
    <xf numFmtId="196" fontId="53" fillId="6" borderId="45" xfId="1282" applyNumberFormat="1" applyFont="1" applyFill="1" applyBorder="1" applyAlignment="1">
      <alignment horizontal="left" vertical="center" wrapText="1"/>
    </xf>
    <xf numFmtId="196" fontId="53" fillId="15" borderId="48" xfId="1282" applyNumberFormat="1" applyFont="1" applyFill="1" applyBorder="1" applyAlignment="1">
      <alignment horizontal="left" vertical="center" wrapText="1"/>
    </xf>
    <xf numFmtId="4" fontId="53" fillId="15" borderId="24" xfId="1284" applyNumberFormat="1" applyFont="1" applyFill="1" applyBorder="1" applyAlignment="1">
      <alignment horizontal="right" vertical="center" wrapText="1"/>
    </xf>
    <xf numFmtId="0" fontId="60" fillId="15" borderId="50" xfId="1283" applyFont="1" applyFill="1" applyBorder="1" applyAlignment="1">
      <alignment horizontal="left" vertical="center" wrapText="1"/>
    </xf>
    <xf numFmtId="196" fontId="53" fillId="15" borderId="45" xfId="1282" applyNumberFormat="1" applyFont="1" applyFill="1" applyBorder="1" applyAlignment="1">
      <alignment horizontal="left" vertical="center" wrapText="1"/>
    </xf>
    <xf numFmtId="4" fontId="53" fillId="15" borderId="25" xfId="1284" applyNumberFormat="1" applyFont="1" applyFill="1" applyBorder="1" applyAlignment="1">
      <alignment horizontal="right" vertical="center" wrapText="1"/>
    </xf>
    <xf numFmtId="4" fontId="53" fillId="26" borderId="38" xfId="1284" applyNumberFormat="1" applyFont="1" applyFill="1" applyBorder="1" applyAlignment="1">
      <alignment horizontal="right" vertical="center" wrapText="1"/>
    </xf>
    <xf numFmtId="4" fontId="53" fillId="26" borderId="24" xfId="1284" applyNumberFormat="1" applyFont="1" applyFill="1" applyBorder="1" applyAlignment="1">
      <alignment horizontal="right" vertical="center" wrapText="1"/>
    </xf>
    <xf numFmtId="4" fontId="53" fillId="27" borderId="24" xfId="1284" applyNumberFormat="1" applyFont="1" applyFill="1" applyBorder="1" applyAlignment="1">
      <alignment horizontal="right" vertical="center" wrapText="1"/>
    </xf>
    <xf numFmtId="4" fontId="53" fillId="15" borderId="44" xfId="1284" applyNumberFormat="1" applyFont="1" applyFill="1" applyBorder="1" applyAlignment="1">
      <alignment horizontal="right" vertical="center" wrapText="1"/>
    </xf>
    <xf numFmtId="196" fontId="53" fillId="26" borderId="53" xfId="1282" applyNumberFormat="1" applyFont="1" applyFill="1" applyBorder="1" applyAlignment="1">
      <alignment horizontal="left" vertical="center" wrapText="1"/>
    </xf>
    <xf numFmtId="196" fontId="53" fillId="15" borderId="54" xfId="1282" applyNumberFormat="1" applyFont="1" applyFill="1" applyBorder="1" applyAlignment="1">
      <alignment horizontal="left" vertical="center" wrapText="1"/>
    </xf>
    <xf numFmtId="0" fontId="60" fillId="6" borderId="18" xfId="1283" applyFont="1" applyFill="1" applyBorder="1" applyAlignment="1">
      <alignment horizontal="left" vertical="center" wrapText="1"/>
    </xf>
    <xf numFmtId="4" fontId="53" fillId="6" borderId="28" xfId="1284" applyNumberFormat="1" applyFont="1" applyFill="1" applyBorder="1" applyAlignment="1">
      <alignment horizontal="right" vertical="center" wrapText="1"/>
    </xf>
    <xf numFmtId="4" fontId="53" fillId="6" borderId="44" xfId="1284" applyNumberFormat="1" applyFont="1" applyFill="1" applyBorder="1" applyAlignment="1">
      <alignment horizontal="right" vertical="center" wrapText="1"/>
    </xf>
    <xf numFmtId="4" fontId="53" fillId="27" borderId="28" xfId="1284" applyNumberFormat="1" applyFont="1" applyFill="1" applyBorder="1" applyAlignment="1">
      <alignment horizontal="right" vertical="center" wrapText="1"/>
    </xf>
    <xf numFmtId="4" fontId="53" fillId="15" borderId="28" xfId="1284" applyNumberFormat="1" applyFont="1" applyFill="1" applyBorder="1" applyAlignment="1">
      <alignment horizontal="right" vertical="center" wrapText="1"/>
    </xf>
    <xf numFmtId="196" fontId="53" fillId="15" borderId="49" xfId="1282" applyNumberFormat="1" applyFont="1" applyFill="1" applyBorder="1" applyAlignment="1">
      <alignment horizontal="left" vertical="center" wrapText="1"/>
    </xf>
    <xf numFmtId="4" fontId="53" fillId="15" borderId="38" xfId="1284" applyNumberFormat="1" applyFont="1" applyFill="1" applyBorder="1" applyAlignment="1">
      <alignment horizontal="right" vertical="center" wrapText="1"/>
    </xf>
    <xf numFmtId="196" fontId="53" fillId="5" borderId="28" xfId="1282" applyNumberFormat="1" applyFont="1" applyFill="1" applyBorder="1" applyAlignment="1">
      <alignment horizontal="left" vertical="center" wrapText="1"/>
    </xf>
    <xf numFmtId="196" fontId="53" fillId="26" borderId="56" xfId="1282" applyNumberFormat="1" applyFont="1" applyFill="1" applyBorder="1" applyAlignment="1">
      <alignment horizontal="left" vertical="center" wrapText="1"/>
    </xf>
    <xf numFmtId="196" fontId="53" fillId="26" borderId="28" xfId="1282" applyNumberFormat="1" applyFont="1" applyFill="1" applyBorder="1" applyAlignment="1">
      <alignment horizontal="left" vertical="center" wrapText="1"/>
    </xf>
    <xf numFmtId="2" fontId="60" fillId="5" borderId="28" xfId="1286" applyNumberFormat="1" applyFont="1" applyFill="1" applyBorder="1" applyAlignment="1">
      <alignment horizontal="left" vertical="center" wrapText="1"/>
    </xf>
    <xf numFmtId="196" fontId="53" fillId="5" borderId="57" xfId="1282" applyNumberFormat="1" applyFont="1" applyFill="1" applyBorder="1" applyAlignment="1">
      <alignment horizontal="left" vertical="center" wrapText="1"/>
    </xf>
    <xf numFmtId="4" fontId="53" fillId="5" borderId="15" xfId="1282" applyNumberFormat="1" applyFont="1" applyFill="1" applyBorder="1" applyAlignment="1">
      <alignment horizontal="right" vertical="center" wrapText="1"/>
    </xf>
    <xf numFmtId="0" fontId="60" fillId="26" borderId="50" xfId="1283" applyFont="1" applyFill="1" applyBorder="1" applyAlignment="1">
      <alignment horizontal="left" vertical="center" wrapText="1"/>
    </xf>
    <xf numFmtId="0" fontId="60" fillId="26" borderId="52" xfId="1283" applyFont="1" applyFill="1" applyBorder="1" applyAlignment="1">
      <alignment horizontal="left" vertical="center" wrapText="1"/>
    </xf>
    <xf numFmtId="4" fontId="53" fillId="15" borderId="28" xfId="1282" applyNumberFormat="1" applyFont="1" applyFill="1" applyBorder="1" applyAlignment="1">
      <alignment horizontal="right" vertical="center" wrapText="1"/>
    </xf>
    <xf numFmtId="4" fontId="60" fillId="15" borderId="56" xfId="1286" applyNumberFormat="1" applyFont="1" applyFill="1" applyBorder="1" applyAlignment="1">
      <alignment vertical="center" wrapText="1"/>
    </xf>
    <xf numFmtId="4" fontId="53" fillId="15" borderId="44" xfId="1282" applyNumberFormat="1" applyFont="1" applyFill="1" applyBorder="1" applyAlignment="1">
      <alignment horizontal="right" vertical="center" wrapText="1"/>
    </xf>
    <xf numFmtId="3" fontId="53" fillId="28" borderId="44" xfId="0" applyNumberFormat="1" applyFont="1" applyFill="1" applyBorder="1" applyAlignment="1">
      <alignment horizontal="left" vertical="center" wrapText="1"/>
    </xf>
    <xf numFmtId="4" fontId="53" fillId="28" borderId="44" xfId="1282" applyNumberFormat="1" applyFont="1" applyFill="1" applyBorder="1" applyAlignment="1">
      <alignment horizontal="right" vertical="center" wrapText="1"/>
    </xf>
    <xf numFmtId="0" fontId="53" fillId="28" borderId="6" xfId="1282" applyFont="1" applyFill="1" applyBorder="1" applyAlignment="1">
      <alignment horizontal="left" vertical="center" wrapText="1"/>
    </xf>
    <xf numFmtId="4" fontId="53" fillId="28" borderId="6" xfId="1282" applyNumberFormat="1" applyFont="1" applyFill="1" applyBorder="1" applyAlignment="1">
      <alignment horizontal="right" vertical="center" wrapText="1"/>
    </xf>
    <xf numFmtId="3" fontId="53" fillId="28" borderId="38" xfId="0" applyNumberFormat="1" applyFont="1" applyFill="1" applyBorder="1" applyAlignment="1">
      <alignment horizontal="left" vertical="center" wrapText="1"/>
    </xf>
    <xf numFmtId="4" fontId="53" fillId="28" borderId="38" xfId="1282" applyNumberFormat="1" applyFont="1" applyFill="1" applyBorder="1" applyAlignment="1">
      <alignment horizontal="right" vertical="center" wrapText="1"/>
    </xf>
    <xf numFmtId="3" fontId="53" fillId="28" borderId="52" xfId="0" applyNumberFormat="1" applyFont="1" applyFill="1" applyBorder="1" applyAlignment="1">
      <alignment horizontal="left" vertical="center" wrapText="1"/>
    </xf>
    <xf numFmtId="3" fontId="66" fillId="28" borderId="6" xfId="0" applyNumberFormat="1" applyFont="1" applyFill="1" applyBorder="1" applyAlignment="1">
      <alignment horizontal="left" vertical="center" wrapText="1"/>
    </xf>
    <xf numFmtId="3" fontId="66" fillId="28" borderId="6" xfId="0" applyNumberFormat="1" applyFont="1" applyFill="1" applyBorder="1" applyAlignment="1">
      <alignment vertical="center"/>
    </xf>
    <xf numFmtId="3" fontId="53" fillId="28" borderId="44" xfId="0" applyNumberFormat="1" applyFont="1" applyFill="1" applyBorder="1" applyAlignment="1">
      <alignment vertical="center"/>
    </xf>
    <xf numFmtId="3" fontId="53" fillId="28" borderId="6" xfId="0" applyNumberFormat="1" applyFont="1" applyFill="1" applyBorder="1" applyAlignment="1">
      <alignment horizontal="left" vertical="center" wrapText="1"/>
    </xf>
    <xf numFmtId="3" fontId="53" fillId="28" borderId="38" xfId="0" applyNumberFormat="1" applyFont="1" applyFill="1" applyBorder="1" applyAlignment="1">
      <alignment vertical="center"/>
    </xf>
    <xf numFmtId="3" fontId="66" fillId="28" borderId="24" xfId="0" applyNumberFormat="1" applyFont="1" applyFill="1" applyBorder="1" applyAlignment="1">
      <alignment horizontal="left" vertical="center" wrapText="1"/>
    </xf>
    <xf numFmtId="3" fontId="66" fillId="28" borderId="24" xfId="0" applyNumberFormat="1" applyFont="1" applyFill="1" applyBorder="1" applyAlignment="1">
      <alignment vertical="center"/>
    </xf>
    <xf numFmtId="0" fontId="53" fillId="28" borderId="38" xfId="0" applyFont="1" applyFill="1" applyBorder="1" applyAlignment="1">
      <alignment horizontal="left" vertical="center" wrapText="1"/>
    </xf>
    <xf numFmtId="0" fontId="62" fillId="28" borderId="6" xfId="0" applyFont="1" applyFill="1" applyBorder="1" applyAlignment="1">
      <alignment horizontal="left" vertical="center" wrapText="1"/>
    </xf>
    <xf numFmtId="3" fontId="62" fillId="28" borderId="6" xfId="0" applyNumberFormat="1" applyFont="1" applyFill="1" applyBorder="1" applyAlignment="1">
      <alignment vertical="center"/>
    </xf>
    <xf numFmtId="3" fontId="53" fillId="28" borderId="38" xfId="0" applyNumberFormat="1" applyFont="1" applyFill="1" applyBorder="1" applyAlignment="1">
      <alignment horizontal="right" vertical="center"/>
    </xf>
    <xf numFmtId="0" fontId="68" fillId="28" borderId="6" xfId="0" applyFont="1" applyFill="1" applyBorder="1" applyAlignment="1">
      <alignment horizontal="left" vertical="center" wrapText="1"/>
    </xf>
    <xf numFmtId="0" fontId="69" fillId="28" borderId="6" xfId="0" applyFont="1" applyFill="1" applyBorder="1" applyAlignment="1">
      <alignment horizontal="left" vertical="center" wrapText="1"/>
    </xf>
    <xf numFmtId="3" fontId="70" fillId="28" borderId="6" xfId="0" applyNumberFormat="1" applyFont="1" applyFill="1" applyBorder="1" applyAlignment="1">
      <alignment vertical="center"/>
    </xf>
    <xf numFmtId="0" fontId="53" fillId="28" borderId="6" xfId="0" applyFont="1" applyFill="1" applyBorder="1" applyAlignment="1">
      <alignment horizontal="left" vertical="center" wrapText="1"/>
    </xf>
    <xf numFmtId="3" fontId="53" fillId="28" borderId="6" xfId="0" applyNumberFormat="1" applyFont="1" applyFill="1" applyBorder="1" applyAlignment="1">
      <alignment vertical="center"/>
    </xf>
    <xf numFmtId="3" fontId="53" fillId="28" borderId="6" xfId="0" applyNumberFormat="1" applyFont="1" applyFill="1" applyBorder="1" applyAlignment="1">
      <alignment horizontal="right" vertical="center"/>
    </xf>
    <xf numFmtId="0" fontId="53" fillId="28" borderId="24" xfId="0" applyFont="1" applyFill="1" applyBorder="1" applyAlignment="1">
      <alignment horizontal="left" vertical="center" wrapText="1"/>
    </xf>
    <xf numFmtId="3" fontId="68" fillId="28" borderId="24" xfId="0" applyNumberFormat="1" applyFont="1" applyFill="1" applyBorder="1" applyAlignment="1">
      <alignment vertical="center"/>
    </xf>
    <xf numFmtId="0" fontId="53" fillId="28" borderId="44" xfId="0" applyFont="1" applyFill="1" applyBorder="1" applyAlignment="1">
      <alignment horizontal="left" vertical="center" wrapText="1"/>
    </xf>
    <xf numFmtId="3" fontId="68" fillId="28" borderId="6" xfId="0" applyNumberFormat="1" applyFont="1" applyFill="1" applyBorder="1" applyAlignment="1">
      <alignment vertical="center"/>
    </xf>
    <xf numFmtId="3" fontId="71" fillId="28" borderId="6" xfId="0" applyNumberFormat="1" applyFont="1" applyFill="1" applyBorder="1" applyAlignment="1">
      <alignment vertical="center"/>
    </xf>
    <xf numFmtId="3" fontId="66" fillId="28" borderId="6" xfId="0" applyNumberFormat="1" applyFont="1" applyFill="1" applyBorder="1" applyAlignment="1">
      <alignment vertical="center" wrapText="1"/>
    </xf>
    <xf numFmtId="3" fontId="53" fillId="28" borderId="38" xfId="0" applyNumberFormat="1" applyFont="1" applyFill="1" applyBorder="1" applyAlignment="1">
      <alignment vertical="center" wrapText="1"/>
    </xf>
    <xf numFmtId="3" fontId="53" fillId="28" borderId="6" xfId="1287" applyNumberFormat="1" applyFont="1" applyFill="1" applyBorder="1" applyAlignment="1">
      <alignment horizontal="right" vertical="center"/>
    </xf>
    <xf numFmtId="3" fontId="53" fillId="28" borderId="38" xfId="1287" applyNumberFormat="1" applyFont="1" applyFill="1" applyBorder="1" applyAlignment="1">
      <alignment horizontal="right" vertical="center"/>
    </xf>
    <xf numFmtId="0" fontId="72" fillId="28" borderId="6" xfId="0" applyFont="1" applyFill="1" applyBorder="1" applyAlignment="1">
      <alignment horizontal="left" vertical="center" wrapText="1"/>
    </xf>
    <xf numFmtId="0" fontId="73" fillId="28" borderId="24" xfId="0" applyFont="1" applyFill="1" applyBorder="1" applyAlignment="1">
      <alignment horizontal="left" vertical="center" wrapText="1"/>
    </xf>
    <xf numFmtId="3" fontId="73" fillId="28" borderId="24" xfId="0" applyNumberFormat="1" applyFont="1" applyFill="1" applyBorder="1" applyAlignment="1">
      <alignment vertical="center"/>
    </xf>
    <xf numFmtId="0" fontId="74" fillId="28" borderId="28" xfId="0" applyFont="1" applyFill="1" applyBorder="1" applyAlignment="1">
      <alignment horizontal="left" vertical="center" wrapText="1"/>
    </xf>
    <xf numFmtId="3" fontId="53" fillId="28" borderId="28" xfId="0" applyNumberFormat="1" applyFont="1" applyFill="1" applyBorder="1" applyAlignment="1">
      <alignment vertical="center"/>
    </xf>
    <xf numFmtId="0" fontId="74" fillId="28" borderId="44" xfId="0" applyFont="1" applyFill="1" applyBorder="1" applyAlignment="1">
      <alignment horizontal="left" vertical="center" wrapText="1"/>
    </xf>
    <xf numFmtId="0" fontId="60" fillId="15" borderId="52" xfId="1283" applyFont="1" applyFill="1" applyBorder="1" applyAlignment="1">
      <alignment horizontal="left" vertical="center" wrapText="1"/>
    </xf>
    <xf numFmtId="4" fontId="77" fillId="15" borderId="44" xfId="1284" applyNumberFormat="1" applyFont="1" applyFill="1" applyBorder="1" applyAlignment="1">
      <alignment horizontal="right" vertical="center" wrapText="1"/>
    </xf>
    <xf numFmtId="0" fontId="60" fillId="15" borderId="28" xfId="1283" applyFont="1" applyFill="1" applyBorder="1" applyAlignment="1">
      <alignment horizontal="left" vertical="center" wrapText="1"/>
    </xf>
    <xf numFmtId="4" fontId="62" fillId="5" borderId="24" xfId="0" applyNumberFormat="1" applyFont="1" applyFill="1" applyBorder="1" applyAlignment="1">
      <alignment horizontal="right" vertical="center" wrapText="1"/>
    </xf>
    <xf numFmtId="2" fontId="60" fillId="5" borderId="50" xfId="1286" applyNumberFormat="1" applyFont="1" applyFill="1" applyBorder="1" applyAlignment="1">
      <alignment horizontal="left" vertical="center" wrapText="1"/>
    </xf>
    <xf numFmtId="0" fontId="60" fillId="5" borderId="50" xfId="1283" applyFont="1" applyFill="1" applyBorder="1" applyAlignment="1">
      <alignment horizontal="left" vertical="center" wrapText="1"/>
    </xf>
    <xf numFmtId="4" fontId="62" fillId="5" borderId="15" xfId="0" applyNumberFormat="1" applyFont="1" applyFill="1" applyBorder="1" applyAlignment="1">
      <alignment horizontal="right" vertical="center" wrapText="1"/>
    </xf>
    <xf numFmtId="4" fontId="53" fillId="5" borderId="24" xfId="0" applyNumberFormat="1" applyFont="1" applyFill="1" applyBorder="1" applyAlignment="1">
      <alignment horizontal="right" vertical="center" wrapText="1"/>
    </xf>
    <xf numFmtId="4" fontId="60" fillId="5" borderId="28" xfId="1286" applyNumberFormat="1" applyFont="1" applyFill="1" applyBorder="1" applyAlignment="1">
      <alignment horizontal="left" vertical="center" wrapText="1"/>
    </xf>
    <xf numFmtId="4" fontId="53" fillId="5" borderId="25" xfId="0" applyNumberFormat="1" applyFont="1" applyFill="1" applyBorder="1" applyAlignment="1">
      <alignment horizontal="right" vertical="center" wrapText="1"/>
    </xf>
    <xf numFmtId="4" fontId="62" fillId="5" borderId="38" xfId="0" applyNumberFormat="1" applyFont="1" applyFill="1" applyBorder="1" applyAlignment="1">
      <alignment horizontal="right" vertical="center" wrapText="1"/>
    </xf>
    <xf numFmtId="0" fontId="53" fillId="26" borderId="62" xfId="354" applyFont="1" applyFill="1" applyBorder="1" applyAlignment="1" applyProtection="1">
      <alignment horizontal="left" vertical="center" wrapText="1"/>
    </xf>
    <xf numFmtId="4" fontId="62" fillId="26" borderId="28" xfId="0" applyNumberFormat="1" applyFont="1" applyFill="1" applyBorder="1" applyAlignment="1">
      <alignment horizontal="right" vertical="center" wrapText="1"/>
    </xf>
    <xf numFmtId="0" fontId="60" fillId="26" borderId="44" xfId="1283" applyFont="1" applyFill="1" applyBorder="1" applyAlignment="1">
      <alignment horizontal="left" vertical="center" wrapText="1"/>
    </xf>
    <xf numFmtId="4" fontId="62" fillId="26" borderId="44" xfId="0" applyNumberFormat="1" applyFont="1" applyFill="1" applyBorder="1" applyAlignment="1">
      <alignment horizontal="right" vertical="center" wrapText="1"/>
    </xf>
    <xf numFmtId="4" fontId="88" fillId="0" borderId="40" xfId="0" applyNumberFormat="1" applyFont="1" applyFill="1" applyBorder="1" applyAlignment="1">
      <alignment vertical="center"/>
    </xf>
    <xf numFmtId="4" fontId="88" fillId="0" borderId="32" xfId="0" applyNumberFormat="1" applyFont="1" applyFill="1" applyBorder="1" applyAlignment="1">
      <alignment vertical="center"/>
    </xf>
    <xf numFmtId="0" fontId="27" fillId="0" borderId="28" xfId="0" applyFont="1" applyBorder="1"/>
    <xf numFmtId="166" fontId="27" fillId="0" borderId="28" xfId="0" applyNumberFormat="1" applyFont="1" applyBorder="1"/>
    <xf numFmtId="166" fontId="87" fillId="0" borderId="28" xfId="0" applyNumberFormat="1" applyFont="1" applyBorder="1"/>
    <xf numFmtId="166" fontId="87" fillId="0" borderId="28" xfId="0" applyNumberFormat="1" applyFont="1" applyFill="1" applyBorder="1"/>
    <xf numFmtId="0" fontId="41" fillId="16" borderId="26" xfId="210" applyFont="1" applyFill="1" applyBorder="1" applyAlignment="1">
      <alignment vertical="center" wrapText="1"/>
    </xf>
    <xf numFmtId="0" fontId="41" fillId="16" borderId="27" xfId="210" applyFont="1" applyFill="1" applyBorder="1" applyAlignment="1">
      <alignment vertical="center" wrapText="1"/>
    </xf>
    <xf numFmtId="0" fontId="41" fillId="21" borderId="70" xfId="210" applyFont="1" applyFill="1" applyBorder="1" applyAlignment="1">
      <alignment horizontal="center" vertical="center" wrapText="1"/>
    </xf>
    <xf numFmtId="0" fontId="41" fillId="16" borderId="24" xfId="210" applyFont="1" applyFill="1" applyBorder="1"/>
    <xf numFmtId="0" fontId="43" fillId="5" borderId="28" xfId="210" applyFont="1" applyFill="1" applyBorder="1" applyAlignment="1">
      <alignment horizontal="center" vertical="center" wrapText="1"/>
    </xf>
    <xf numFmtId="0" fontId="89" fillId="5" borderId="28" xfId="210" applyFont="1" applyFill="1" applyBorder="1" applyAlignment="1">
      <alignment horizontal="center" vertical="center" wrapText="1"/>
    </xf>
    <xf numFmtId="9" fontId="43" fillId="5" borderId="28" xfId="210" applyNumberFormat="1" applyFont="1" applyFill="1" applyBorder="1" applyAlignment="1">
      <alignment horizontal="center" vertical="center" wrapText="1"/>
    </xf>
    <xf numFmtId="0" fontId="41" fillId="16" borderId="23" xfId="210" applyFont="1" applyFill="1" applyBorder="1" applyAlignment="1">
      <alignment vertical="center" wrapText="1"/>
    </xf>
    <xf numFmtId="0" fontId="39" fillId="0" borderId="70" xfId="210" applyFont="1" applyBorder="1" applyAlignment="1">
      <alignment horizontal="center" vertical="center"/>
    </xf>
    <xf numFmtId="0" fontId="40" fillId="0" borderId="70" xfId="210" applyFont="1" applyBorder="1" applyAlignment="1">
      <alignment horizontal="center" vertical="center" wrapText="1"/>
    </xf>
    <xf numFmtId="0" fontId="40" fillId="0" borderId="71" xfId="210" applyFont="1" applyBorder="1" applyAlignment="1">
      <alignment horizontal="center" vertical="center" wrapText="1"/>
    </xf>
    <xf numFmtId="0" fontId="40" fillId="0" borderId="72" xfId="210" applyFont="1" applyBorder="1" applyAlignment="1">
      <alignment horizontal="center" vertical="center" wrapText="1"/>
    </xf>
    <xf numFmtId="166" fontId="39" fillId="0" borderId="0" xfId="1212" applyFont="1"/>
    <xf numFmtId="166" fontId="41" fillId="21" borderId="20" xfId="1212" applyFont="1" applyFill="1" applyBorder="1" applyAlignment="1">
      <alignment horizontal="center" vertical="center" wrapText="1"/>
    </xf>
    <xf numFmtId="166" fontId="43" fillId="5" borderId="28" xfId="1212" applyFont="1" applyFill="1" applyBorder="1" applyAlignment="1">
      <alignment horizontal="center" vertical="center" wrapText="1"/>
    </xf>
    <xf numFmtId="166" fontId="41" fillId="16" borderId="24" xfId="1212" applyFont="1" applyFill="1" applyBorder="1"/>
    <xf numFmtId="166" fontId="41" fillId="16" borderId="19" xfId="1212" applyFont="1" applyFill="1" applyBorder="1"/>
    <xf numFmtId="166" fontId="41" fillId="16" borderId="22" xfId="1212" applyFont="1" applyFill="1" applyBorder="1"/>
    <xf numFmtId="166" fontId="41" fillId="16" borderId="28" xfId="1212" applyFont="1" applyFill="1" applyBorder="1"/>
    <xf numFmtId="166" fontId="39" fillId="14" borderId="19" xfId="1212" applyFont="1" applyFill="1" applyBorder="1"/>
    <xf numFmtId="166" fontId="39" fillId="14" borderId="28" xfId="1212" applyFont="1" applyFill="1" applyBorder="1"/>
    <xf numFmtId="166" fontId="45" fillId="17" borderId="19" xfId="1212" applyFont="1" applyFill="1" applyBorder="1"/>
    <xf numFmtId="166" fontId="45" fillId="17" borderId="28" xfId="1212" applyFont="1" applyFill="1" applyBorder="1"/>
    <xf numFmtId="166" fontId="44" fillId="18" borderId="19" xfId="1212" applyFont="1" applyFill="1" applyBorder="1"/>
    <xf numFmtId="166" fontId="44" fillId="18" borderId="28" xfId="1212" applyFont="1" applyFill="1" applyBorder="1"/>
    <xf numFmtId="166" fontId="39" fillId="19" borderId="19" xfId="1212" applyFont="1" applyFill="1" applyBorder="1"/>
    <xf numFmtId="166" fontId="39" fillId="19" borderId="28" xfId="1212" applyFont="1" applyFill="1" applyBorder="1"/>
    <xf numFmtId="166" fontId="39" fillId="20" borderId="19" xfId="1212" applyFont="1" applyFill="1" applyBorder="1"/>
    <xf numFmtId="166" fontId="39" fillId="20" borderId="28" xfId="1212" applyFont="1" applyFill="1" applyBorder="1"/>
    <xf numFmtId="166" fontId="39" fillId="15" borderId="19" xfId="1212" applyFont="1" applyFill="1" applyBorder="1"/>
    <xf numFmtId="166" fontId="39" fillId="15" borderId="28" xfId="1212" applyFont="1" applyFill="1" applyBorder="1"/>
    <xf numFmtId="0" fontId="66" fillId="0" borderId="67" xfId="0" applyFont="1" applyBorder="1" applyAlignment="1">
      <alignment horizontal="center"/>
    </xf>
    <xf numFmtId="0" fontId="66" fillId="0" borderId="0" xfId="0" applyFont="1" applyBorder="1" applyAlignment="1">
      <alignment horizontal="center"/>
    </xf>
    <xf numFmtId="0" fontId="66" fillId="8" borderId="71" xfId="0" applyFont="1" applyFill="1" applyBorder="1" applyAlignment="1">
      <alignment horizontal="center" wrapText="1"/>
    </xf>
    <xf numFmtId="0" fontId="66" fillId="0" borderId="5" xfId="0" applyFont="1" applyBorder="1"/>
    <xf numFmtId="0" fontId="66" fillId="0" borderId="6" xfId="0" applyFont="1" applyBorder="1" applyAlignment="1">
      <alignment horizontal="center"/>
    </xf>
    <xf numFmtId="9" fontId="66" fillId="0" borderId="6" xfId="0" applyNumberFormat="1" applyFont="1" applyBorder="1" applyAlignment="1">
      <alignment horizontal="center"/>
    </xf>
    <xf numFmtId="0" fontId="66" fillId="0" borderId="6" xfId="0" applyFont="1" applyBorder="1" applyAlignment="1">
      <alignment horizontal="center" wrapText="1"/>
    </xf>
    <xf numFmtId="0" fontId="66" fillId="0" borderId="7" xfId="0" applyFont="1" applyBorder="1" applyAlignment="1">
      <alignment horizontal="center" wrapText="1"/>
    </xf>
    <xf numFmtId="0" fontId="66" fillId="0" borderId="5" xfId="0" applyFont="1" applyBorder="1" applyAlignment="1">
      <alignment horizontal="center" wrapText="1"/>
    </xf>
    <xf numFmtId="0" fontId="66" fillId="0" borderId="33" xfId="0" applyFont="1" applyBorder="1" applyAlignment="1">
      <alignment horizontal="center" wrapText="1"/>
    </xf>
    <xf numFmtId="0" fontId="66" fillId="0" borderId="8" xfId="0" applyFont="1" applyBorder="1" applyAlignment="1">
      <alignment wrapText="1"/>
    </xf>
    <xf numFmtId="0" fontId="66" fillId="0" borderId="20" xfId="0" applyFont="1" applyBorder="1" applyAlignment="1">
      <alignment wrapText="1"/>
    </xf>
    <xf numFmtId="0" fontId="66" fillId="11" borderId="34" xfId="0" applyFont="1" applyFill="1" applyBorder="1" applyAlignment="1">
      <alignment horizontal="center" wrapText="1"/>
    </xf>
    <xf numFmtId="9" fontId="53" fillId="11" borderId="28" xfId="0" applyNumberFormat="1" applyFont="1" applyFill="1" applyBorder="1"/>
    <xf numFmtId="0" fontId="53" fillId="11" borderId="28" xfId="0" applyFont="1" applyFill="1" applyBorder="1"/>
    <xf numFmtId="9" fontId="53" fillId="11" borderId="28" xfId="262" applyFont="1" applyFill="1" applyBorder="1" applyAlignment="1">
      <alignment horizontal="center"/>
    </xf>
    <xf numFmtId="9" fontId="53" fillId="11" borderId="73" xfId="262" applyFont="1" applyFill="1" applyBorder="1" applyAlignment="1">
      <alignment horizontal="center"/>
    </xf>
    <xf numFmtId="9" fontId="53" fillId="11" borderId="34" xfId="262" applyFont="1" applyFill="1" applyBorder="1" applyAlignment="1">
      <alignment horizontal="center"/>
    </xf>
    <xf numFmtId="9" fontId="53" fillId="11" borderId="35" xfId="262" applyFont="1" applyFill="1" applyBorder="1" applyAlignment="1">
      <alignment horizontal="center"/>
    </xf>
    <xf numFmtId="9" fontId="66" fillId="0" borderId="36" xfId="0" applyNumberFormat="1" applyFont="1" applyBorder="1" applyAlignment="1">
      <alignment horizontal="center"/>
    </xf>
    <xf numFmtId="0" fontId="53" fillId="0" borderId="34" xfId="0" applyFont="1" applyBorder="1" applyAlignment="1">
      <alignment wrapText="1"/>
    </xf>
    <xf numFmtId="193" fontId="69" fillId="8" borderId="28" xfId="126" applyNumberFormat="1" applyFont="1" applyFill="1" applyBorder="1"/>
    <xf numFmtId="167" fontId="53" fillId="0" borderId="28" xfId="126" applyFont="1" applyFill="1" applyBorder="1"/>
    <xf numFmtId="167" fontId="53" fillId="29" borderId="28" xfId="126" applyFont="1" applyFill="1" applyBorder="1"/>
    <xf numFmtId="167" fontId="53" fillId="29" borderId="73" xfId="126" applyFont="1" applyFill="1" applyBorder="1"/>
    <xf numFmtId="167" fontId="53" fillId="29" borderId="34" xfId="126" applyFont="1" applyFill="1" applyBorder="1"/>
    <xf numFmtId="167" fontId="53" fillId="30" borderId="35" xfId="126" applyFont="1" applyFill="1" applyBorder="1"/>
    <xf numFmtId="167" fontId="90" fillId="30" borderId="36" xfId="0" applyNumberFormat="1" applyFont="1" applyFill="1" applyBorder="1"/>
    <xf numFmtId="0" fontId="90" fillId="30" borderId="36" xfId="0" applyFont="1" applyFill="1" applyBorder="1"/>
    <xf numFmtId="193" fontId="53" fillId="19" borderId="28" xfId="126" applyNumberFormat="1" applyFont="1" applyFill="1" applyBorder="1"/>
    <xf numFmtId="167" fontId="53" fillId="0" borderId="73" xfId="126" applyFont="1" applyFill="1" applyBorder="1"/>
    <xf numFmtId="167" fontId="69" fillId="8" borderId="28" xfId="126" applyFont="1" applyFill="1" applyBorder="1"/>
    <xf numFmtId="167" fontId="53" fillId="30" borderId="36" xfId="0" applyNumberFormat="1" applyFont="1" applyFill="1" applyBorder="1"/>
    <xf numFmtId="0" fontId="66" fillId="0" borderId="34" xfId="0" applyFont="1" applyBorder="1" applyAlignment="1">
      <alignment horizontal="center" wrapText="1"/>
    </xf>
    <xf numFmtId="167" fontId="53" fillId="0" borderId="28" xfId="126" applyFont="1" applyBorder="1"/>
    <xf numFmtId="167" fontId="53" fillId="29" borderId="28" xfId="126" applyFont="1" applyFill="1" applyBorder="1" applyAlignment="1">
      <alignment horizontal="center"/>
    </xf>
    <xf numFmtId="167" fontId="53" fillId="29" borderId="73" xfId="126" applyFont="1" applyFill="1" applyBorder="1" applyAlignment="1">
      <alignment horizontal="center"/>
    </xf>
    <xf numFmtId="167" fontId="53" fillId="29" borderId="34" xfId="126" applyFont="1" applyFill="1" applyBorder="1" applyAlignment="1">
      <alignment horizontal="center"/>
    </xf>
    <xf numFmtId="167" fontId="53" fillId="30" borderId="35" xfId="126" applyFont="1" applyFill="1" applyBorder="1" applyAlignment="1">
      <alignment horizontal="center"/>
    </xf>
    <xf numFmtId="0" fontId="53" fillId="0" borderId="28" xfId="0" applyFont="1" applyBorder="1"/>
    <xf numFmtId="0" fontId="53" fillId="29" borderId="28" xfId="0" applyFont="1" applyFill="1" applyBorder="1"/>
    <xf numFmtId="0" fontId="53" fillId="29" borderId="73" xfId="0" applyFont="1" applyFill="1" applyBorder="1"/>
    <xf numFmtId="0" fontId="53" fillId="29" borderId="34" xfId="0" applyFont="1" applyFill="1" applyBorder="1"/>
    <xf numFmtId="0" fontId="53" fillId="30" borderId="35" xfId="0" applyFont="1" applyFill="1" applyBorder="1"/>
    <xf numFmtId="0" fontId="66" fillId="0" borderId="37" xfId="0" applyFont="1" applyBorder="1" applyAlignment="1">
      <alignment wrapText="1"/>
    </xf>
    <xf numFmtId="193" fontId="66" fillId="0" borderId="38" xfId="0" applyNumberFormat="1" applyFont="1" applyBorder="1"/>
    <xf numFmtId="167" fontId="53" fillId="0" borderId="38" xfId="0" applyNumberFormat="1" applyFont="1" applyBorder="1"/>
    <xf numFmtId="167" fontId="53" fillId="0" borderId="74" xfId="0" applyNumberFormat="1" applyFont="1" applyBorder="1"/>
    <xf numFmtId="167" fontId="53" fillId="0" borderId="37" xfId="0" applyNumberFormat="1" applyFont="1" applyBorder="1"/>
    <xf numFmtId="167" fontId="53" fillId="0" borderId="39" xfId="0" applyNumberFormat="1" applyFont="1" applyBorder="1"/>
    <xf numFmtId="0" fontId="66" fillId="0" borderId="70" xfId="0" applyFont="1" applyBorder="1" applyAlignment="1">
      <alignment horizontal="center"/>
    </xf>
    <xf numFmtId="0" fontId="90" fillId="0" borderId="72" xfId="0" applyFont="1" applyBorder="1"/>
    <xf numFmtId="0" fontId="90" fillId="0" borderId="20" xfId="0" applyFont="1" applyBorder="1"/>
    <xf numFmtId="0" fontId="66" fillId="0" borderId="75" xfId="0" applyFont="1" applyBorder="1" applyAlignment="1">
      <alignment horizontal="center"/>
    </xf>
    <xf numFmtId="0" fontId="90" fillId="0" borderId="17" xfId="0" applyFont="1" applyBorder="1"/>
    <xf numFmtId="0" fontId="90" fillId="0" borderId="76" xfId="0" applyFont="1" applyBorder="1"/>
    <xf numFmtId="193" fontId="53" fillId="8" borderId="28" xfId="126" applyNumberFormat="1" applyFont="1" applyFill="1" applyBorder="1"/>
    <xf numFmtId="0" fontId="66" fillId="8" borderId="70" xfId="0" applyFont="1" applyFill="1" applyBorder="1" applyAlignment="1">
      <alignment wrapText="1"/>
    </xf>
    <xf numFmtId="0" fontId="66" fillId="8" borderId="71" xfId="0" applyFont="1" applyFill="1" applyBorder="1" applyAlignment="1">
      <alignment wrapText="1"/>
    </xf>
    <xf numFmtId="0" fontId="66" fillId="8" borderId="72" xfId="0" applyFont="1" applyFill="1" applyBorder="1" applyAlignment="1">
      <alignment wrapText="1"/>
    </xf>
    <xf numFmtId="0" fontId="66" fillId="8" borderId="9" xfId="0" applyFont="1" applyFill="1" applyBorder="1" applyAlignment="1">
      <alignment wrapText="1"/>
    </xf>
    <xf numFmtId="0" fontId="0" fillId="0" borderId="11" xfId="0" applyBorder="1" applyAlignment="1">
      <alignment wrapText="1"/>
    </xf>
    <xf numFmtId="0" fontId="66" fillId="8" borderId="71" xfId="0" applyFont="1" applyFill="1" applyBorder="1" applyAlignment="1"/>
    <xf numFmtId="0" fontId="39" fillId="0" borderId="0" xfId="210" applyFont="1" applyAlignment="1">
      <alignment horizontal="center" wrapText="1"/>
    </xf>
    <xf numFmtId="0" fontId="41" fillId="16" borderId="19" xfId="210" applyFont="1" applyFill="1" applyBorder="1" applyAlignment="1">
      <alignment horizontal="left" vertical="center" wrapText="1"/>
    </xf>
    <xf numFmtId="0" fontId="39" fillId="14" borderId="28" xfId="210" applyFont="1" applyFill="1" applyBorder="1" applyAlignment="1">
      <alignment horizontal="center" vertical="center" wrapText="1"/>
    </xf>
    <xf numFmtId="0" fontId="39" fillId="14" borderId="28" xfId="210" applyFont="1" applyFill="1" applyBorder="1"/>
    <xf numFmtId="0" fontId="45" fillId="17" borderId="28" xfId="210" applyFont="1" applyFill="1" applyBorder="1" applyAlignment="1">
      <alignment horizontal="center" vertical="center" wrapText="1"/>
    </xf>
    <xf numFmtId="0" fontId="45" fillId="17" borderId="28" xfId="210" applyFont="1" applyFill="1" applyBorder="1"/>
    <xf numFmtId="0" fontId="42" fillId="14" borderId="43" xfId="210" applyFont="1" applyFill="1" applyBorder="1" applyAlignment="1">
      <alignment vertical="center" wrapText="1"/>
    </xf>
    <xf numFmtId="0" fontId="44" fillId="18" borderId="28" xfId="210" applyFont="1" applyFill="1" applyBorder="1" applyAlignment="1">
      <alignment horizontal="center" vertical="center" wrapText="1"/>
    </xf>
    <xf numFmtId="0" fontId="44" fillId="18" borderId="28" xfId="210" applyFont="1" applyFill="1" applyBorder="1"/>
    <xf numFmtId="0" fontId="43" fillId="18" borderId="13" xfId="210" applyFont="1" applyFill="1" applyBorder="1" applyAlignment="1">
      <alignment vertical="center" wrapText="1"/>
    </xf>
    <xf numFmtId="0" fontId="41" fillId="19" borderId="13" xfId="210" applyFont="1" applyFill="1" applyBorder="1" applyAlignment="1">
      <alignment vertical="center" wrapText="1"/>
    </xf>
    <xf numFmtId="0" fontId="41" fillId="20" borderId="13" xfId="210" applyFont="1" applyFill="1" applyBorder="1" applyAlignment="1">
      <alignment vertical="center" wrapText="1"/>
    </xf>
    <xf numFmtId="0" fontId="42" fillId="15" borderId="13" xfId="210" applyFont="1" applyFill="1" applyBorder="1" applyAlignment="1">
      <alignment vertical="center" wrapText="1"/>
    </xf>
    <xf numFmtId="0" fontId="43" fillId="5" borderId="0" xfId="210" applyFont="1" applyFill="1" applyAlignment="1">
      <alignment vertical="center"/>
    </xf>
    <xf numFmtId="0" fontId="89" fillId="5" borderId="0" xfId="210" applyFont="1" applyFill="1" applyAlignment="1">
      <alignment vertical="center"/>
    </xf>
    <xf numFmtId="0" fontId="91" fillId="5" borderId="28" xfId="210" applyFont="1" applyFill="1" applyBorder="1" applyAlignment="1">
      <alignment horizontal="center" vertical="center" wrapText="1"/>
    </xf>
    <xf numFmtId="0" fontId="92" fillId="5" borderId="28" xfId="210" applyFont="1" applyFill="1" applyBorder="1" applyAlignment="1">
      <alignment horizontal="center" vertical="center" wrapText="1"/>
    </xf>
    <xf numFmtId="0" fontId="91" fillId="5" borderId="0" xfId="210" applyFont="1" applyFill="1" applyAlignment="1">
      <alignment vertical="center"/>
    </xf>
    <xf numFmtId="0" fontId="92" fillId="5" borderId="0" xfId="210" applyFont="1" applyFill="1" applyAlignment="1">
      <alignment vertical="center"/>
    </xf>
    <xf numFmtId="0" fontId="91" fillId="32" borderId="28" xfId="210" applyFont="1" applyFill="1" applyBorder="1" applyAlignment="1">
      <alignment horizontal="center" vertical="center" wrapText="1"/>
    </xf>
    <xf numFmtId="9" fontId="91" fillId="32" borderId="28" xfId="210" applyNumberFormat="1" applyFont="1" applyFill="1" applyBorder="1" applyAlignment="1">
      <alignment horizontal="center" vertical="center" wrapText="1"/>
    </xf>
    <xf numFmtId="166" fontId="91" fillId="32" borderId="28" xfId="1212" applyFont="1" applyFill="1" applyBorder="1" applyAlignment="1">
      <alignment horizontal="center" vertical="center" wrapText="1"/>
    </xf>
    <xf numFmtId="0" fontId="43" fillId="33" borderId="28" xfId="210" applyFont="1" applyFill="1" applyBorder="1" applyAlignment="1">
      <alignment horizontal="center" vertical="center" wrapText="1"/>
    </xf>
    <xf numFmtId="166" fontId="43" fillId="33" borderId="28" xfId="1212" applyFont="1" applyFill="1" applyBorder="1" applyAlignment="1">
      <alignment horizontal="center" vertical="center" wrapText="1"/>
    </xf>
    <xf numFmtId="0" fontId="43" fillId="33" borderId="27" xfId="210" applyFont="1" applyFill="1" applyBorder="1" applyAlignment="1">
      <alignment vertical="center" wrapText="1"/>
    </xf>
    <xf numFmtId="0" fontId="43" fillId="33" borderId="24" xfId="210" applyFont="1" applyFill="1" applyBorder="1" applyAlignment="1">
      <alignment horizontal="center" vertical="center" wrapText="1"/>
    </xf>
    <xf numFmtId="0" fontId="43" fillId="33" borderId="28" xfId="210" applyFont="1" applyFill="1" applyBorder="1" applyAlignment="1">
      <alignment vertical="center"/>
    </xf>
    <xf numFmtId="166" fontId="43" fillId="33" borderId="28" xfId="1212" applyFont="1" applyFill="1" applyBorder="1" applyAlignment="1">
      <alignment vertical="center"/>
    </xf>
    <xf numFmtId="198" fontId="43" fillId="33" borderId="28" xfId="1212" applyNumberFormat="1" applyFont="1" applyFill="1" applyBorder="1" applyAlignment="1">
      <alignment vertical="center"/>
    </xf>
    <xf numFmtId="0" fontId="91" fillId="32" borderId="27" xfId="210" applyFont="1" applyFill="1" applyBorder="1" applyAlignment="1">
      <alignment vertical="center" wrapText="1"/>
    </xf>
    <xf numFmtId="0" fontId="91" fillId="32" borderId="24" xfId="210" applyFont="1" applyFill="1" applyBorder="1" applyAlignment="1">
      <alignment horizontal="center" vertical="center" wrapText="1"/>
    </xf>
    <xf numFmtId="0" fontId="91" fillId="32" borderId="28" xfId="210" applyFont="1" applyFill="1" applyBorder="1" applyAlignment="1">
      <alignment vertical="center"/>
    </xf>
    <xf numFmtId="166" fontId="91" fillId="32" borderId="28" xfId="1212" applyFont="1" applyFill="1" applyBorder="1" applyAlignment="1">
      <alignment vertical="center"/>
    </xf>
    <xf numFmtId="0" fontId="91" fillId="32" borderId="0" xfId="210" applyFont="1" applyFill="1" applyAlignment="1">
      <alignment vertical="center"/>
    </xf>
    <xf numFmtId="0" fontId="92" fillId="32" borderId="0" xfId="210" applyFont="1" applyFill="1" applyAlignment="1">
      <alignment vertical="center"/>
    </xf>
    <xf numFmtId="0" fontId="43" fillId="32" borderId="27" xfId="210" applyFont="1" applyFill="1" applyBorder="1" applyAlignment="1">
      <alignment vertical="center" wrapText="1"/>
    </xf>
    <xf numFmtId="0" fontId="43" fillId="32" borderId="24" xfId="210" applyFont="1" applyFill="1" applyBorder="1" applyAlignment="1">
      <alignment horizontal="center" vertical="center" wrapText="1"/>
    </xf>
    <xf numFmtId="0" fontId="43" fillId="32" borderId="28" xfId="210" applyFont="1" applyFill="1" applyBorder="1" applyAlignment="1">
      <alignment horizontal="center" vertical="center" wrapText="1"/>
    </xf>
    <xf numFmtId="0" fontId="43" fillId="32" borderId="28" xfId="210" applyFont="1" applyFill="1" applyBorder="1" applyAlignment="1">
      <alignment vertical="center"/>
    </xf>
    <xf numFmtId="166" fontId="43" fillId="32" borderId="28" xfId="1212" applyFont="1" applyFill="1" applyBorder="1" applyAlignment="1">
      <alignment vertical="center"/>
    </xf>
    <xf numFmtId="0" fontId="43" fillId="32" borderId="0" xfId="210" applyFont="1" applyFill="1" applyAlignment="1">
      <alignment vertical="center"/>
    </xf>
    <xf numFmtId="0" fontId="89" fillId="32" borderId="0" xfId="210" applyFont="1" applyFill="1" applyAlignment="1">
      <alignment vertical="center"/>
    </xf>
    <xf numFmtId="167" fontId="53" fillId="5" borderId="38" xfId="0" applyNumberFormat="1" applyFont="1" applyFill="1" applyBorder="1"/>
    <xf numFmtId="199" fontId="43" fillId="33" borderId="28" xfId="1212" applyNumberFormat="1" applyFont="1" applyFill="1" applyBorder="1" applyAlignment="1">
      <alignment vertical="center"/>
    </xf>
    <xf numFmtId="0" fontId="39" fillId="15" borderId="44" xfId="210" applyFont="1" applyFill="1" applyBorder="1" applyAlignment="1">
      <alignment vertical="center" wrapText="1"/>
    </xf>
    <xf numFmtId="0" fontId="89" fillId="33" borderId="28" xfId="210" applyFont="1" applyFill="1" applyBorder="1" applyAlignment="1">
      <alignment horizontal="center" vertical="center" wrapText="1"/>
    </xf>
    <xf numFmtId="166" fontId="91" fillId="33" borderId="28" xfId="1212" applyFont="1" applyFill="1" applyBorder="1" applyAlignment="1">
      <alignment horizontal="center" vertical="center" wrapText="1"/>
    </xf>
    <xf numFmtId="44" fontId="43" fillId="5" borderId="28" xfId="210" applyNumberFormat="1" applyFont="1" applyFill="1" applyBorder="1" applyAlignment="1">
      <alignment horizontal="center" vertical="center" wrapText="1"/>
    </xf>
    <xf numFmtId="4" fontId="54" fillId="26" borderId="41" xfId="1284" applyNumberFormat="1" applyFont="1" applyFill="1" applyBorder="1" applyAlignment="1">
      <alignment horizontal="right" vertical="center" wrapText="1"/>
    </xf>
    <xf numFmtId="166" fontId="28" fillId="0" borderId="28" xfId="1212" applyFont="1" applyBorder="1"/>
    <xf numFmtId="166" fontId="28" fillId="0" borderId="28" xfId="0" applyNumberFormat="1" applyFont="1" applyBorder="1"/>
    <xf numFmtId="166" fontId="0" fillId="0" borderId="28" xfId="1212" applyFont="1" applyBorder="1"/>
    <xf numFmtId="0" fontId="30" fillId="0" borderId="12" xfId="0" applyFont="1" applyBorder="1" applyAlignment="1">
      <alignment horizontal="right" vertical="center"/>
    </xf>
    <xf numFmtId="166" fontId="87" fillId="0" borderId="12" xfId="0" applyNumberFormat="1" applyFont="1" applyBorder="1" applyAlignment="1">
      <alignment horizontal="right" vertical="center"/>
    </xf>
    <xf numFmtId="166" fontId="27" fillId="0" borderId="12" xfId="0" applyNumberFormat="1" applyFont="1" applyBorder="1" applyAlignment="1">
      <alignment horizontal="right" vertical="center"/>
    </xf>
    <xf numFmtId="0" fontId="27" fillId="0" borderId="0" xfId="0" applyFont="1" applyAlignment="1">
      <alignment horizontal="right"/>
    </xf>
    <xf numFmtId="166" fontId="27" fillId="0" borderId="0" xfId="1212" applyFont="1" applyAlignment="1">
      <alignment horizontal="right"/>
    </xf>
    <xf numFmtId="44" fontId="27" fillId="0" borderId="0" xfId="0" applyNumberFormat="1" applyFont="1" applyAlignment="1">
      <alignment horizontal="right"/>
    </xf>
    <xf numFmtId="0" fontId="30" fillId="0" borderId="12" xfId="0" applyFont="1" applyBorder="1" applyAlignment="1">
      <alignment horizontal="center" vertical="center"/>
    </xf>
    <xf numFmtId="0" fontId="27" fillId="0" borderId="0" xfId="0" applyFont="1" applyAlignment="1">
      <alignment vertical="center"/>
    </xf>
    <xf numFmtId="166" fontId="27" fillId="0" borderId="0" xfId="1212" applyNumberFormat="1" applyFont="1" applyAlignment="1">
      <alignment vertical="center"/>
    </xf>
    <xf numFmtId="166" fontId="27" fillId="0" borderId="0" xfId="1212" applyFont="1" applyAlignment="1">
      <alignment vertical="center"/>
    </xf>
    <xf numFmtId="194" fontId="27" fillId="0" borderId="0" xfId="1205" applyNumberFormat="1" applyFont="1" applyAlignment="1">
      <alignment horizontal="center" vertical="center"/>
    </xf>
    <xf numFmtId="0" fontId="32" fillId="12" borderId="34" xfId="0" applyFont="1" applyFill="1" applyBorder="1" applyAlignment="1">
      <alignment wrapText="1"/>
    </xf>
    <xf numFmtId="166" fontId="0" fillId="0" borderId="35" xfId="0" applyNumberFormat="1" applyBorder="1"/>
    <xf numFmtId="0" fontId="32" fillId="12" borderId="21" xfId="0" applyFont="1" applyFill="1" applyBorder="1" applyAlignment="1">
      <alignment wrapText="1"/>
    </xf>
    <xf numFmtId="166" fontId="0" fillId="0" borderId="24" xfId="1212" applyFont="1" applyBorder="1"/>
    <xf numFmtId="166" fontId="0" fillId="0" borderId="41" xfId="0" applyNumberFormat="1" applyBorder="1"/>
    <xf numFmtId="0" fontId="38" fillId="13" borderId="29" xfId="0" applyFont="1" applyFill="1" applyBorder="1" applyAlignment="1">
      <alignment horizontal="center" wrapText="1"/>
    </xf>
    <xf numFmtId="1" fontId="38" fillId="13" borderId="30" xfId="1212" applyNumberFormat="1" applyFont="1" applyFill="1" applyBorder="1" applyAlignment="1">
      <alignment horizontal="center"/>
    </xf>
    <xf numFmtId="1" fontId="38" fillId="13" borderId="30" xfId="0" applyNumberFormat="1" applyFont="1" applyFill="1" applyBorder="1" applyAlignment="1">
      <alignment horizontal="center"/>
    </xf>
    <xf numFmtId="0" fontId="38" fillId="13" borderId="31" xfId="0" applyFont="1" applyFill="1" applyBorder="1" applyAlignment="1">
      <alignment horizontal="center"/>
    </xf>
    <xf numFmtId="0" fontId="32" fillId="12" borderId="43" xfId="0" applyFont="1" applyFill="1" applyBorder="1" applyAlignment="1">
      <alignment wrapText="1"/>
    </xf>
    <xf numFmtId="166" fontId="0" fillId="0" borderId="44" xfId="1212" applyFont="1" applyBorder="1"/>
    <xf numFmtId="166" fontId="0" fillId="0" borderId="46" xfId="0" applyNumberFormat="1" applyBorder="1"/>
    <xf numFmtId="0" fontId="38" fillId="13" borderId="29" xfId="0" applyFont="1" applyFill="1" applyBorder="1" applyAlignment="1">
      <alignment wrapText="1"/>
    </xf>
    <xf numFmtId="166" fontId="38" fillId="13" borderId="30" xfId="1212" applyFont="1" applyFill="1" applyBorder="1"/>
    <xf numFmtId="166" fontId="38" fillId="13" borderId="31" xfId="1212" applyFont="1" applyFill="1" applyBorder="1"/>
    <xf numFmtId="0" fontId="94" fillId="16" borderId="26" xfId="210" applyFont="1" applyFill="1" applyBorder="1" applyAlignment="1">
      <alignment vertical="center" wrapText="1"/>
    </xf>
    <xf numFmtId="0" fontId="94" fillId="16" borderId="23" xfId="210" applyFont="1" applyFill="1" applyBorder="1" applyAlignment="1">
      <alignment vertical="center" wrapText="1"/>
    </xf>
    <xf numFmtId="0" fontId="94" fillId="16" borderId="19" xfId="210" applyFont="1" applyFill="1" applyBorder="1"/>
    <xf numFmtId="166" fontId="94" fillId="16" borderId="19" xfId="1212" applyFont="1" applyFill="1" applyBorder="1"/>
    <xf numFmtId="166" fontId="94" fillId="16" borderId="28" xfId="1212" applyFont="1" applyFill="1" applyBorder="1"/>
    <xf numFmtId="0" fontId="95" fillId="0" borderId="0" xfId="210" applyFont="1"/>
    <xf numFmtId="0" fontId="96" fillId="0" borderId="0" xfId="210" applyFont="1"/>
    <xf numFmtId="0" fontId="95" fillId="14" borderId="22" xfId="210" applyFont="1" applyFill="1" applyBorder="1" applyAlignment="1">
      <alignment horizontal="center" vertical="center" wrapText="1"/>
    </xf>
    <xf numFmtId="0" fontId="44" fillId="18" borderId="22" xfId="210" applyFont="1" applyFill="1" applyBorder="1" applyAlignment="1">
      <alignment horizontal="left" vertical="center" wrapText="1"/>
    </xf>
    <xf numFmtId="10" fontId="27" fillId="0" borderId="0" xfId="1205" applyNumberFormat="1" applyFont="1" applyAlignment="1">
      <alignment vertical="center"/>
    </xf>
    <xf numFmtId="0" fontId="34" fillId="0" borderId="0" xfId="0" applyFont="1" applyBorder="1" applyAlignment="1">
      <alignment vertical="center"/>
    </xf>
    <xf numFmtId="166" fontId="34" fillId="0" borderId="0" xfId="1212" applyNumberFormat="1" applyFont="1" applyBorder="1" applyAlignment="1">
      <alignment vertical="center"/>
    </xf>
    <xf numFmtId="166" fontId="34" fillId="0" borderId="0" xfId="1212" applyFont="1" applyBorder="1" applyAlignment="1">
      <alignment vertical="center"/>
    </xf>
    <xf numFmtId="194" fontId="34" fillId="0" borderId="0" xfId="1205" applyNumberFormat="1" applyFont="1" applyBorder="1" applyAlignment="1">
      <alignment horizontal="center" vertical="center"/>
    </xf>
    <xf numFmtId="0" fontId="0" fillId="0" borderId="0" xfId="0" applyBorder="1" applyAlignment="1">
      <alignment wrapText="1"/>
    </xf>
    <xf numFmtId="166" fontId="0" fillId="0" borderId="0" xfId="1212" applyFont="1" applyBorder="1"/>
    <xf numFmtId="0" fontId="0" fillId="0" borderId="0" xfId="0" applyBorder="1"/>
    <xf numFmtId="44" fontId="0" fillId="0" borderId="0" xfId="0" applyNumberFormat="1" applyBorder="1"/>
    <xf numFmtId="0" fontId="27" fillId="0" borderId="0" xfId="0" applyFont="1" applyBorder="1" applyAlignment="1">
      <alignment wrapText="1"/>
    </xf>
    <xf numFmtId="44" fontId="27" fillId="0" borderId="0" xfId="0" applyNumberFormat="1" applyFont="1" applyBorder="1"/>
    <xf numFmtId="0" fontId="27" fillId="0" borderId="0" xfId="0" applyFont="1" applyBorder="1"/>
    <xf numFmtId="166" fontId="27" fillId="0" borderId="0" xfId="1212" applyFont="1" applyBorder="1"/>
    <xf numFmtId="0" fontId="98" fillId="0" borderId="0" xfId="210" applyFont="1" applyAlignment="1">
      <alignment vertical="center" wrapText="1"/>
    </xf>
    <xf numFmtId="0" fontId="99" fillId="0" borderId="0" xfId="210" applyFont="1" applyAlignment="1">
      <alignment horizontal="left" vertical="center" wrapText="1"/>
    </xf>
    <xf numFmtId="166" fontId="98" fillId="0" borderId="0" xfId="1212" applyFont="1" applyAlignment="1">
      <alignment horizontal="center" vertical="center"/>
    </xf>
    <xf numFmtId="166" fontId="98" fillId="0" borderId="0" xfId="1212" applyFont="1" applyAlignment="1">
      <alignment vertical="center"/>
    </xf>
    <xf numFmtId="0" fontId="98" fillId="0" borderId="0" xfId="210" applyFont="1" applyFill="1" applyAlignment="1">
      <alignment vertical="center"/>
    </xf>
    <xf numFmtId="0" fontId="98" fillId="0" borderId="70" xfId="210" applyFont="1" applyBorder="1" applyAlignment="1">
      <alignment horizontal="center" vertical="center"/>
    </xf>
    <xf numFmtId="0" fontId="98" fillId="0" borderId="75" xfId="210" applyFont="1" applyBorder="1" applyAlignment="1">
      <alignment horizontal="center" vertical="center"/>
    </xf>
    <xf numFmtId="0" fontId="98" fillId="0" borderId="0" xfId="210" applyFont="1" applyBorder="1" applyAlignment="1">
      <alignment horizontal="center" vertical="center"/>
    </xf>
    <xf numFmtId="166" fontId="100" fillId="0" borderId="0" xfId="1212" applyFont="1" applyBorder="1" applyAlignment="1">
      <alignment horizontal="center" vertical="center" wrapText="1"/>
    </xf>
    <xf numFmtId="1" fontId="99" fillId="0" borderId="0" xfId="1212" applyNumberFormat="1" applyFont="1" applyBorder="1" applyAlignment="1">
      <alignment horizontal="center" vertical="center" wrapText="1"/>
    </xf>
    <xf numFmtId="0" fontId="98" fillId="0" borderId="0" xfId="210" applyFont="1" applyFill="1" applyBorder="1" applyAlignment="1">
      <alignment vertical="center"/>
    </xf>
    <xf numFmtId="0" fontId="39" fillId="0" borderId="0" xfId="0" applyFont="1" applyAlignment="1">
      <alignment vertical="center"/>
    </xf>
    <xf numFmtId="10" fontId="39" fillId="0" borderId="0" xfId="1205" applyNumberFormat="1" applyFont="1" applyAlignment="1">
      <alignment vertical="center"/>
    </xf>
    <xf numFmtId="0" fontId="39" fillId="0" borderId="0" xfId="0" applyFont="1" applyBorder="1" applyAlignment="1">
      <alignment vertical="center"/>
    </xf>
    <xf numFmtId="166" fontId="39" fillId="0" borderId="0" xfId="1212" applyNumberFormat="1" applyFont="1" applyBorder="1" applyAlignment="1">
      <alignment vertical="center"/>
    </xf>
    <xf numFmtId="166" fontId="39" fillId="0" borderId="0" xfId="1212" applyFont="1" applyBorder="1" applyAlignment="1">
      <alignment vertical="center"/>
    </xf>
    <xf numFmtId="194" fontId="39" fillId="0" borderId="0" xfId="1205" applyNumberFormat="1" applyFont="1" applyBorder="1" applyAlignment="1">
      <alignment horizontal="center" vertical="center"/>
    </xf>
    <xf numFmtId="166" fontId="41" fillId="13" borderId="30" xfId="1212" applyNumberFormat="1" applyFont="1" applyFill="1" applyBorder="1" applyAlignment="1">
      <alignment horizontal="center" vertical="center" wrapText="1"/>
    </xf>
    <xf numFmtId="166" fontId="41" fillId="13" borderId="30" xfId="1212" applyFont="1" applyFill="1" applyBorder="1" applyAlignment="1">
      <alignment horizontal="center" vertical="center" wrapText="1"/>
    </xf>
    <xf numFmtId="0" fontId="101" fillId="0" borderId="34" xfId="0" applyFont="1" applyFill="1" applyBorder="1" applyAlignment="1">
      <alignment horizontal="left" vertical="center" wrapText="1"/>
    </xf>
    <xf numFmtId="166" fontId="101" fillId="0" borderId="28" xfId="1212" applyNumberFormat="1" applyFont="1" applyFill="1" applyBorder="1" applyAlignment="1" applyProtection="1">
      <alignment horizontal="right" vertical="center"/>
      <protection hidden="1"/>
    </xf>
    <xf numFmtId="166" fontId="101" fillId="0" borderId="28" xfId="1212" applyFont="1" applyFill="1" applyBorder="1" applyAlignment="1" applyProtection="1">
      <alignment horizontal="right" vertical="center"/>
      <protection hidden="1"/>
    </xf>
    <xf numFmtId="166" fontId="101" fillId="0" borderId="28" xfId="1212" applyFont="1" applyFill="1" applyBorder="1" applyAlignment="1">
      <alignment vertical="center"/>
    </xf>
    <xf numFmtId="44" fontId="39" fillId="0" borderId="0" xfId="0" applyNumberFormat="1" applyFont="1" applyAlignment="1">
      <alignment vertical="center"/>
    </xf>
    <xf numFmtId="166" fontId="101" fillId="0" borderId="28" xfId="1212" applyNumberFormat="1" applyFont="1" applyFill="1" applyBorder="1" applyAlignment="1">
      <alignment horizontal="right" vertical="center" wrapText="1"/>
    </xf>
    <xf numFmtId="0" fontId="103" fillId="0" borderId="0" xfId="0" applyFont="1" applyFill="1" applyBorder="1" applyAlignment="1">
      <alignment vertical="center"/>
    </xf>
    <xf numFmtId="10" fontId="103" fillId="0" borderId="0" xfId="1205" applyNumberFormat="1" applyFont="1" applyFill="1" applyBorder="1" applyAlignment="1">
      <alignment vertical="center"/>
    </xf>
    <xf numFmtId="0" fontId="41" fillId="13" borderId="34" xfId="0" applyFont="1" applyFill="1" applyBorder="1" applyAlignment="1">
      <alignment vertical="center" wrapText="1"/>
    </xf>
    <xf numFmtId="166" fontId="41" fillId="13" borderId="28" xfId="1212" applyNumberFormat="1" applyFont="1" applyFill="1" applyBorder="1" applyAlignment="1">
      <alignment vertical="center" wrapText="1"/>
    </xf>
    <xf numFmtId="166" fontId="39" fillId="0" borderId="28" xfId="1212" applyNumberFormat="1" applyFont="1" applyBorder="1" applyAlignment="1">
      <alignment vertical="center"/>
    </xf>
    <xf numFmtId="166" fontId="101" fillId="0" borderId="28" xfId="1212" applyFont="1" applyFill="1" applyBorder="1" applyAlignment="1">
      <alignment horizontal="right" vertical="center" wrapText="1"/>
    </xf>
    <xf numFmtId="166" fontId="101" fillId="0" borderId="28" xfId="1212" applyNumberFormat="1" applyFont="1" applyFill="1" applyBorder="1" applyAlignment="1" applyProtection="1">
      <alignment vertical="center"/>
      <protection locked="0"/>
    </xf>
    <xf numFmtId="0" fontId="101" fillId="0" borderId="34" xfId="0" applyFont="1" applyFill="1" applyBorder="1" applyAlignment="1" applyProtection="1">
      <alignment horizontal="left" vertical="center" wrapText="1"/>
    </xf>
    <xf numFmtId="192" fontId="101" fillId="0" borderId="34" xfId="0" applyNumberFormat="1" applyFont="1" applyFill="1" applyBorder="1" applyAlignment="1">
      <alignment vertical="center" wrapText="1"/>
    </xf>
    <xf numFmtId="0" fontId="103" fillId="0" borderId="0" xfId="0" applyFont="1" applyFill="1" applyBorder="1" applyAlignment="1" applyProtection="1">
      <alignment horizontal="left" vertical="center" wrapText="1"/>
    </xf>
    <xf numFmtId="10" fontId="103" fillId="0" borderId="0" xfId="1205" applyNumberFormat="1" applyFont="1" applyFill="1" applyBorder="1" applyAlignment="1" applyProtection="1">
      <alignment vertical="center"/>
      <protection locked="0"/>
    </xf>
    <xf numFmtId="3" fontId="103" fillId="0" borderId="0" xfId="0" applyNumberFormat="1" applyFont="1" applyFill="1" applyBorder="1" applyAlignment="1" applyProtection="1">
      <alignment vertical="center"/>
      <protection locked="0"/>
    </xf>
    <xf numFmtId="0" fontId="39" fillId="0" borderId="0" xfId="0" applyFont="1" applyFill="1" applyAlignment="1">
      <alignment vertical="center"/>
    </xf>
    <xf numFmtId="0" fontId="41" fillId="13" borderId="34" xfId="0" applyFont="1" applyFill="1" applyBorder="1" applyAlignment="1">
      <alignment horizontal="left" vertical="center" wrapText="1"/>
    </xf>
    <xf numFmtId="166" fontId="41" fillId="13" borderId="28" xfId="1212" applyNumberFormat="1" applyFont="1" applyFill="1" applyBorder="1" applyAlignment="1">
      <alignment horizontal="right" vertical="center" wrapText="1"/>
    </xf>
    <xf numFmtId="166" fontId="41" fillId="13" borderId="28" xfId="1212" applyFont="1" applyFill="1" applyBorder="1" applyAlignment="1">
      <alignment horizontal="right" vertical="center" wrapText="1"/>
    </xf>
    <xf numFmtId="0" fontId="91" fillId="0" borderId="0" xfId="0" applyFont="1" applyFill="1" applyBorder="1" applyAlignment="1">
      <alignment vertical="center"/>
    </xf>
    <xf numFmtId="10" fontId="91" fillId="0" borderId="0" xfId="1205" applyNumberFormat="1" applyFont="1" applyFill="1" applyBorder="1" applyAlignment="1">
      <alignment vertical="center"/>
    </xf>
    <xf numFmtId="0" fontId="42" fillId="0" borderId="0" xfId="0" applyFont="1" applyAlignment="1">
      <alignment vertical="center"/>
    </xf>
    <xf numFmtId="0" fontId="103" fillId="0" borderId="0" xfId="0" applyFont="1" applyFill="1" applyBorder="1" applyAlignment="1">
      <alignment horizontal="left" vertical="center" wrapText="1"/>
    </xf>
    <xf numFmtId="10" fontId="103" fillId="0" borderId="0" xfId="1205" applyNumberFormat="1" applyFont="1" applyFill="1" applyBorder="1" applyAlignment="1">
      <alignment horizontal="right" vertical="center" wrapText="1"/>
    </xf>
    <xf numFmtId="3" fontId="103" fillId="0" borderId="0" xfId="0" applyNumberFormat="1" applyFont="1" applyFill="1" applyBorder="1" applyAlignment="1">
      <alignment horizontal="right" vertical="center" wrapText="1"/>
    </xf>
    <xf numFmtId="3" fontId="103" fillId="0" borderId="0" xfId="0" applyNumberFormat="1" applyFont="1" applyFill="1" applyBorder="1" applyAlignment="1">
      <alignment vertical="center"/>
    </xf>
    <xf numFmtId="0" fontId="101" fillId="0" borderId="34" xfId="0" applyFont="1" applyFill="1" applyBorder="1" applyAlignment="1" applyProtection="1">
      <alignment vertical="center" wrapText="1"/>
    </xf>
    <xf numFmtId="166" fontId="101" fillId="10" borderId="28" xfId="1212" applyNumberFormat="1" applyFont="1" applyFill="1" applyBorder="1" applyAlignment="1">
      <alignment horizontal="right" vertical="center" wrapText="1"/>
    </xf>
    <xf numFmtId="166" fontId="101" fillId="10" borderId="28" xfId="1212" applyFont="1" applyFill="1" applyBorder="1" applyAlignment="1">
      <alignment horizontal="right" vertical="center" wrapText="1"/>
    </xf>
    <xf numFmtId="166" fontId="101" fillId="10" borderId="28" xfId="1212" applyFont="1" applyFill="1" applyBorder="1" applyAlignment="1">
      <alignment vertical="center"/>
    </xf>
    <xf numFmtId="0" fontId="103" fillId="10" borderId="0" xfId="0" applyFont="1" applyFill="1" applyBorder="1" applyAlignment="1">
      <alignment horizontal="left" vertical="center" wrapText="1"/>
    </xf>
    <xf numFmtId="10" fontId="103" fillId="10" borderId="0" xfId="1205" applyNumberFormat="1" applyFont="1" applyFill="1" applyBorder="1" applyAlignment="1" applyProtection="1">
      <alignment vertical="center"/>
      <protection locked="0"/>
    </xf>
    <xf numFmtId="3" fontId="103" fillId="10" borderId="0" xfId="0" applyNumberFormat="1" applyFont="1" applyFill="1" applyBorder="1" applyAlignment="1" applyProtection="1">
      <alignment vertical="center"/>
      <protection locked="0"/>
    </xf>
    <xf numFmtId="0" fontId="103" fillId="10" borderId="0" xfId="0" applyFont="1" applyFill="1" applyBorder="1" applyAlignment="1">
      <alignment vertical="center"/>
    </xf>
    <xf numFmtId="0" fontId="39" fillId="10" borderId="0" xfId="0" applyFont="1" applyFill="1" applyAlignment="1">
      <alignment vertical="center"/>
    </xf>
    <xf numFmtId="192" fontId="103" fillId="0" borderId="0" xfId="0" applyNumberFormat="1" applyFont="1" applyFill="1" applyBorder="1" applyAlignment="1">
      <alignment vertical="center"/>
    </xf>
    <xf numFmtId="166" fontId="101" fillId="0" borderId="28" xfId="1212" applyNumberFormat="1" applyFont="1" applyFill="1" applyBorder="1" applyAlignment="1">
      <alignment vertical="center"/>
    </xf>
    <xf numFmtId="0" fontId="39" fillId="0" borderId="28" xfId="0" applyFont="1" applyFill="1" applyBorder="1" applyAlignment="1">
      <alignment vertical="center"/>
    </xf>
    <xf numFmtId="0" fontId="101" fillId="3" borderId="34" xfId="0" applyFont="1" applyFill="1" applyBorder="1" applyAlignment="1">
      <alignment horizontal="left" vertical="center" wrapText="1"/>
    </xf>
    <xf numFmtId="166" fontId="101" fillId="3" borderId="28" xfId="0" applyNumberFormat="1" applyFont="1" applyFill="1" applyBorder="1" applyAlignment="1">
      <alignment horizontal="right" vertical="center"/>
    </xf>
    <xf numFmtId="166" fontId="101" fillId="3" borderId="28" xfId="1212" applyFont="1" applyFill="1" applyBorder="1" applyAlignment="1">
      <alignment horizontal="right" vertical="center"/>
    </xf>
    <xf numFmtId="10" fontId="39" fillId="0" borderId="0" xfId="1205" applyNumberFormat="1" applyFont="1" applyFill="1" applyAlignment="1">
      <alignment vertical="center"/>
    </xf>
    <xf numFmtId="0" fontId="104" fillId="0" borderId="0" xfId="0" applyFont="1" applyFill="1" applyBorder="1" applyAlignment="1">
      <alignment vertical="center"/>
    </xf>
    <xf numFmtId="10" fontId="104" fillId="0" borderId="0" xfId="1205" applyNumberFormat="1" applyFont="1" applyFill="1" applyBorder="1" applyAlignment="1">
      <alignment vertical="center"/>
    </xf>
    <xf numFmtId="0" fontId="36" fillId="0" borderId="0" xfId="0" applyFont="1" applyAlignment="1">
      <alignment vertical="center"/>
    </xf>
    <xf numFmtId="192" fontId="104" fillId="0" borderId="0" xfId="0" applyNumberFormat="1" applyFont="1" applyFill="1" applyBorder="1" applyAlignment="1">
      <alignment vertical="center"/>
    </xf>
    <xf numFmtId="0" fontId="36" fillId="0" borderId="0" xfId="0" applyFont="1" applyFill="1" applyAlignment="1">
      <alignment vertical="center"/>
    </xf>
    <xf numFmtId="10" fontId="36" fillId="0" borderId="0" xfId="1205" applyNumberFormat="1" applyFont="1" applyFill="1" applyAlignment="1">
      <alignment vertical="center"/>
    </xf>
    <xf numFmtId="192" fontId="102" fillId="12" borderId="34" xfId="0" applyNumberFormat="1" applyFont="1" applyFill="1" applyBorder="1" applyAlignment="1">
      <alignment horizontal="left" vertical="center" wrapText="1"/>
    </xf>
    <xf numFmtId="166" fontId="102" fillId="12" borderId="28" xfId="1212" applyNumberFormat="1" applyFont="1" applyFill="1" applyBorder="1" applyAlignment="1">
      <alignment vertical="center"/>
    </xf>
    <xf numFmtId="166" fontId="102" fillId="12" borderId="28" xfId="1212" applyFont="1" applyFill="1" applyBorder="1" applyAlignment="1">
      <alignment vertical="center"/>
    </xf>
    <xf numFmtId="195" fontId="39" fillId="0" borderId="0" xfId="0" applyNumberFormat="1" applyFont="1" applyAlignment="1">
      <alignment vertical="center"/>
    </xf>
    <xf numFmtId="192" fontId="41" fillId="13" borderId="34" xfId="0" applyNumberFormat="1" applyFont="1" applyFill="1" applyBorder="1" applyAlignment="1">
      <alignment horizontal="left" vertical="center" wrapText="1"/>
    </xf>
    <xf numFmtId="166" fontId="41" fillId="13" borderId="28" xfId="1212" applyNumberFormat="1" applyFont="1" applyFill="1" applyBorder="1" applyAlignment="1">
      <alignment vertical="center"/>
    </xf>
    <xf numFmtId="166" fontId="41" fillId="13" borderId="28" xfId="1212" applyFont="1" applyFill="1" applyBorder="1" applyAlignment="1">
      <alignment vertical="center"/>
    </xf>
    <xf numFmtId="192" fontId="41" fillId="13" borderId="37" xfId="0" applyNumberFormat="1" applyFont="1" applyFill="1" applyBorder="1" applyAlignment="1">
      <alignment horizontal="left" vertical="center" wrapText="1"/>
    </xf>
    <xf numFmtId="166" fontId="41" fillId="13" borderId="38" xfId="1212" applyNumberFormat="1" applyFont="1" applyFill="1" applyBorder="1" applyAlignment="1">
      <alignment vertical="center"/>
    </xf>
    <xf numFmtId="166" fontId="41" fillId="13" borderId="38" xfId="1212" applyFont="1" applyFill="1" applyBorder="1" applyAlignment="1">
      <alignment vertical="center"/>
    </xf>
    <xf numFmtId="166" fontId="39" fillId="0" borderId="0" xfId="1212" applyNumberFormat="1" applyFont="1" applyAlignment="1">
      <alignment vertical="center"/>
    </xf>
    <xf numFmtId="166" fontId="39" fillId="0" borderId="0" xfId="1212" applyFont="1" applyAlignment="1">
      <alignment vertical="center"/>
    </xf>
    <xf numFmtId="194" fontId="39" fillId="0" borderId="0" xfId="1205" applyNumberFormat="1" applyFont="1" applyAlignment="1">
      <alignment horizontal="center" vertical="center"/>
    </xf>
    <xf numFmtId="166" fontId="98" fillId="0" borderId="0" xfId="1212" applyFont="1" applyBorder="1" applyAlignment="1">
      <alignment horizontal="center" vertical="center" wrapText="1"/>
    </xf>
    <xf numFmtId="0" fontId="100" fillId="21" borderId="5" xfId="210" applyFont="1" applyFill="1" applyBorder="1" applyAlignment="1">
      <alignment horizontal="center" vertical="center" wrapText="1"/>
    </xf>
    <xf numFmtId="0" fontId="100" fillId="21" borderId="6" xfId="210" applyFont="1" applyFill="1" applyBorder="1" applyAlignment="1">
      <alignment horizontal="center" vertical="center" wrapText="1"/>
    </xf>
    <xf numFmtId="0" fontId="100" fillId="0" borderId="0" xfId="210" applyFont="1" applyFill="1" applyAlignment="1">
      <alignment horizontal="center" vertical="center" wrapText="1"/>
    </xf>
    <xf numFmtId="0" fontId="100" fillId="5" borderId="34" xfId="210" applyFont="1" applyFill="1" applyBorder="1" applyAlignment="1">
      <alignment horizontal="center" vertical="center" wrapText="1"/>
    </xf>
    <xf numFmtId="0" fontId="100" fillId="5" borderId="28" xfId="210" applyFont="1" applyFill="1" applyBorder="1" applyAlignment="1">
      <alignment horizontal="center" vertical="center" wrapText="1"/>
    </xf>
    <xf numFmtId="0" fontId="100" fillId="0" borderId="0" xfId="210" applyFont="1" applyFill="1" applyBorder="1" applyAlignment="1">
      <alignment horizontal="center" vertical="center" wrapText="1"/>
    </xf>
    <xf numFmtId="0" fontId="100" fillId="32" borderId="34" xfId="210" applyFont="1" applyFill="1" applyBorder="1" applyAlignment="1">
      <alignment horizontal="center" vertical="center" wrapText="1"/>
    </xf>
    <xf numFmtId="0" fontId="100" fillId="32" borderId="28" xfId="210" applyFont="1" applyFill="1" applyBorder="1" applyAlignment="1">
      <alignment horizontal="center" vertical="center" wrapText="1"/>
    </xf>
    <xf numFmtId="0" fontId="105" fillId="0" borderId="0" xfId="210" applyFont="1" applyFill="1" applyAlignment="1">
      <alignment vertical="center"/>
    </xf>
    <xf numFmtId="0" fontId="100" fillId="16" borderId="28" xfId="210" applyFont="1" applyFill="1" applyBorder="1" applyAlignment="1">
      <alignment horizontal="left" vertical="center" wrapText="1"/>
    </xf>
    <xf numFmtId="0" fontId="100" fillId="0" borderId="0" xfId="210" applyFont="1" applyFill="1" applyAlignment="1">
      <alignment vertical="center"/>
    </xf>
    <xf numFmtId="0" fontId="100" fillId="14" borderId="28" xfId="210" applyFont="1" applyFill="1" applyBorder="1" applyAlignment="1">
      <alignment horizontal="left" vertical="center" wrapText="1"/>
    </xf>
    <xf numFmtId="0" fontId="106" fillId="17" borderId="28" xfId="210" applyFont="1" applyFill="1" applyBorder="1" applyAlignment="1">
      <alignment horizontal="left" vertical="center" wrapText="1"/>
    </xf>
    <xf numFmtId="0" fontId="100" fillId="18" borderId="28" xfId="210" applyFont="1" applyFill="1" applyBorder="1" applyAlignment="1">
      <alignment horizontal="left" vertical="center" wrapText="1"/>
    </xf>
    <xf numFmtId="0" fontId="100" fillId="19" borderId="28" xfId="210" applyFont="1" applyFill="1" applyBorder="1" applyAlignment="1">
      <alignment horizontal="left" vertical="center" wrapText="1"/>
    </xf>
    <xf numFmtId="0" fontId="100" fillId="19" borderId="28" xfId="210" applyFont="1" applyFill="1" applyBorder="1" applyAlignment="1">
      <alignment horizontal="center" vertical="center" wrapText="1"/>
    </xf>
    <xf numFmtId="0" fontId="100" fillId="20" borderId="28" xfId="210" applyFont="1" applyFill="1" applyBorder="1" applyAlignment="1">
      <alignment horizontal="left" vertical="center" wrapText="1"/>
    </xf>
    <xf numFmtId="0" fontId="100" fillId="20" borderId="28" xfId="210" applyFont="1" applyFill="1" applyBorder="1" applyAlignment="1">
      <alignment horizontal="center" vertical="center" wrapText="1"/>
    </xf>
    <xf numFmtId="166" fontId="105" fillId="0" borderId="0" xfId="1212" applyFont="1" applyAlignment="1">
      <alignment horizontal="center" vertical="center"/>
    </xf>
    <xf numFmtId="0" fontId="105" fillId="0" borderId="0" xfId="210" applyFont="1" applyAlignment="1">
      <alignment vertical="center" wrapText="1"/>
    </xf>
    <xf numFmtId="0" fontId="100" fillId="0" borderId="0" xfId="210" applyFont="1" applyAlignment="1">
      <alignment horizontal="left" vertical="center" wrapText="1"/>
    </xf>
    <xf numFmtId="0" fontId="105" fillId="0" borderId="75" xfId="210" applyFont="1" applyBorder="1" applyAlignment="1">
      <alignment horizontal="center" vertical="center"/>
    </xf>
    <xf numFmtId="0" fontId="105" fillId="0" borderId="0" xfId="210" applyFont="1" applyBorder="1" applyAlignment="1">
      <alignment horizontal="center" vertical="center"/>
    </xf>
    <xf numFmtId="0" fontId="106" fillId="0" borderId="0" xfId="210" applyFont="1" applyFill="1" applyAlignment="1">
      <alignment vertical="center"/>
    </xf>
    <xf numFmtId="198" fontId="45" fillId="17" borderId="19" xfId="1212" applyNumberFormat="1" applyFont="1" applyFill="1" applyBorder="1"/>
    <xf numFmtId="166" fontId="43" fillId="5" borderId="28" xfId="1212" applyNumberFormat="1" applyFont="1" applyFill="1" applyBorder="1" applyAlignment="1">
      <alignment horizontal="center" vertical="center" wrapText="1"/>
    </xf>
    <xf numFmtId="199" fontId="43" fillId="5" borderId="28" xfId="1212" applyNumberFormat="1" applyFont="1" applyFill="1" applyBorder="1" applyAlignment="1">
      <alignment horizontal="center" vertical="center" wrapText="1"/>
    </xf>
    <xf numFmtId="166" fontId="0" fillId="0" borderId="24" xfId="1212" applyNumberFormat="1" applyFont="1" applyBorder="1"/>
    <xf numFmtId="199" fontId="0" fillId="0" borderId="24" xfId="1212" applyNumberFormat="1" applyFont="1" applyBorder="1"/>
    <xf numFmtId="199" fontId="0" fillId="0" borderId="0" xfId="1212" applyNumberFormat="1" applyFont="1" applyBorder="1"/>
    <xf numFmtId="199" fontId="45" fillId="17" borderId="28" xfId="1212" applyNumberFormat="1" applyFont="1" applyFill="1" applyBorder="1"/>
    <xf numFmtId="166" fontId="43" fillId="19" borderId="28" xfId="1212" applyFont="1" applyFill="1" applyBorder="1" applyAlignment="1">
      <alignment vertical="center"/>
    </xf>
    <xf numFmtId="166" fontId="27" fillId="0" borderId="0" xfId="0" applyNumberFormat="1" applyFont="1" applyBorder="1"/>
    <xf numFmtId="166" fontId="91" fillId="33" borderId="28" xfId="1212" applyNumberFormat="1" applyFont="1" applyFill="1" applyBorder="1" applyAlignment="1">
      <alignment horizontal="center" vertical="center" wrapText="1"/>
    </xf>
    <xf numFmtId="166" fontId="43" fillId="19" borderId="28" xfId="1212" applyFont="1" applyFill="1" applyBorder="1" applyAlignment="1">
      <alignment horizontal="center" vertical="center" wrapText="1"/>
    </xf>
    <xf numFmtId="166" fontId="110" fillId="33" borderId="28" xfId="1212" applyFont="1" applyFill="1" applyBorder="1" applyAlignment="1">
      <alignment horizontal="center" vertical="center" wrapText="1"/>
    </xf>
    <xf numFmtId="166" fontId="110" fillId="33" borderId="28" xfId="1212" applyFont="1" applyFill="1" applyBorder="1" applyAlignment="1">
      <alignment vertical="center"/>
    </xf>
    <xf numFmtId="194" fontId="39" fillId="0" borderId="0" xfId="1205" applyNumberFormat="1" applyFont="1"/>
    <xf numFmtId="194" fontId="40" fillId="0" borderId="71" xfId="1205" applyNumberFormat="1" applyFont="1" applyBorder="1" applyAlignment="1">
      <alignment horizontal="center" vertical="center" wrapText="1"/>
    </xf>
    <xf numFmtId="194" fontId="41" fillId="21" borderId="20" xfId="1205" applyNumberFormat="1" applyFont="1" applyFill="1" applyBorder="1" applyAlignment="1">
      <alignment horizontal="center" vertical="center" wrapText="1"/>
    </xf>
    <xf numFmtId="194" fontId="43" fillId="5" borderId="28" xfId="1205" applyNumberFormat="1" applyFont="1" applyFill="1" applyBorder="1" applyAlignment="1">
      <alignment horizontal="center" vertical="center" wrapText="1"/>
    </xf>
    <xf numFmtId="194" fontId="91" fillId="32" borderId="28" xfId="1205" applyNumberFormat="1" applyFont="1" applyFill="1" applyBorder="1" applyAlignment="1">
      <alignment horizontal="center" vertical="center" wrapText="1"/>
    </xf>
    <xf numFmtId="194" fontId="43" fillId="33" borderId="28" xfId="1205" applyNumberFormat="1" applyFont="1" applyFill="1" applyBorder="1" applyAlignment="1">
      <alignment horizontal="center" vertical="center" wrapText="1"/>
    </xf>
    <xf numFmtId="194" fontId="41" fillId="16" borderId="24" xfId="1205" applyNumberFormat="1" applyFont="1" applyFill="1" applyBorder="1"/>
    <xf numFmtId="194" fontId="41" fillId="16" borderId="22" xfId="1205" applyNumberFormat="1" applyFont="1" applyFill="1" applyBorder="1"/>
    <xf numFmtId="194" fontId="41" fillId="16" borderId="19" xfId="1205" applyNumberFormat="1" applyFont="1" applyFill="1" applyBorder="1"/>
    <xf numFmtId="194" fontId="94" fillId="16" borderId="19" xfId="1205" applyNumberFormat="1" applyFont="1" applyFill="1" applyBorder="1"/>
    <xf numFmtId="194" fontId="91" fillId="32" borderId="28" xfId="1205" applyNumberFormat="1" applyFont="1" applyFill="1" applyBorder="1" applyAlignment="1">
      <alignment vertical="center"/>
    </xf>
    <xf numFmtId="194" fontId="43" fillId="33" borderId="28" xfId="1205" applyNumberFormat="1" applyFont="1" applyFill="1" applyBorder="1" applyAlignment="1">
      <alignment vertical="center"/>
    </xf>
    <xf numFmtId="194" fontId="39" fillId="14" borderId="19" xfId="1205" applyNumberFormat="1" applyFont="1" applyFill="1" applyBorder="1"/>
    <xf numFmtId="194" fontId="39" fillId="14" borderId="28" xfId="1205" applyNumberFormat="1" applyFont="1" applyFill="1" applyBorder="1"/>
    <xf numFmtId="194" fontId="45" fillId="17" borderId="19" xfId="1205" applyNumberFormat="1" applyFont="1" applyFill="1" applyBorder="1"/>
    <xf numFmtId="194" fontId="45" fillId="17" borderId="28" xfId="1205" applyNumberFormat="1" applyFont="1" applyFill="1" applyBorder="1"/>
    <xf numFmtId="194" fontId="44" fillId="18" borderId="19" xfId="1205" applyNumberFormat="1" applyFont="1" applyFill="1" applyBorder="1"/>
    <xf numFmtId="194" fontId="44" fillId="18" borderId="28" xfId="1205" applyNumberFormat="1" applyFont="1" applyFill="1" applyBorder="1"/>
    <xf numFmtId="194" fontId="43" fillId="32" borderId="28" xfId="1205" applyNumberFormat="1" applyFont="1" applyFill="1" applyBorder="1" applyAlignment="1">
      <alignment vertical="center"/>
    </xf>
    <xf numFmtId="194" fontId="39" fillId="19" borderId="19" xfId="1205" applyNumberFormat="1" applyFont="1" applyFill="1" applyBorder="1"/>
    <xf numFmtId="194" fontId="39" fillId="20" borderId="19" xfId="1205" applyNumberFormat="1" applyFont="1" applyFill="1" applyBorder="1"/>
    <xf numFmtId="194" fontId="39" fillId="15" borderId="19" xfId="1205" applyNumberFormat="1" applyFont="1" applyFill="1" applyBorder="1"/>
    <xf numFmtId="166" fontId="100" fillId="5" borderId="28" xfId="1212" applyFont="1" applyFill="1" applyBorder="1" applyAlignment="1">
      <alignment horizontal="right" vertical="center" wrapText="1"/>
    </xf>
    <xf numFmtId="166" fontId="100" fillId="5" borderId="35" xfId="1212" applyFont="1" applyFill="1" applyBorder="1" applyAlignment="1">
      <alignment horizontal="right" vertical="center" wrapText="1"/>
    </xf>
    <xf numFmtId="166" fontId="100" fillId="0" borderId="0" xfId="1212" applyFont="1" applyBorder="1" applyAlignment="1">
      <alignment horizontal="left" vertical="center" wrapText="1"/>
    </xf>
    <xf numFmtId="0" fontId="98" fillId="0" borderId="0" xfId="210" applyFont="1" applyBorder="1" applyAlignment="1">
      <alignment horizontal="left" vertical="center"/>
    </xf>
    <xf numFmtId="0" fontId="100" fillId="21" borderId="6" xfId="210" applyFont="1" applyFill="1" applyBorder="1" applyAlignment="1">
      <alignment horizontal="left" vertical="center" wrapText="1"/>
    </xf>
    <xf numFmtId="0" fontId="100" fillId="5" borderId="28" xfId="210" applyFont="1" applyFill="1" applyBorder="1" applyAlignment="1">
      <alignment horizontal="left" vertical="center" wrapText="1"/>
    </xf>
    <xf numFmtId="0" fontId="100" fillId="32" borderId="28" xfId="210" applyFont="1" applyFill="1" applyBorder="1" applyAlignment="1">
      <alignment horizontal="left" vertical="center" wrapText="1"/>
    </xf>
    <xf numFmtId="0" fontId="100" fillId="15" borderId="28" xfId="210" applyFont="1" applyFill="1" applyBorder="1" applyAlignment="1">
      <alignment horizontal="left" vertical="center" wrapText="1"/>
    </xf>
    <xf numFmtId="0" fontId="100" fillId="15" borderId="38" xfId="210" applyFont="1" applyFill="1" applyBorder="1" applyAlignment="1">
      <alignment horizontal="left" vertical="center" wrapText="1"/>
    </xf>
    <xf numFmtId="0" fontId="107" fillId="0" borderId="0" xfId="210" applyFont="1" applyFill="1" applyBorder="1" applyAlignment="1">
      <alignment vertical="center"/>
    </xf>
    <xf numFmtId="0" fontId="107" fillId="0" borderId="0" xfId="210" applyFont="1" applyBorder="1" applyAlignment="1">
      <alignment horizontal="center" vertical="center"/>
    </xf>
    <xf numFmtId="0" fontId="100" fillId="18" borderId="28" xfId="210" applyFont="1" applyFill="1" applyBorder="1" applyAlignment="1">
      <alignment horizontal="center" vertical="center" wrapText="1"/>
    </xf>
    <xf numFmtId="9" fontId="105" fillId="0" borderId="0" xfId="1205" applyFont="1" applyFill="1" applyBorder="1" applyAlignment="1">
      <alignment vertical="center"/>
    </xf>
    <xf numFmtId="9" fontId="100" fillId="0" borderId="0" xfId="1205" applyFont="1" applyFill="1" applyBorder="1" applyAlignment="1">
      <alignment horizontal="center" vertical="center" wrapText="1"/>
    </xf>
    <xf numFmtId="9" fontId="100" fillId="0" borderId="0" xfId="1205" applyFont="1" applyFill="1" applyBorder="1" applyAlignment="1">
      <alignment horizontal="left" vertical="center" wrapText="1"/>
    </xf>
    <xf numFmtId="9" fontId="100" fillId="0" borderId="0" xfId="1205" applyFont="1" applyFill="1" applyBorder="1" applyAlignment="1">
      <alignment horizontal="right" vertical="center" wrapText="1"/>
    </xf>
    <xf numFmtId="9" fontId="100" fillId="5" borderId="5" xfId="1205" applyFont="1" applyFill="1" applyBorder="1" applyAlignment="1">
      <alignment horizontal="center" vertical="center" wrapText="1"/>
    </xf>
    <xf numFmtId="9" fontId="100" fillId="5" borderId="6" xfId="1205" applyFont="1" applyFill="1" applyBorder="1" applyAlignment="1">
      <alignment horizontal="center" vertical="center" wrapText="1"/>
    </xf>
    <xf numFmtId="9" fontId="100" fillId="5" borderId="6" xfId="1205" applyFont="1" applyFill="1" applyBorder="1" applyAlignment="1">
      <alignment horizontal="left" vertical="center" wrapText="1"/>
    </xf>
    <xf numFmtId="9" fontId="100" fillId="5" borderId="37" xfId="1205" applyFont="1" applyFill="1" applyBorder="1" applyAlignment="1">
      <alignment horizontal="center" vertical="center" wrapText="1"/>
    </xf>
    <xf numFmtId="9" fontId="100" fillId="5" borderId="38" xfId="1205" applyFont="1" applyFill="1" applyBorder="1" applyAlignment="1">
      <alignment horizontal="center" vertical="center" wrapText="1"/>
    </xf>
    <xf numFmtId="9" fontId="100" fillId="5" borderId="38" xfId="1205" applyFont="1" applyFill="1" applyBorder="1" applyAlignment="1">
      <alignment horizontal="left" vertical="center" wrapText="1"/>
    </xf>
    <xf numFmtId="200" fontId="100" fillId="32" borderId="28" xfId="1205" applyNumberFormat="1" applyFont="1" applyFill="1" applyBorder="1" applyAlignment="1">
      <alignment horizontal="right" vertical="center" wrapText="1"/>
    </xf>
    <xf numFmtId="200" fontId="100" fillId="32" borderId="28" xfId="1205" applyNumberFormat="1" applyFont="1" applyFill="1" applyBorder="1" applyAlignment="1">
      <alignment horizontal="center" vertical="center"/>
    </xf>
    <xf numFmtId="200" fontId="100" fillId="32" borderId="28" xfId="1205" applyNumberFormat="1" applyFont="1" applyFill="1" applyBorder="1" applyAlignment="1">
      <alignment horizontal="center" vertical="center" wrapText="1"/>
    </xf>
    <xf numFmtId="200" fontId="105" fillId="18" borderId="28" xfId="1205" applyNumberFormat="1" applyFont="1" applyFill="1" applyBorder="1" applyAlignment="1">
      <alignment horizontal="center" vertical="center"/>
    </xf>
    <xf numFmtId="200" fontId="105" fillId="19" borderId="28" xfId="1205" applyNumberFormat="1" applyFont="1" applyFill="1" applyBorder="1" applyAlignment="1">
      <alignment horizontal="center" vertical="center"/>
    </xf>
    <xf numFmtId="200" fontId="105" fillId="20" borderId="44" xfId="1205" applyNumberFormat="1" applyFont="1" applyFill="1" applyBorder="1" applyAlignment="1">
      <alignment horizontal="center" vertical="center"/>
    </xf>
    <xf numFmtId="200" fontId="100" fillId="5" borderId="6" xfId="1205" applyNumberFormat="1" applyFont="1" applyFill="1" applyBorder="1" applyAlignment="1">
      <alignment horizontal="right" vertical="center" wrapText="1"/>
    </xf>
    <xf numFmtId="200" fontId="100" fillId="5" borderId="33" xfId="1205" applyNumberFormat="1" applyFont="1" applyFill="1" applyBorder="1" applyAlignment="1">
      <alignment horizontal="right" vertical="center" wrapText="1"/>
    </xf>
    <xf numFmtId="200" fontId="100" fillId="5" borderId="38" xfId="1205" applyNumberFormat="1" applyFont="1" applyFill="1" applyBorder="1" applyAlignment="1">
      <alignment horizontal="right" vertical="center" wrapText="1"/>
    </xf>
    <xf numFmtId="200" fontId="100" fillId="5" borderId="39" xfId="1205" applyNumberFormat="1" applyFont="1" applyFill="1" applyBorder="1" applyAlignment="1">
      <alignment horizontal="right" vertical="center" wrapText="1"/>
    </xf>
    <xf numFmtId="0" fontId="98" fillId="0" borderId="0" xfId="210" applyFont="1" applyFill="1" applyAlignment="1">
      <alignment horizontal="center" vertical="center"/>
    </xf>
    <xf numFmtId="0" fontId="107" fillId="0" borderId="0" xfId="210" applyFont="1" applyFill="1" applyBorder="1" applyAlignment="1">
      <alignment horizontal="center" vertical="center"/>
    </xf>
    <xf numFmtId="0" fontId="98" fillId="0" borderId="0" xfId="210" applyFont="1" applyFill="1" applyBorder="1" applyAlignment="1">
      <alignment horizontal="center" vertical="center"/>
    </xf>
    <xf numFmtId="0" fontId="105" fillId="0" borderId="0" xfId="210" applyFont="1" applyFill="1" applyAlignment="1">
      <alignment horizontal="center" vertical="center"/>
    </xf>
    <xf numFmtId="166" fontId="100" fillId="5" borderId="35" xfId="1212" applyFont="1" applyFill="1" applyBorder="1" applyAlignment="1">
      <alignment horizontal="center" vertical="center" wrapText="1"/>
    </xf>
    <xf numFmtId="166" fontId="100" fillId="5" borderId="36" xfId="1212" applyFont="1" applyFill="1" applyBorder="1" applyAlignment="1">
      <alignment horizontal="center" vertical="center" wrapText="1"/>
    </xf>
    <xf numFmtId="0" fontId="0" fillId="0" borderId="28" xfId="0" applyBorder="1"/>
    <xf numFmtId="44" fontId="0" fillId="0" borderId="28" xfId="0" applyNumberFormat="1" applyBorder="1"/>
    <xf numFmtId="9" fontId="0" fillId="0" borderId="28" xfId="1205" applyFont="1" applyBorder="1"/>
    <xf numFmtId="44" fontId="27" fillId="0" borderId="28" xfId="0" applyNumberFormat="1" applyFont="1" applyBorder="1"/>
    <xf numFmtId="200" fontId="100" fillId="32" borderId="35" xfId="1205" applyNumberFormat="1" applyFont="1" applyFill="1" applyBorder="1" applyAlignment="1">
      <alignment horizontal="right" vertical="center" wrapText="1"/>
    </xf>
    <xf numFmtId="200" fontId="100" fillId="32" borderId="34" xfId="1205" applyNumberFormat="1" applyFont="1" applyFill="1" applyBorder="1" applyAlignment="1">
      <alignment horizontal="right" vertical="center" wrapText="1"/>
    </xf>
    <xf numFmtId="200" fontId="100" fillId="32" borderId="35" xfId="1205" applyNumberFormat="1" applyFont="1" applyFill="1" applyBorder="1" applyAlignment="1">
      <alignment horizontal="center" vertical="center"/>
    </xf>
    <xf numFmtId="200" fontId="100" fillId="32" borderId="34" xfId="1205" applyNumberFormat="1" applyFont="1" applyFill="1" applyBorder="1" applyAlignment="1">
      <alignment horizontal="center" vertical="center"/>
    </xf>
    <xf numFmtId="200" fontId="100" fillId="32" borderId="35" xfId="1205" applyNumberFormat="1" applyFont="1" applyFill="1" applyBorder="1" applyAlignment="1">
      <alignment horizontal="center" vertical="center" wrapText="1"/>
    </xf>
    <xf numFmtId="200" fontId="100" fillId="32" borderId="34" xfId="1205" applyNumberFormat="1" applyFont="1" applyFill="1" applyBorder="1" applyAlignment="1">
      <alignment horizontal="center" vertical="center" wrapText="1"/>
    </xf>
    <xf numFmtId="200" fontId="105" fillId="18" borderId="35" xfId="1205" applyNumberFormat="1" applyFont="1" applyFill="1" applyBorder="1" applyAlignment="1">
      <alignment horizontal="center" vertical="center"/>
    </xf>
    <xf numFmtId="200" fontId="105" fillId="18" borderId="34" xfId="1205" applyNumberFormat="1" applyFont="1" applyFill="1" applyBorder="1" applyAlignment="1">
      <alignment horizontal="center" vertical="center"/>
    </xf>
    <xf numFmtId="200" fontId="105" fillId="19" borderId="35" xfId="1205" applyNumberFormat="1" applyFont="1" applyFill="1" applyBorder="1" applyAlignment="1">
      <alignment horizontal="center" vertical="center"/>
    </xf>
    <xf numFmtId="200" fontId="105" fillId="19" borderId="34" xfId="1205" applyNumberFormat="1" applyFont="1" applyFill="1" applyBorder="1" applyAlignment="1">
      <alignment horizontal="center" vertical="center"/>
    </xf>
    <xf numFmtId="200" fontId="105" fillId="20" borderId="46" xfId="1205" applyNumberFormat="1" applyFont="1" applyFill="1" applyBorder="1" applyAlignment="1">
      <alignment horizontal="center" vertical="center"/>
    </xf>
    <xf numFmtId="200" fontId="105" fillId="20" borderId="43" xfId="1205" applyNumberFormat="1" applyFont="1" applyFill="1" applyBorder="1" applyAlignment="1">
      <alignment horizontal="center" vertical="center"/>
    </xf>
    <xf numFmtId="9" fontId="98" fillId="0" borderId="0" xfId="1205" applyFont="1" applyFill="1" applyAlignment="1">
      <alignment vertical="center"/>
    </xf>
    <xf numFmtId="9" fontId="107" fillId="0" borderId="0" xfId="1205" applyFont="1" applyFill="1" applyBorder="1" applyAlignment="1">
      <alignment vertical="center"/>
    </xf>
    <xf numFmtId="9" fontId="98" fillId="0" borderId="0" xfId="1205" applyFont="1" applyFill="1" applyBorder="1" applyAlignment="1">
      <alignment vertical="center"/>
    </xf>
    <xf numFmtId="9" fontId="105" fillId="0" borderId="0" xfId="1205" applyFont="1" applyFill="1" applyAlignment="1">
      <alignment vertical="center"/>
    </xf>
    <xf numFmtId="9" fontId="100" fillId="0" borderId="0" xfId="1205" applyFont="1" applyFill="1" applyAlignment="1">
      <alignment vertical="center"/>
    </xf>
    <xf numFmtId="10" fontId="105" fillId="0" borderId="0" xfId="1205" applyNumberFormat="1" applyFont="1" applyFill="1" applyAlignment="1">
      <alignment vertical="center"/>
    </xf>
    <xf numFmtId="166" fontId="98" fillId="0" borderId="0" xfId="1212" applyFont="1" applyBorder="1" applyAlignment="1">
      <alignment horizontal="center" vertical="center"/>
    </xf>
    <xf numFmtId="166" fontId="100" fillId="21" borderId="6" xfId="1212" applyFont="1" applyFill="1" applyBorder="1" applyAlignment="1">
      <alignment horizontal="center" vertical="center" wrapText="1"/>
    </xf>
    <xf numFmtId="0" fontId="100" fillId="0" borderId="28" xfId="210" applyFont="1" applyFill="1" applyBorder="1" applyAlignment="1">
      <alignment horizontal="center" vertical="center" wrapText="1"/>
    </xf>
    <xf numFmtId="0" fontId="100" fillId="0" borderId="28" xfId="210" applyFont="1" applyFill="1" applyBorder="1" applyAlignment="1">
      <alignment horizontal="left" vertical="center" wrapText="1"/>
    </xf>
    <xf numFmtId="0" fontId="100" fillId="0" borderId="44" xfId="210" applyFont="1" applyFill="1" applyBorder="1" applyAlignment="1">
      <alignment horizontal="left" vertical="center" wrapText="1"/>
    </xf>
    <xf numFmtId="0" fontId="100" fillId="0" borderId="24" xfId="210" applyFont="1" applyFill="1" applyBorder="1" applyAlignment="1">
      <alignment horizontal="left" vertical="center" wrapText="1"/>
    </xf>
    <xf numFmtId="166" fontId="105" fillId="0" borderId="28" xfId="1212" applyFont="1" applyFill="1" applyBorder="1" applyAlignment="1">
      <alignment horizontal="right" vertical="center"/>
    </xf>
    <xf numFmtId="166" fontId="105" fillId="0" borderId="44" xfId="1212" applyFont="1" applyFill="1" applyBorder="1" applyAlignment="1">
      <alignment horizontal="right" vertical="center"/>
    </xf>
    <xf numFmtId="0" fontId="100" fillId="0" borderId="38" xfId="210" applyFont="1" applyFill="1" applyBorder="1" applyAlignment="1">
      <alignment horizontal="left" vertical="center" wrapText="1"/>
    </xf>
    <xf numFmtId="0" fontId="100" fillId="34" borderId="34" xfId="210" applyFont="1" applyFill="1" applyBorder="1" applyAlignment="1">
      <alignment horizontal="center" vertical="center" wrapText="1"/>
    </xf>
    <xf numFmtId="0" fontId="100" fillId="34" borderId="28" xfId="210" applyFont="1" applyFill="1" applyBorder="1" applyAlignment="1">
      <alignment horizontal="center" vertical="center" wrapText="1"/>
    </xf>
    <xf numFmtId="0" fontId="100" fillId="34" borderId="28" xfId="210" applyFont="1" applyFill="1" applyBorder="1" applyAlignment="1">
      <alignment horizontal="left" vertical="center" wrapText="1"/>
    </xf>
    <xf numFmtId="166" fontId="100" fillId="34" borderId="28" xfId="1212" applyFont="1" applyFill="1" applyBorder="1" applyAlignment="1">
      <alignment horizontal="right" vertical="center" wrapText="1"/>
    </xf>
    <xf numFmtId="0" fontId="100" fillId="35" borderId="34" xfId="210" applyFont="1" applyFill="1" applyBorder="1" applyAlignment="1">
      <alignment horizontal="center" vertical="center" wrapText="1"/>
    </xf>
    <xf numFmtId="0" fontId="100" fillId="35" borderId="28" xfId="210" applyFont="1" applyFill="1" applyBorder="1" applyAlignment="1">
      <alignment horizontal="center" vertical="center" wrapText="1"/>
    </xf>
    <xf numFmtId="0" fontId="100" fillId="35" borderId="28" xfId="210" applyFont="1" applyFill="1" applyBorder="1" applyAlignment="1">
      <alignment horizontal="left" vertical="center" wrapText="1"/>
    </xf>
    <xf numFmtId="166" fontId="100" fillId="35" borderId="28" xfId="1212" applyFont="1" applyFill="1" applyBorder="1" applyAlignment="1">
      <alignment horizontal="right" vertical="center"/>
    </xf>
    <xf numFmtId="0" fontId="100" fillId="36" borderId="34" xfId="210" applyFont="1" applyFill="1" applyBorder="1" applyAlignment="1">
      <alignment horizontal="center" vertical="center" wrapText="1"/>
    </xf>
    <xf numFmtId="0" fontId="100" fillId="36" borderId="28" xfId="210" applyFont="1" applyFill="1" applyBorder="1" applyAlignment="1">
      <alignment horizontal="center" vertical="center" wrapText="1"/>
    </xf>
    <xf numFmtId="0" fontId="100" fillId="36" borderId="28" xfId="210" applyFont="1" applyFill="1" applyBorder="1" applyAlignment="1">
      <alignment horizontal="left" vertical="center" wrapText="1"/>
    </xf>
    <xf numFmtId="166" fontId="100" fillId="36" borderId="28" xfId="1212" applyFont="1" applyFill="1" applyBorder="1" applyAlignment="1">
      <alignment horizontal="right" vertical="center"/>
    </xf>
    <xf numFmtId="0" fontId="100" fillId="37" borderId="34" xfId="210" applyFont="1" applyFill="1" applyBorder="1" applyAlignment="1">
      <alignment horizontal="center" vertical="center" wrapText="1"/>
    </xf>
    <xf numFmtId="0" fontId="100" fillId="37" borderId="28" xfId="210" applyFont="1" applyFill="1" applyBorder="1" applyAlignment="1">
      <alignment horizontal="center" vertical="center" wrapText="1"/>
    </xf>
    <xf numFmtId="0" fontId="100" fillId="37" borderId="28" xfId="210" applyFont="1" applyFill="1" applyBorder="1" applyAlignment="1">
      <alignment horizontal="left" vertical="center" wrapText="1"/>
    </xf>
    <xf numFmtId="166" fontId="100" fillId="37" borderId="28" xfId="1212" applyFont="1" applyFill="1" applyBorder="1" applyAlignment="1">
      <alignment horizontal="right" vertical="center" wrapText="1"/>
    </xf>
    <xf numFmtId="0" fontId="100" fillId="38" borderId="34" xfId="210" applyFont="1" applyFill="1" applyBorder="1" applyAlignment="1">
      <alignment horizontal="center" vertical="center" wrapText="1"/>
    </xf>
    <xf numFmtId="0" fontId="100" fillId="38" borderId="28" xfId="210" applyFont="1" applyFill="1" applyBorder="1" applyAlignment="1">
      <alignment horizontal="center" vertical="center" wrapText="1"/>
    </xf>
    <xf numFmtId="0" fontId="100" fillId="38" borderId="28" xfId="210" applyFont="1" applyFill="1" applyBorder="1" applyAlignment="1">
      <alignment horizontal="left" vertical="center" wrapText="1"/>
    </xf>
    <xf numFmtId="166" fontId="100" fillId="38" borderId="28" xfId="1212" applyFont="1" applyFill="1" applyBorder="1" applyAlignment="1">
      <alignment horizontal="right" vertical="center"/>
    </xf>
    <xf numFmtId="0" fontId="100" fillId="39" borderId="34" xfId="210" applyFont="1" applyFill="1" applyBorder="1" applyAlignment="1">
      <alignment horizontal="center" vertical="center" wrapText="1"/>
    </xf>
    <xf numFmtId="0" fontId="100" fillId="39" borderId="28" xfId="210" applyFont="1" applyFill="1" applyBorder="1" applyAlignment="1">
      <alignment horizontal="center" vertical="center" wrapText="1"/>
    </xf>
    <xf numFmtId="0" fontId="100" fillId="39" borderId="28" xfId="210" applyFont="1" applyFill="1" applyBorder="1" applyAlignment="1">
      <alignment horizontal="left" vertical="center" wrapText="1"/>
    </xf>
    <xf numFmtId="166" fontId="100" fillId="39" borderId="28" xfId="1212" applyFont="1" applyFill="1" applyBorder="1" applyAlignment="1">
      <alignment horizontal="right" vertical="center"/>
    </xf>
    <xf numFmtId="0" fontId="100" fillId="40" borderId="34" xfId="210" applyFont="1" applyFill="1" applyBorder="1" applyAlignment="1">
      <alignment horizontal="center" vertical="center" wrapText="1"/>
    </xf>
    <xf numFmtId="0" fontId="100" fillId="40" borderId="28" xfId="210" applyFont="1" applyFill="1" applyBorder="1" applyAlignment="1">
      <alignment horizontal="center" vertical="center" wrapText="1"/>
    </xf>
    <xf numFmtId="0" fontId="100" fillId="40" borderId="28" xfId="210" applyFont="1" applyFill="1" applyBorder="1" applyAlignment="1">
      <alignment horizontal="left" vertical="center" wrapText="1"/>
    </xf>
    <xf numFmtId="166" fontId="100" fillId="40" borderId="28" xfId="1212" applyFont="1" applyFill="1" applyBorder="1" applyAlignment="1">
      <alignment horizontal="right" vertical="center"/>
    </xf>
    <xf numFmtId="166" fontId="100" fillId="34" borderId="35" xfId="1212" applyFont="1" applyFill="1" applyBorder="1" applyAlignment="1">
      <alignment horizontal="right" vertical="center" wrapText="1"/>
    </xf>
    <xf numFmtId="166" fontId="100" fillId="35" borderId="35" xfId="1212" applyFont="1" applyFill="1" applyBorder="1" applyAlignment="1">
      <alignment horizontal="right" vertical="center"/>
    </xf>
    <xf numFmtId="166" fontId="100" fillId="36" borderId="35" xfId="1212" applyFont="1" applyFill="1" applyBorder="1" applyAlignment="1">
      <alignment horizontal="right" vertical="center"/>
    </xf>
    <xf numFmtId="166" fontId="100" fillId="37" borderId="35" xfId="1212" applyFont="1" applyFill="1" applyBorder="1" applyAlignment="1">
      <alignment horizontal="right" vertical="center" wrapText="1"/>
    </xf>
    <xf numFmtId="166" fontId="100" fillId="38" borderId="35" xfId="1212" applyFont="1" applyFill="1" applyBorder="1" applyAlignment="1">
      <alignment horizontal="right" vertical="center"/>
    </xf>
    <xf numFmtId="166" fontId="100" fillId="39" borderId="35" xfId="1212" applyFont="1" applyFill="1" applyBorder="1" applyAlignment="1">
      <alignment horizontal="right" vertical="center"/>
    </xf>
    <xf numFmtId="166" fontId="100" fillId="40" borderId="35" xfId="1212" applyFont="1" applyFill="1" applyBorder="1" applyAlignment="1">
      <alignment horizontal="right" vertical="center"/>
    </xf>
    <xf numFmtId="0" fontId="98" fillId="0" borderId="70" xfId="210" applyFont="1" applyFill="1" applyBorder="1" applyAlignment="1">
      <alignment vertical="center"/>
    </xf>
    <xf numFmtId="0" fontId="98" fillId="0" borderId="72" xfId="210" applyFont="1" applyFill="1" applyBorder="1" applyAlignment="1">
      <alignment vertical="center"/>
    </xf>
    <xf numFmtId="0" fontId="98" fillId="0" borderId="75" xfId="210" applyFont="1" applyFill="1" applyBorder="1" applyAlignment="1">
      <alignment vertical="center"/>
    </xf>
    <xf numFmtId="0" fontId="98" fillId="0" borderId="59" xfId="210" applyFont="1" applyFill="1" applyBorder="1" applyAlignment="1">
      <alignment vertical="center"/>
    </xf>
    <xf numFmtId="0" fontId="100" fillId="41" borderId="34" xfId="210" applyFont="1" applyFill="1" applyBorder="1" applyAlignment="1">
      <alignment horizontal="center" vertical="center" wrapText="1"/>
    </xf>
    <xf numFmtId="0" fontId="100" fillId="41" borderId="28" xfId="210" applyFont="1" applyFill="1" applyBorder="1" applyAlignment="1">
      <alignment horizontal="center" vertical="center" wrapText="1"/>
    </xf>
    <xf numFmtId="0" fontId="100" fillId="41" borderId="28" xfId="210" applyFont="1" applyFill="1" applyBorder="1" applyAlignment="1">
      <alignment horizontal="left" vertical="center" wrapText="1"/>
    </xf>
    <xf numFmtId="166" fontId="100" fillId="41" borderId="28" xfId="1212" applyFont="1" applyFill="1" applyBorder="1" applyAlignment="1">
      <alignment horizontal="right" vertical="center"/>
    </xf>
    <xf numFmtId="166" fontId="100" fillId="41" borderId="35" xfId="1212" applyFont="1" applyFill="1" applyBorder="1" applyAlignment="1">
      <alignment horizontal="right" vertical="center"/>
    </xf>
    <xf numFmtId="166" fontId="105" fillId="0" borderId="73" xfId="1212" applyFont="1" applyFill="1" applyBorder="1" applyAlignment="1">
      <alignment horizontal="right" vertical="center"/>
    </xf>
    <xf numFmtId="166" fontId="105" fillId="0" borderId="34" xfId="1212" applyFont="1" applyFill="1" applyBorder="1" applyAlignment="1">
      <alignment horizontal="right" vertical="center"/>
    </xf>
    <xf numFmtId="166" fontId="105" fillId="0" borderId="35" xfId="1212" applyFont="1" applyFill="1" applyBorder="1" applyAlignment="1">
      <alignment horizontal="right" vertical="center"/>
    </xf>
    <xf numFmtId="166" fontId="105" fillId="0" borderId="3" xfId="1212" applyFont="1" applyFill="1" applyBorder="1" applyAlignment="1">
      <alignment horizontal="right" vertical="center"/>
    </xf>
    <xf numFmtId="166" fontId="100" fillId="34" borderId="46" xfId="1212" applyFont="1" applyFill="1" applyBorder="1" applyAlignment="1">
      <alignment horizontal="right" vertical="center" wrapText="1"/>
    </xf>
    <xf numFmtId="166" fontId="100" fillId="35" borderId="73" xfId="1212" applyFont="1" applyFill="1" applyBorder="1" applyAlignment="1">
      <alignment horizontal="right" vertical="center"/>
    </xf>
    <xf numFmtId="166" fontId="100" fillId="35" borderId="34" xfId="1212" applyFont="1" applyFill="1" applyBorder="1" applyAlignment="1">
      <alignment horizontal="right" vertical="center"/>
    </xf>
    <xf numFmtId="166" fontId="100" fillId="36" borderId="73" xfId="1212" applyFont="1" applyFill="1" applyBorder="1" applyAlignment="1">
      <alignment horizontal="right" vertical="center"/>
    </xf>
    <xf numFmtId="166" fontId="100" fillId="36" borderId="34" xfId="1212" applyFont="1" applyFill="1" applyBorder="1" applyAlignment="1">
      <alignment horizontal="right" vertical="center"/>
    </xf>
    <xf numFmtId="166" fontId="100" fillId="37" borderId="73" xfId="1212" applyFont="1" applyFill="1" applyBorder="1" applyAlignment="1">
      <alignment horizontal="right" vertical="center" wrapText="1"/>
    </xf>
    <xf numFmtId="166" fontId="100" fillId="37" borderId="34" xfId="1212" applyFont="1" applyFill="1" applyBorder="1" applyAlignment="1">
      <alignment horizontal="right" vertical="center" wrapText="1"/>
    </xf>
    <xf numFmtId="166" fontId="100" fillId="40" borderId="73" xfId="1212" applyFont="1" applyFill="1" applyBorder="1" applyAlignment="1">
      <alignment horizontal="right" vertical="center"/>
    </xf>
    <xf numFmtId="166" fontId="100" fillId="40" borderId="34" xfId="1212" applyFont="1" applyFill="1" applyBorder="1" applyAlignment="1">
      <alignment horizontal="right" vertical="center"/>
    </xf>
    <xf numFmtId="166" fontId="100" fillId="39" borderId="73" xfId="1212" applyFont="1" applyFill="1" applyBorder="1" applyAlignment="1">
      <alignment horizontal="right" vertical="center"/>
    </xf>
    <xf numFmtId="166" fontId="100" fillId="39" borderId="34" xfId="1212" applyFont="1" applyFill="1" applyBorder="1" applyAlignment="1">
      <alignment horizontal="right" vertical="center"/>
    </xf>
    <xf numFmtId="166" fontId="100" fillId="38" borderId="73" xfId="1212" applyFont="1" applyFill="1" applyBorder="1" applyAlignment="1">
      <alignment horizontal="right" vertical="center"/>
    </xf>
    <xf numFmtId="166" fontId="100" fillId="38" borderId="34" xfId="1212" applyFont="1" applyFill="1" applyBorder="1" applyAlignment="1">
      <alignment horizontal="right" vertical="center"/>
    </xf>
    <xf numFmtId="9" fontId="106" fillId="0" borderId="0" xfId="1205" applyFont="1" applyFill="1" applyAlignment="1">
      <alignment horizontal="center" vertical="center" wrapText="1"/>
    </xf>
    <xf numFmtId="0" fontId="106" fillId="0" borderId="0" xfId="210" applyFont="1" applyFill="1" applyAlignment="1">
      <alignment horizontal="center" vertical="center" wrapText="1"/>
    </xf>
    <xf numFmtId="0" fontId="100" fillId="21" borderId="33" xfId="210" applyFont="1" applyFill="1" applyBorder="1" applyAlignment="1">
      <alignment horizontal="center" vertical="center" wrapText="1"/>
    </xf>
    <xf numFmtId="0" fontId="100" fillId="21" borderId="8" xfId="210" applyFont="1" applyFill="1" applyBorder="1" applyAlignment="1">
      <alignment horizontal="center" vertical="center" wrapText="1"/>
    </xf>
    <xf numFmtId="0" fontId="41" fillId="13" borderId="26" xfId="0" applyFont="1" applyFill="1" applyBorder="1" applyAlignment="1">
      <alignment horizontal="center" vertical="center" wrapText="1"/>
    </xf>
    <xf numFmtId="0" fontId="105" fillId="0" borderId="0" xfId="210" applyFont="1" applyFill="1" applyBorder="1" applyAlignment="1">
      <alignment vertical="center"/>
    </xf>
    <xf numFmtId="0" fontId="112" fillId="0" borderId="0" xfId="210" applyFont="1" applyFill="1" applyAlignment="1">
      <alignment horizontal="center" vertical="center"/>
    </xf>
    <xf numFmtId="194" fontId="98" fillId="0" borderId="0" xfId="1212" applyNumberFormat="1" applyFont="1" applyAlignment="1">
      <alignment horizontal="center" vertical="center"/>
    </xf>
    <xf numFmtId="194" fontId="100" fillId="0" borderId="0" xfId="1212" applyNumberFormat="1" applyFont="1" applyBorder="1" applyAlignment="1">
      <alignment horizontal="center" vertical="center" wrapText="1"/>
    </xf>
    <xf numFmtId="194" fontId="98" fillId="0" borderId="0" xfId="210" applyNumberFormat="1" applyFont="1" applyBorder="1" applyAlignment="1">
      <alignment horizontal="center" vertical="center"/>
    </xf>
    <xf numFmtId="194" fontId="100" fillId="5" borderId="33" xfId="1205" applyNumberFormat="1" applyFont="1" applyFill="1" applyBorder="1" applyAlignment="1">
      <alignment horizontal="right" vertical="center" wrapText="1"/>
    </xf>
    <xf numFmtId="194" fontId="100" fillId="5" borderId="39" xfId="1205" applyNumberFormat="1" applyFont="1" applyFill="1" applyBorder="1" applyAlignment="1">
      <alignment horizontal="right" vertical="center" wrapText="1"/>
    </xf>
    <xf numFmtId="201" fontId="100" fillId="32" borderId="35" xfId="1205" applyNumberFormat="1" applyFont="1" applyFill="1" applyBorder="1" applyAlignment="1">
      <alignment horizontal="right" vertical="center" wrapText="1"/>
    </xf>
    <xf numFmtId="201" fontId="100" fillId="32" borderId="35" xfId="1205" applyNumberFormat="1" applyFont="1" applyFill="1" applyBorder="1" applyAlignment="1">
      <alignment horizontal="center" vertical="center"/>
    </xf>
    <xf numFmtId="201" fontId="100" fillId="32" borderId="35" xfId="1205" applyNumberFormat="1" applyFont="1" applyFill="1" applyBorder="1" applyAlignment="1">
      <alignment horizontal="center" vertical="center" wrapText="1"/>
    </xf>
    <xf numFmtId="201" fontId="105" fillId="18" borderId="35" xfId="1205" applyNumberFormat="1" applyFont="1" applyFill="1" applyBorder="1" applyAlignment="1">
      <alignment horizontal="center" vertical="center"/>
    </xf>
    <xf numFmtId="201" fontId="105" fillId="19" borderId="35" xfId="1205" applyNumberFormat="1" applyFont="1" applyFill="1" applyBorder="1" applyAlignment="1">
      <alignment horizontal="center" vertical="center"/>
    </xf>
    <xf numFmtId="201" fontId="105" fillId="20" borderId="46" xfId="1205" applyNumberFormat="1" applyFont="1" applyFill="1" applyBorder="1" applyAlignment="1">
      <alignment horizontal="center" vertical="center"/>
    </xf>
    <xf numFmtId="0" fontId="116" fillId="0" borderId="0" xfId="210" applyFont="1" applyFill="1" applyAlignment="1">
      <alignment vertical="center"/>
    </xf>
    <xf numFmtId="0" fontId="114" fillId="0" borderId="0" xfId="210" applyFont="1" applyFill="1" applyAlignment="1">
      <alignment vertical="center"/>
    </xf>
    <xf numFmtId="166" fontId="100" fillId="0" borderId="35" xfId="1212" applyFont="1" applyFill="1" applyBorder="1" applyAlignment="1">
      <alignment horizontal="right" vertical="center"/>
    </xf>
    <xf numFmtId="166" fontId="100" fillId="0" borderId="28" xfId="1212" applyFont="1" applyFill="1" applyBorder="1" applyAlignment="1">
      <alignment horizontal="right" vertical="center"/>
    </xf>
    <xf numFmtId="166" fontId="100" fillId="0" borderId="46" xfId="1212" applyFont="1" applyFill="1" applyBorder="1" applyAlignment="1">
      <alignment horizontal="right" vertical="center"/>
    </xf>
    <xf numFmtId="166" fontId="100" fillId="0" borderId="44" xfId="1212" applyFont="1" applyFill="1" applyBorder="1" applyAlignment="1">
      <alignment horizontal="right" vertical="center"/>
    </xf>
    <xf numFmtId="166" fontId="101" fillId="0" borderId="28" xfId="1212" applyNumberFormat="1" applyFont="1" applyFill="1" applyBorder="1" applyAlignment="1" applyProtection="1">
      <alignment vertical="center"/>
      <protection hidden="1"/>
    </xf>
    <xf numFmtId="166" fontId="101" fillId="0" borderId="28" xfId="1212" applyFont="1" applyFill="1" applyBorder="1" applyAlignment="1" applyProtection="1">
      <alignment vertical="center"/>
      <protection hidden="1"/>
    </xf>
    <xf numFmtId="166" fontId="101" fillId="0" borderId="28" xfId="1212" applyNumberFormat="1" applyFont="1" applyFill="1" applyBorder="1" applyAlignment="1">
      <alignment vertical="center" wrapText="1"/>
    </xf>
    <xf numFmtId="166" fontId="101" fillId="0" borderId="28" xfId="1212" applyNumberFormat="1" applyFont="1" applyFill="1" applyBorder="1" applyAlignment="1">
      <alignment horizontal="right" vertical="center"/>
    </xf>
    <xf numFmtId="166" fontId="101" fillId="10" borderId="28" xfId="1212" applyNumberFormat="1" applyFont="1" applyFill="1" applyBorder="1" applyAlignment="1">
      <alignment horizontal="right" vertical="center"/>
    </xf>
    <xf numFmtId="0" fontId="115" fillId="44" borderId="6" xfId="210" applyNumberFormat="1" applyFont="1" applyFill="1" applyBorder="1" applyAlignment="1">
      <alignment horizontal="center" vertical="center" wrapText="1"/>
    </xf>
    <xf numFmtId="0" fontId="132" fillId="0" borderId="0" xfId="0" applyFont="1" applyBorder="1" applyAlignment="1">
      <alignment vertical="center"/>
    </xf>
    <xf numFmtId="0" fontId="134" fillId="0" borderId="0" xfId="0" applyFont="1" applyBorder="1" applyAlignment="1">
      <alignment vertical="center"/>
    </xf>
    <xf numFmtId="0" fontId="140" fillId="0" borderId="0" xfId="0" applyFont="1" applyBorder="1" applyAlignment="1">
      <alignment vertical="center"/>
    </xf>
    <xf numFmtId="0" fontId="141" fillId="0" borderId="0" xfId="0" applyFont="1" applyBorder="1" applyAlignment="1">
      <alignment vertical="center"/>
    </xf>
    <xf numFmtId="0" fontId="116" fillId="0" borderId="0" xfId="210" applyFont="1" applyAlignment="1">
      <alignment vertical="center" wrapText="1"/>
    </xf>
    <xf numFmtId="0" fontId="147" fillId="0" borderId="0" xfId="0" applyFont="1" applyBorder="1" applyAlignment="1">
      <alignment vertical="center"/>
    </xf>
    <xf numFmtId="0" fontId="148" fillId="0" borderId="0" xfId="0" applyFont="1" applyBorder="1" applyAlignment="1">
      <alignment vertical="center"/>
    </xf>
    <xf numFmtId="0" fontId="150" fillId="0" borderId="0" xfId="0" applyFont="1" applyBorder="1" applyAlignment="1">
      <alignment vertical="center"/>
    </xf>
    <xf numFmtId="0" fontId="100" fillId="0" borderId="0" xfId="210" applyFont="1" applyBorder="1" applyAlignment="1">
      <alignment horizontal="left" vertical="center" wrapText="1"/>
    </xf>
    <xf numFmtId="166" fontId="105" fillId="0" borderId="0" xfId="1212" applyFont="1" applyBorder="1" applyAlignment="1">
      <alignment horizontal="center" vertical="center"/>
    </xf>
    <xf numFmtId="166" fontId="105" fillId="0" borderId="0" xfId="1212" applyFont="1" applyBorder="1" applyAlignment="1">
      <alignment vertical="center"/>
    </xf>
    <xf numFmtId="0" fontId="105" fillId="0" borderId="0" xfId="210" applyFont="1" applyBorder="1" applyAlignment="1">
      <alignment vertical="center" wrapText="1"/>
    </xf>
    <xf numFmtId="0" fontId="99" fillId="0" borderId="0" xfId="210" applyFont="1" applyBorder="1" applyAlignment="1">
      <alignment horizontal="left" vertical="center" wrapText="1"/>
    </xf>
    <xf numFmtId="166" fontId="98" fillId="0" borderId="0" xfId="1212" applyFont="1" applyBorder="1" applyAlignment="1">
      <alignment vertical="center"/>
    </xf>
    <xf numFmtId="0" fontId="116" fillId="0" borderId="0" xfId="210" applyFont="1" applyBorder="1" applyAlignment="1">
      <alignment vertical="center" wrapText="1"/>
    </xf>
    <xf numFmtId="0" fontId="156" fillId="0" borderId="0" xfId="210" applyFont="1" applyAlignment="1">
      <alignment vertical="center" wrapText="1"/>
    </xf>
    <xf numFmtId="0" fontId="44" fillId="0" borderId="0" xfId="210" applyFont="1" applyAlignment="1">
      <alignment vertical="center" wrapText="1"/>
    </xf>
    <xf numFmtId="0" fontId="156" fillId="0" borderId="0" xfId="210" applyFont="1" applyBorder="1" applyAlignment="1">
      <alignment vertical="center" wrapText="1"/>
    </xf>
    <xf numFmtId="0" fontId="43" fillId="0" borderId="0" xfId="210" applyFont="1" applyBorder="1" applyAlignment="1">
      <alignment horizontal="left" vertical="center" wrapText="1"/>
    </xf>
    <xf numFmtId="166" fontId="44" fillId="0" borderId="0" xfId="1212" applyFont="1" applyBorder="1" applyAlignment="1">
      <alignment horizontal="center" vertical="center"/>
    </xf>
    <xf numFmtId="166" fontId="44" fillId="0" borderId="0" xfId="1212" applyFont="1" applyBorder="1" applyAlignment="1">
      <alignment vertical="center"/>
    </xf>
    <xf numFmtId="0" fontId="98" fillId="0" borderId="71" xfId="210" applyFont="1" applyBorder="1" applyAlignment="1">
      <alignment vertical="center" wrapText="1"/>
    </xf>
    <xf numFmtId="0" fontId="99" fillId="0" borderId="71" xfId="210" applyFont="1" applyBorder="1" applyAlignment="1">
      <alignment horizontal="left" vertical="center" wrapText="1"/>
    </xf>
    <xf numFmtId="166" fontId="98" fillId="0" borderId="71" xfId="1212" applyFont="1" applyBorder="1" applyAlignment="1">
      <alignment horizontal="center" vertical="center"/>
    </xf>
    <xf numFmtId="194" fontId="98" fillId="0" borderId="71" xfId="1212" applyNumberFormat="1" applyFont="1" applyBorder="1" applyAlignment="1">
      <alignment horizontal="center" vertical="center"/>
    </xf>
    <xf numFmtId="166" fontId="98" fillId="0" borderId="71" xfId="1212" applyFont="1" applyBorder="1" applyAlignment="1">
      <alignment vertical="center"/>
    </xf>
    <xf numFmtId="194" fontId="105" fillId="0" borderId="0" xfId="1212" applyNumberFormat="1" applyFont="1" applyBorder="1" applyAlignment="1">
      <alignment horizontal="center" vertical="center"/>
    </xf>
    <xf numFmtId="0" fontId="98" fillId="0" borderId="0" xfId="210" applyFont="1" applyBorder="1" applyAlignment="1">
      <alignment vertical="center" wrapText="1"/>
    </xf>
    <xf numFmtId="194" fontId="98" fillId="0" borderId="0" xfId="1212" applyNumberFormat="1" applyFont="1" applyBorder="1" applyAlignment="1">
      <alignment horizontal="center" vertical="center"/>
    </xf>
    <xf numFmtId="0" fontId="156" fillId="0" borderId="0" xfId="210" applyFont="1" applyBorder="1" applyAlignment="1">
      <alignment vertical="center"/>
    </xf>
    <xf numFmtId="0" fontId="27" fillId="0" borderId="89" xfId="0" applyFont="1" applyBorder="1" applyAlignment="1">
      <alignment vertical="center"/>
    </xf>
    <xf numFmtId="0" fontId="27" fillId="0" borderId="90" xfId="0" applyFont="1" applyBorder="1" applyAlignment="1">
      <alignment vertical="center"/>
    </xf>
    <xf numFmtId="166" fontId="27" fillId="0" borderId="90" xfId="1212" applyNumberFormat="1" applyFont="1" applyBorder="1" applyAlignment="1">
      <alignment vertical="center"/>
    </xf>
    <xf numFmtId="166" fontId="27" fillId="0" borderId="90" xfId="1212" applyFont="1" applyBorder="1" applyAlignment="1">
      <alignment vertical="center"/>
    </xf>
    <xf numFmtId="194" fontId="27" fillId="0" borderId="90" xfId="1205" applyNumberFormat="1" applyFont="1" applyBorder="1" applyAlignment="1">
      <alignment horizontal="center" vertical="center"/>
    </xf>
    <xf numFmtId="0" fontId="27" fillId="0" borderId="91" xfId="0" applyFont="1" applyBorder="1" applyAlignment="1">
      <alignment vertical="center"/>
    </xf>
    <xf numFmtId="0" fontId="27" fillId="0" borderId="92" xfId="0" applyFont="1" applyBorder="1" applyAlignment="1">
      <alignment vertical="center"/>
    </xf>
    <xf numFmtId="0" fontId="27" fillId="0" borderId="93" xfId="0" applyFont="1" applyBorder="1" applyAlignment="1">
      <alignment vertical="center"/>
    </xf>
    <xf numFmtId="0" fontId="39" fillId="0" borderId="92" xfId="0" applyFont="1" applyBorder="1" applyAlignment="1">
      <alignment vertical="center"/>
    </xf>
    <xf numFmtId="0" fontId="39" fillId="0" borderId="93" xfId="0" applyFont="1" applyBorder="1" applyAlignment="1">
      <alignment vertical="center"/>
    </xf>
    <xf numFmtId="167" fontId="39" fillId="0" borderId="93" xfId="0" applyNumberFormat="1" applyFont="1" applyBorder="1" applyAlignment="1">
      <alignment vertical="center"/>
    </xf>
    <xf numFmtId="0" fontId="103" fillId="0" borderId="93" xfId="0" applyFont="1" applyFill="1" applyBorder="1" applyAlignment="1">
      <alignment vertical="center"/>
    </xf>
    <xf numFmtId="44" fontId="103" fillId="0" borderId="93" xfId="0" applyNumberFormat="1" applyFont="1" applyFill="1" applyBorder="1" applyAlignment="1">
      <alignment vertical="center"/>
    </xf>
    <xf numFmtId="9" fontId="103" fillId="0" borderId="93" xfId="1205" applyFont="1" applyFill="1" applyBorder="1" applyAlignment="1">
      <alignment vertical="center"/>
    </xf>
    <xf numFmtId="0" fontId="39" fillId="0" borderId="92" xfId="0" applyFont="1" applyFill="1" applyBorder="1" applyAlignment="1">
      <alignment vertical="center"/>
    </xf>
    <xf numFmtId="44" fontId="42" fillId="0" borderId="92" xfId="0" applyNumberFormat="1" applyFont="1" applyBorder="1" applyAlignment="1">
      <alignment vertical="center"/>
    </xf>
    <xf numFmtId="0" fontId="91" fillId="0" borderId="93" xfId="0" applyFont="1" applyFill="1" applyBorder="1" applyAlignment="1">
      <alignment vertical="center"/>
    </xf>
    <xf numFmtId="0" fontId="39" fillId="10" borderId="92" xfId="0" applyFont="1" applyFill="1" applyBorder="1" applyAlignment="1">
      <alignment vertical="center"/>
    </xf>
    <xf numFmtId="0" fontId="103" fillId="10" borderId="93" xfId="0" applyFont="1" applyFill="1" applyBorder="1" applyAlignment="1">
      <alignment vertical="center"/>
    </xf>
    <xf numFmtId="0" fontId="42" fillId="0" borderId="92" xfId="0" applyFont="1" applyBorder="1" applyAlignment="1">
      <alignment vertical="center"/>
    </xf>
    <xf numFmtId="44" fontId="103" fillId="10" borderId="93" xfId="0" applyNumberFormat="1" applyFont="1" applyFill="1" applyBorder="1" applyAlignment="1">
      <alignment vertical="center"/>
    </xf>
    <xf numFmtId="195" fontId="103" fillId="0" borderId="93" xfId="0" applyNumberFormat="1" applyFont="1" applyFill="1" applyBorder="1" applyAlignment="1">
      <alignment vertical="center"/>
    </xf>
    <xf numFmtId="44" fontId="39" fillId="0" borderId="92" xfId="0" applyNumberFormat="1" applyFont="1" applyBorder="1" applyAlignment="1">
      <alignment vertical="center"/>
    </xf>
    <xf numFmtId="192" fontId="103" fillId="0" borderId="93" xfId="0" applyNumberFormat="1" applyFont="1" applyFill="1" applyBorder="1" applyAlignment="1">
      <alignment vertical="center"/>
    </xf>
    <xf numFmtId="44" fontId="91" fillId="0" borderId="93" xfId="0" applyNumberFormat="1" applyFont="1" applyFill="1" applyBorder="1" applyAlignment="1">
      <alignment vertical="center"/>
    </xf>
    <xf numFmtId="0" fontId="39" fillId="0" borderId="93" xfId="0" applyFont="1" applyFill="1" applyBorder="1" applyAlignment="1">
      <alignment vertical="center"/>
    </xf>
    <xf numFmtId="0" fontId="36" fillId="0" borderId="92" xfId="0" applyFont="1" applyBorder="1" applyAlignment="1">
      <alignment vertical="center"/>
    </xf>
    <xf numFmtId="0" fontId="104" fillId="0" borderId="93" xfId="0" applyFont="1" applyFill="1" applyBorder="1" applyAlignment="1">
      <alignment vertical="center"/>
    </xf>
    <xf numFmtId="0" fontId="36" fillId="0" borderId="92" xfId="0" applyFont="1" applyFill="1" applyBorder="1" applyAlignment="1">
      <alignment vertical="center"/>
    </xf>
    <xf numFmtId="192" fontId="104" fillId="0" borderId="93" xfId="0" applyNumberFormat="1" applyFont="1" applyFill="1" applyBorder="1" applyAlignment="1">
      <alignment vertical="center"/>
    </xf>
    <xf numFmtId="0" fontId="36" fillId="0" borderId="93" xfId="0" applyFont="1" applyFill="1" applyBorder="1" applyAlignment="1">
      <alignment vertical="center"/>
    </xf>
    <xf numFmtId="0" fontId="39" fillId="0" borderId="94" xfId="0" applyFont="1" applyBorder="1" applyAlignment="1">
      <alignment vertical="center"/>
    </xf>
    <xf numFmtId="0" fontId="39" fillId="0" borderId="95" xfId="0" applyFont="1" applyBorder="1" applyAlignment="1">
      <alignment vertical="center"/>
    </xf>
    <xf numFmtId="166" fontId="39" fillId="0" borderId="95" xfId="1212" applyNumberFormat="1" applyFont="1" applyBorder="1" applyAlignment="1">
      <alignment vertical="center"/>
    </xf>
    <xf numFmtId="166" fontId="39" fillId="0" borderId="95" xfId="1212" applyFont="1" applyBorder="1" applyAlignment="1">
      <alignment vertical="center"/>
    </xf>
    <xf numFmtId="194" fontId="39" fillId="0" borderId="95" xfId="1205" applyNumberFormat="1" applyFont="1" applyBorder="1" applyAlignment="1">
      <alignment horizontal="center" vertical="center"/>
    </xf>
    <xf numFmtId="0" fontId="39" fillId="0" borderId="96" xfId="0" applyFont="1" applyBorder="1" applyAlignment="1">
      <alignment vertical="center"/>
    </xf>
    <xf numFmtId="0" fontId="0" fillId="0" borderId="89" xfId="0" applyBorder="1"/>
    <xf numFmtId="0" fontId="0" fillId="0" borderId="90" xfId="0" applyBorder="1" applyAlignment="1">
      <alignment wrapText="1"/>
    </xf>
    <xf numFmtId="166" fontId="0" fillId="0" borderId="90" xfId="1212" applyFont="1" applyBorder="1"/>
    <xf numFmtId="0" fontId="0" fillId="0" borderId="90" xfId="0" applyBorder="1"/>
    <xf numFmtId="0" fontId="0" fillId="0" borderId="91" xfId="0" applyBorder="1"/>
    <xf numFmtId="0" fontId="0" fillId="0" borderId="92" xfId="0" applyBorder="1"/>
    <xf numFmtId="0" fontId="0" fillId="0" borderId="93" xfId="0" applyBorder="1"/>
    <xf numFmtId="0" fontId="27" fillId="0" borderId="92" xfId="0" applyFont="1" applyBorder="1"/>
    <xf numFmtId="0" fontId="27" fillId="0" borderId="93" xfId="0" applyFont="1" applyBorder="1"/>
    <xf numFmtId="0" fontId="0" fillId="0" borderId="94" xfId="0" applyBorder="1"/>
    <xf numFmtId="0" fontId="0" fillId="0" borderId="95" xfId="0" applyBorder="1" applyAlignment="1">
      <alignment wrapText="1"/>
    </xf>
    <xf numFmtId="166" fontId="0" fillId="0" borderId="95" xfId="1212" applyFont="1" applyBorder="1"/>
    <xf numFmtId="0" fontId="0" fillId="0" borderId="95" xfId="0" applyBorder="1"/>
    <xf numFmtId="0" fontId="0" fillId="0" borderId="96" xfId="0" applyBorder="1"/>
    <xf numFmtId="0" fontId="98" fillId="0" borderId="89" xfId="210" applyFont="1" applyFill="1" applyBorder="1" applyAlignment="1">
      <alignment vertical="center"/>
    </xf>
    <xf numFmtId="0" fontId="98" fillId="0" borderId="90" xfId="210" applyFont="1" applyBorder="1" applyAlignment="1">
      <alignment horizontal="center" vertical="center"/>
    </xf>
    <xf numFmtId="0" fontId="99" fillId="0" borderId="90" xfId="210" applyFont="1" applyBorder="1" applyAlignment="1">
      <alignment horizontal="center" vertical="center" wrapText="1"/>
    </xf>
    <xf numFmtId="194" fontId="99" fillId="0" borderId="90" xfId="210" applyNumberFormat="1" applyFont="1" applyBorder="1" applyAlignment="1">
      <alignment horizontal="center" vertical="center" wrapText="1"/>
    </xf>
    <xf numFmtId="0" fontId="98" fillId="0" borderId="91" xfId="210" applyFont="1" applyFill="1" applyBorder="1" applyAlignment="1">
      <alignment vertical="center"/>
    </xf>
    <xf numFmtId="0" fontId="98" fillId="0" borderId="92" xfId="210" applyFont="1" applyFill="1" applyBorder="1" applyAlignment="1">
      <alignment vertical="center"/>
    </xf>
    <xf numFmtId="0" fontId="98" fillId="0" borderId="93" xfId="210" applyFont="1" applyFill="1" applyBorder="1" applyAlignment="1">
      <alignment vertical="center"/>
    </xf>
    <xf numFmtId="0" fontId="105" fillId="0" borderId="92" xfId="210" applyFont="1" applyFill="1" applyBorder="1" applyAlignment="1">
      <alignment vertical="center"/>
    </xf>
    <xf numFmtId="0" fontId="105" fillId="0" borderId="93" xfId="210" applyFont="1" applyFill="1" applyBorder="1" applyAlignment="1">
      <alignment vertical="center"/>
    </xf>
    <xf numFmtId="0" fontId="112" fillId="0" borderId="92" xfId="210" applyFont="1" applyFill="1" applyBorder="1" applyAlignment="1">
      <alignment horizontal="center" vertical="center"/>
    </xf>
    <xf numFmtId="0" fontId="112" fillId="0" borderId="93" xfId="210" applyFont="1" applyFill="1" applyBorder="1" applyAlignment="1">
      <alignment horizontal="center" vertical="center"/>
    </xf>
    <xf numFmtId="0" fontId="116" fillId="0" borderId="92" xfId="210" applyFont="1" applyFill="1" applyBorder="1" applyAlignment="1">
      <alignment vertical="center"/>
    </xf>
    <xf numFmtId="0" fontId="116" fillId="0" borderId="93" xfId="210" applyFont="1" applyFill="1" applyBorder="1" applyAlignment="1">
      <alignment vertical="center"/>
    </xf>
    <xf numFmtId="0" fontId="114" fillId="0" borderId="92" xfId="210" applyFont="1" applyFill="1" applyBorder="1" applyAlignment="1">
      <alignment vertical="center"/>
    </xf>
    <xf numFmtId="0" fontId="114" fillId="0" borderId="93" xfId="210" applyFont="1" applyFill="1" applyBorder="1" applyAlignment="1">
      <alignment vertical="center"/>
    </xf>
    <xf numFmtId="0" fontId="116" fillId="0" borderId="94" xfId="210" applyFont="1" applyFill="1" applyBorder="1" applyAlignment="1">
      <alignment vertical="center"/>
    </xf>
    <xf numFmtId="0" fontId="156" fillId="0" borderId="95" xfId="210" applyFont="1" applyBorder="1" applyAlignment="1">
      <alignment vertical="center" wrapText="1"/>
    </xf>
    <xf numFmtId="0" fontId="99" fillId="0" borderId="95" xfId="210" applyFont="1" applyBorder="1" applyAlignment="1">
      <alignment horizontal="left" vertical="center" wrapText="1"/>
    </xf>
    <xf numFmtId="166" fontId="98" fillId="0" borderId="95" xfId="1212" applyFont="1" applyBorder="1" applyAlignment="1">
      <alignment horizontal="center" vertical="center"/>
    </xf>
    <xf numFmtId="194" fontId="98" fillId="0" borderId="95" xfId="1212" applyNumberFormat="1" applyFont="1" applyBorder="1" applyAlignment="1">
      <alignment horizontal="center" vertical="center"/>
    </xf>
    <xf numFmtId="166" fontId="98" fillId="0" borderId="95" xfId="1212" applyFont="1" applyBorder="1" applyAlignment="1">
      <alignment vertical="center"/>
    </xf>
    <xf numFmtId="0" fontId="98" fillId="0" borderId="96" xfId="210" applyFont="1" applyFill="1" applyBorder="1" applyAlignment="1">
      <alignment vertical="center"/>
    </xf>
    <xf numFmtId="0" fontId="107" fillId="0" borderId="92" xfId="210" applyFont="1" applyFill="1" applyBorder="1" applyAlignment="1">
      <alignment vertical="center"/>
    </xf>
    <xf numFmtId="0" fontId="107" fillId="0" borderId="93" xfId="210" applyFont="1" applyFill="1" applyBorder="1" applyAlignment="1">
      <alignment vertical="center"/>
    </xf>
    <xf numFmtId="0" fontId="100" fillId="0" borderId="92" xfId="210" applyFont="1" applyFill="1" applyBorder="1" applyAlignment="1">
      <alignment horizontal="center" vertical="center" wrapText="1"/>
    </xf>
    <xf numFmtId="0" fontId="100" fillId="0" borderId="93" xfId="210" applyFont="1" applyFill="1" applyBorder="1" applyAlignment="1">
      <alignment horizontal="center" vertical="center" wrapText="1"/>
    </xf>
    <xf numFmtId="0" fontId="100" fillId="0" borderId="92" xfId="210" applyFont="1" applyFill="1" applyBorder="1" applyAlignment="1">
      <alignment vertical="center"/>
    </xf>
    <xf numFmtId="0" fontId="100" fillId="0" borderId="93" xfId="210" applyFont="1" applyFill="1" applyBorder="1" applyAlignment="1">
      <alignment vertical="center"/>
    </xf>
    <xf numFmtId="0" fontId="98" fillId="0" borderId="94" xfId="210" applyFont="1" applyFill="1" applyBorder="1" applyAlignment="1">
      <alignment vertical="center"/>
    </xf>
    <xf numFmtId="0" fontId="116" fillId="0" borderId="95" xfId="210" applyFont="1" applyBorder="1" applyAlignment="1">
      <alignment vertical="center" wrapText="1"/>
    </xf>
    <xf numFmtId="0" fontId="100" fillId="0" borderId="28" xfId="210" applyFont="1" applyFill="1" applyBorder="1" applyAlignment="1">
      <alignment horizontal="center" vertical="center" wrapText="1"/>
    </xf>
    <xf numFmtId="166" fontId="105" fillId="0" borderId="35" xfId="1212" applyFont="1" applyFill="1" applyBorder="1" applyAlignment="1">
      <alignment horizontal="right" vertical="center"/>
    </xf>
    <xf numFmtId="0" fontId="164" fillId="0" borderId="28" xfId="210" applyFont="1" applyFill="1" applyBorder="1" applyAlignment="1">
      <alignment horizontal="left" vertical="center" wrapText="1"/>
    </xf>
    <xf numFmtId="0" fontId="164" fillId="35" borderId="34" xfId="210" applyFont="1" applyFill="1" applyBorder="1" applyAlignment="1">
      <alignment horizontal="center" vertical="center" wrapText="1"/>
    </xf>
    <xf numFmtId="0" fontId="164" fillId="35" borderId="28" xfId="210" applyFont="1" applyFill="1" applyBorder="1" applyAlignment="1">
      <alignment horizontal="center" vertical="center" wrapText="1"/>
    </xf>
    <xf numFmtId="0" fontId="164" fillId="35" borderId="28" xfId="210" applyFont="1" applyFill="1" applyBorder="1" applyAlignment="1">
      <alignment horizontal="left" vertical="center" wrapText="1"/>
    </xf>
    <xf numFmtId="0" fontId="164" fillId="36" borderId="34" xfId="210" applyFont="1" applyFill="1" applyBorder="1" applyAlignment="1">
      <alignment horizontal="center" vertical="center" wrapText="1"/>
    </xf>
    <xf numFmtId="0" fontId="164" fillId="36" borderId="28" xfId="210" applyFont="1" applyFill="1" applyBorder="1" applyAlignment="1">
      <alignment horizontal="center" vertical="center" wrapText="1"/>
    </xf>
    <xf numFmtId="0" fontId="164" fillId="36" borderId="28" xfId="210" applyFont="1" applyFill="1" applyBorder="1" applyAlignment="1">
      <alignment horizontal="left" vertical="center" wrapText="1"/>
    </xf>
    <xf numFmtId="0" fontId="164" fillId="37" borderId="34" xfId="210" applyFont="1" applyFill="1" applyBorder="1" applyAlignment="1">
      <alignment horizontal="center" vertical="center" wrapText="1"/>
    </xf>
    <xf numFmtId="0" fontId="164" fillId="37" borderId="28" xfId="210" applyFont="1" applyFill="1" applyBorder="1" applyAlignment="1">
      <alignment horizontal="center" vertical="center" wrapText="1"/>
    </xf>
    <xf numFmtId="0" fontId="164" fillId="37" borderId="28" xfId="210" applyFont="1" applyFill="1" applyBorder="1" applyAlignment="1">
      <alignment horizontal="left" vertical="center" wrapText="1"/>
    </xf>
    <xf numFmtId="0" fontId="164" fillId="0" borderId="44" xfId="210" applyFont="1" applyFill="1" applyBorder="1" applyAlignment="1">
      <alignment horizontal="left" vertical="center" wrapText="1"/>
    </xf>
    <xf numFmtId="0" fontId="164" fillId="0" borderId="28" xfId="210" applyFont="1" applyFill="1" applyBorder="1" applyAlignment="1">
      <alignment horizontal="center" vertical="center" wrapText="1"/>
    </xf>
    <xf numFmtId="0" fontId="164" fillId="38" borderId="34" xfId="210" applyFont="1" applyFill="1" applyBorder="1" applyAlignment="1">
      <alignment horizontal="center" vertical="center" wrapText="1"/>
    </xf>
    <xf numFmtId="0" fontId="164" fillId="38" borderId="28" xfId="210" applyFont="1" applyFill="1" applyBorder="1" applyAlignment="1">
      <alignment horizontal="center" vertical="center" wrapText="1"/>
    </xf>
    <xf numFmtId="0" fontId="164" fillId="38" borderId="28" xfId="210" applyFont="1" applyFill="1" applyBorder="1" applyAlignment="1">
      <alignment horizontal="left" vertical="center" wrapText="1"/>
    </xf>
    <xf numFmtId="0" fontId="164" fillId="39" borderId="34" xfId="210" applyFont="1" applyFill="1" applyBorder="1" applyAlignment="1">
      <alignment horizontal="center" vertical="center" wrapText="1"/>
    </xf>
    <xf numFmtId="0" fontId="164" fillId="39" borderId="28" xfId="210" applyFont="1" applyFill="1" applyBorder="1" applyAlignment="1">
      <alignment horizontal="center" vertical="center" wrapText="1"/>
    </xf>
    <xf numFmtId="0" fontId="164" fillId="39" borderId="28" xfId="210" applyFont="1" applyFill="1" applyBorder="1" applyAlignment="1">
      <alignment horizontal="left" vertical="center" wrapText="1"/>
    </xf>
    <xf numFmtId="0" fontId="164" fillId="40" borderId="34" xfId="210" applyFont="1" applyFill="1" applyBorder="1" applyAlignment="1">
      <alignment horizontal="center" vertical="center" wrapText="1"/>
    </xf>
    <xf numFmtId="0" fontId="164" fillId="40" borderId="28" xfId="210" applyFont="1" applyFill="1" applyBorder="1" applyAlignment="1">
      <alignment horizontal="center" vertical="center" wrapText="1"/>
    </xf>
    <xf numFmtId="0" fontId="164" fillId="40" borderId="28" xfId="210" applyFont="1" applyFill="1" applyBorder="1" applyAlignment="1">
      <alignment horizontal="left" vertical="center" wrapText="1"/>
    </xf>
    <xf numFmtId="0" fontId="164" fillId="0" borderId="38" xfId="210" applyFont="1" applyFill="1" applyBorder="1" applyAlignment="1">
      <alignment horizontal="left" vertical="center" wrapText="1"/>
    </xf>
    <xf numFmtId="0" fontId="164" fillId="0" borderId="92" xfId="210" applyNumberFormat="1" applyFont="1" applyFill="1" applyBorder="1" applyAlignment="1">
      <alignment horizontal="center" vertical="center" wrapText="1"/>
    </xf>
    <xf numFmtId="0" fontId="164" fillId="44" borderId="21" xfId="210" applyNumberFormat="1" applyFont="1" applyFill="1" applyBorder="1" applyAlignment="1">
      <alignment horizontal="center" vertical="center" wrapText="1"/>
    </xf>
    <xf numFmtId="0" fontId="164" fillId="44" borderId="24" xfId="210" applyNumberFormat="1" applyFont="1" applyFill="1" applyBorder="1" applyAlignment="1">
      <alignment horizontal="center" vertical="center" wrapText="1"/>
    </xf>
    <xf numFmtId="0" fontId="164" fillId="44" borderId="6" xfId="1212" applyNumberFormat="1" applyFont="1" applyFill="1" applyBorder="1" applyAlignment="1">
      <alignment horizontal="center" vertical="center" wrapText="1"/>
    </xf>
    <xf numFmtId="0" fontId="164" fillId="44" borderId="6" xfId="210" applyNumberFormat="1" applyFont="1" applyFill="1" applyBorder="1" applyAlignment="1">
      <alignment horizontal="center" vertical="center" wrapText="1"/>
    </xf>
    <xf numFmtId="0" fontId="164" fillId="44" borderId="6" xfId="1205" applyNumberFormat="1" applyFont="1" applyFill="1" applyBorder="1" applyAlignment="1">
      <alignment horizontal="center" vertical="center" wrapText="1"/>
    </xf>
    <xf numFmtId="0" fontId="164" fillId="44" borderId="33" xfId="1212" applyNumberFormat="1" applyFont="1" applyFill="1" applyBorder="1" applyAlignment="1">
      <alignment horizontal="center" vertical="center" wrapText="1"/>
    </xf>
    <xf numFmtId="0" fontId="164" fillId="0" borderId="93" xfId="210" applyNumberFormat="1" applyFont="1" applyFill="1" applyBorder="1" applyAlignment="1">
      <alignment horizontal="center" vertical="center" wrapText="1"/>
    </xf>
    <xf numFmtId="0" fontId="164" fillId="0" borderId="0" xfId="210" applyNumberFormat="1" applyFont="1" applyFill="1" applyAlignment="1">
      <alignment horizontal="center" vertical="center" wrapText="1"/>
    </xf>
    <xf numFmtId="0" fontId="164" fillId="0" borderId="92" xfId="210" applyFont="1" applyFill="1" applyBorder="1" applyAlignment="1">
      <alignment horizontal="center" vertical="center" wrapText="1"/>
    </xf>
    <xf numFmtId="0" fontId="164" fillId="5" borderId="34" xfId="210" applyFont="1" applyFill="1" applyBorder="1" applyAlignment="1">
      <alignment horizontal="center" vertical="center" wrapText="1"/>
    </xf>
    <xf numFmtId="0" fontId="164" fillId="5" borderId="28" xfId="210" applyFont="1" applyFill="1" applyBorder="1" applyAlignment="1">
      <alignment horizontal="center" vertical="center" wrapText="1"/>
    </xf>
    <xf numFmtId="0" fontId="164" fillId="5" borderId="28" xfId="210" applyFont="1" applyFill="1" applyBorder="1" applyAlignment="1">
      <alignment horizontal="left" vertical="center" wrapText="1"/>
    </xf>
    <xf numFmtId="166" fontId="164" fillId="5" borderId="28" xfId="1212" applyFont="1" applyFill="1" applyBorder="1" applyAlignment="1">
      <alignment horizontal="right" vertical="center" wrapText="1"/>
    </xf>
    <xf numFmtId="194" fontId="164" fillId="5" borderId="28" xfId="1205" applyNumberFormat="1" applyFont="1" applyFill="1" applyBorder="1" applyAlignment="1">
      <alignment horizontal="center" vertical="center" wrapText="1"/>
    </xf>
    <xf numFmtId="166" fontId="164" fillId="5" borderId="35" xfId="1212" applyFont="1" applyFill="1" applyBorder="1" applyAlignment="1">
      <alignment horizontal="right" vertical="center" wrapText="1"/>
    </xf>
    <xf numFmtId="0" fontId="164" fillId="0" borderId="93" xfId="210" applyFont="1" applyFill="1" applyBorder="1" applyAlignment="1">
      <alignment horizontal="center" vertical="center" wrapText="1"/>
    </xf>
    <xf numFmtId="0" fontId="164" fillId="0" borderId="0" xfId="210" applyFont="1" applyFill="1" applyBorder="1" applyAlignment="1">
      <alignment horizontal="center" vertical="center" wrapText="1"/>
    </xf>
    <xf numFmtId="0" fontId="164" fillId="34" borderId="34" xfId="210" applyFont="1" applyFill="1" applyBorder="1" applyAlignment="1">
      <alignment horizontal="center" vertical="center" wrapText="1"/>
    </xf>
    <xf numFmtId="0" fontId="164" fillId="34" borderId="28" xfId="210" applyFont="1" applyFill="1" applyBorder="1" applyAlignment="1">
      <alignment horizontal="center" vertical="center" wrapText="1"/>
    </xf>
    <xf numFmtId="0" fontId="164" fillId="34" borderId="28" xfId="210" applyFont="1" applyFill="1" applyBorder="1" applyAlignment="1">
      <alignment horizontal="left" vertical="center" wrapText="1"/>
    </xf>
    <xf numFmtId="166" fontId="164" fillId="34" borderId="28" xfId="1212" applyFont="1" applyFill="1" applyBorder="1" applyAlignment="1">
      <alignment horizontal="right" vertical="center" wrapText="1"/>
    </xf>
    <xf numFmtId="194" fontId="164" fillId="34" borderId="28" xfId="1205" applyNumberFormat="1" applyFont="1" applyFill="1" applyBorder="1" applyAlignment="1">
      <alignment horizontal="center" vertical="center" wrapText="1"/>
    </xf>
    <xf numFmtId="166" fontId="164" fillId="34" borderId="35" xfId="1212" applyFont="1" applyFill="1" applyBorder="1" applyAlignment="1">
      <alignment horizontal="right" vertical="center" wrapText="1"/>
    </xf>
    <xf numFmtId="166" fontId="170" fillId="35" borderId="28" xfId="1212" applyFont="1" applyFill="1" applyBorder="1" applyAlignment="1">
      <alignment horizontal="right" vertical="center"/>
    </xf>
    <xf numFmtId="194" fontId="170" fillId="35" borderId="28" xfId="1205" applyNumberFormat="1" applyFont="1" applyFill="1" applyBorder="1" applyAlignment="1">
      <alignment horizontal="right" vertical="center"/>
    </xf>
    <xf numFmtId="166" fontId="170" fillId="35" borderId="35" xfId="1212" applyFont="1" applyFill="1" applyBorder="1" applyAlignment="1">
      <alignment horizontal="right" vertical="center"/>
    </xf>
    <xf numFmtId="166" fontId="170" fillId="36" borderId="28" xfId="1212" applyFont="1" applyFill="1" applyBorder="1" applyAlignment="1">
      <alignment horizontal="right" vertical="center"/>
    </xf>
    <xf numFmtId="194" fontId="170" fillId="36" borderId="28" xfId="1205" applyNumberFormat="1" applyFont="1" applyFill="1" applyBorder="1" applyAlignment="1">
      <alignment horizontal="right" vertical="center"/>
    </xf>
    <xf numFmtId="166" fontId="170" fillId="36" borderId="35" xfId="1212" applyFont="1" applyFill="1" applyBorder="1" applyAlignment="1">
      <alignment horizontal="right" vertical="center"/>
    </xf>
    <xf numFmtId="166" fontId="170" fillId="37" borderId="28" xfId="1212" applyFont="1" applyFill="1" applyBorder="1" applyAlignment="1">
      <alignment horizontal="right" vertical="center" wrapText="1"/>
    </xf>
    <xf numFmtId="194" fontId="170" fillId="37" borderId="28" xfId="1205" applyNumberFormat="1" applyFont="1" applyFill="1" applyBorder="1" applyAlignment="1">
      <alignment horizontal="right" vertical="center" wrapText="1"/>
    </xf>
    <xf numFmtId="166" fontId="170" fillId="37" borderId="35" xfId="1212" applyFont="1" applyFill="1" applyBorder="1" applyAlignment="1">
      <alignment horizontal="right" vertical="center" wrapText="1"/>
    </xf>
    <xf numFmtId="166" fontId="170" fillId="0" borderId="28" xfId="1212" applyFont="1" applyFill="1" applyBorder="1" applyAlignment="1">
      <alignment horizontal="right" vertical="center"/>
    </xf>
    <xf numFmtId="194" fontId="170" fillId="0" borderId="28" xfId="1205" applyNumberFormat="1" applyFont="1" applyFill="1" applyBorder="1" applyAlignment="1">
      <alignment horizontal="right" vertical="center"/>
    </xf>
    <xf numFmtId="166" fontId="170" fillId="0" borderId="35" xfId="1212" applyFont="1" applyFill="1" applyBorder="1" applyAlignment="1">
      <alignment horizontal="right" vertical="center"/>
    </xf>
    <xf numFmtId="166" fontId="170" fillId="38" borderId="28" xfId="1212" applyFont="1" applyFill="1" applyBorder="1" applyAlignment="1">
      <alignment horizontal="right" vertical="center"/>
    </xf>
    <xf numFmtId="194" fontId="170" fillId="38" borderId="28" xfId="1205" applyNumberFormat="1" applyFont="1" applyFill="1" applyBorder="1" applyAlignment="1">
      <alignment horizontal="right" vertical="center"/>
    </xf>
    <xf numFmtId="166" fontId="170" fillId="38" borderId="35" xfId="1212" applyFont="1" applyFill="1" applyBorder="1" applyAlignment="1">
      <alignment horizontal="right" vertical="center"/>
    </xf>
    <xf numFmtId="166" fontId="170" fillId="39" borderId="28" xfId="1212" applyFont="1" applyFill="1" applyBorder="1" applyAlignment="1">
      <alignment horizontal="right" vertical="center"/>
    </xf>
    <xf numFmtId="194" fontId="170" fillId="39" borderId="28" xfId="1205" applyNumberFormat="1" applyFont="1" applyFill="1" applyBorder="1" applyAlignment="1">
      <alignment horizontal="right" vertical="center"/>
    </xf>
    <xf numFmtId="166" fontId="170" fillId="39" borderId="35" xfId="1212" applyFont="1" applyFill="1" applyBorder="1" applyAlignment="1">
      <alignment horizontal="right" vertical="center"/>
    </xf>
    <xf numFmtId="166" fontId="170" fillId="0" borderId="44" xfId="1212" applyFont="1" applyFill="1" applyBorder="1" applyAlignment="1">
      <alignment horizontal="right" vertical="center"/>
    </xf>
    <xf numFmtId="194" fontId="170" fillId="0" borderId="44" xfId="1205" applyNumberFormat="1" applyFont="1" applyFill="1" applyBorder="1" applyAlignment="1">
      <alignment horizontal="right" vertical="center"/>
    </xf>
    <xf numFmtId="166" fontId="170" fillId="0" borderId="46" xfId="1212" applyFont="1" applyFill="1" applyBorder="1" applyAlignment="1">
      <alignment horizontal="right" vertical="center"/>
    </xf>
    <xf numFmtId="166" fontId="170" fillId="40" borderId="28" xfId="1212" applyFont="1" applyFill="1" applyBorder="1" applyAlignment="1">
      <alignment horizontal="right" vertical="center"/>
    </xf>
    <xf numFmtId="194" fontId="170" fillId="40" borderId="28" xfId="1205" applyNumberFormat="1" applyFont="1" applyFill="1" applyBorder="1" applyAlignment="1">
      <alignment horizontal="right" vertical="center"/>
    </xf>
    <xf numFmtId="166" fontId="170" fillId="40" borderId="35" xfId="1212" applyFont="1" applyFill="1" applyBorder="1" applyAlignment="1">
      <alignment horizontal="right" vertical="center"/>
    </xf>
    <xf numFmtId="9" fontId="100" fillId="32" borderId="35" xfId="1205" applyFont="1" applyFill="1" applyBorder="1" applyAlignment="1">
      <alignment horizontal="center" vertical="center"/>
    </xf>
    <xf numFmtId="9" fontId="100" fillId="32" borderId="35" xfId="1205" applyFont="1" applyFill="1" applyBorder="1" applyAlignment="1">
      <alignment horizontal="center" vertical="center" wrapText="1"/>
    </xf>
    <xf numFmtId="9" fontId="105" fillId="18" borderId="35" xfId="1205" applyFont="1" applyFill="1" applyBorder="1" applyAlignment="1">
      <alignment horizontal="center" vertical="center"/>
    </xf>
    <xf numFmtId="9" fontId="105" fillId="19" borderId="35" xfId="1205" applyFont="1" applyFill="1" applyBorder="1" applyAlignment="1">
      <alignment horizontal="center" vertical="center"/>
    </xf>
    <xf numFmtId="9" fontId="105" fillId="20" borderId="46" xfId="1205" applyFont="1" applyFill="1" applyBorder="1" applyAlignment="1">
      <alignment horizontal="center" vertical="center"/>
    </xf>
    <xf numFmtId="9" fontId="100" fillId="5" borderId="33" xfId="1205" applyFont="1" applyFill="1" applyBorder="1" applyAlignment="1">
      <alignment horizontal="center" vertical="center" wrapText="1"/>
    </xf>
    <xf numFmtId="9" fontId="100" fillId="5" borderId="39" xfId="1205" applyFont="1" applyFill="1" applyBorder="1" applyAlignment="1">
      <alignment horizontal="center" vertical="center" wrapText="1"/>
    </xf>
    <xf numFmtId="0" fontId="101" fillId="0" borderId="97" xfId="0" applyFont="1" applyBorder="1" applyAlignment="1">
      <alignment horizontal="center" vertical="center"/>
    </xf>
    <xf numFmtId="0" fontId="102" fillId="12" borderId="18" xfId="0" applyFont="1" applyFill="1" applyBorder="1" applyAlignment="1">
      <alignment horizontal="center" vertical="center" wrapText="1"/>
    </xf>
    <xf numFmtId="0" fontId="0" fillId="0" borderId="0" xfId="0" applyBorder="1" applyAlignment="1">
      <alignment horizontal="center" wrapText="1"/>
    </xf>
    <xf numFmtId="0" fontId="97" fillId="0" borderId="97" xfId="0" applyFont="1" applyBorder="1" applyAlignment="1">
      <alignment horizontal="center" wrapText="1"/>
    </xf>
    <xf numFmtId="1" fontId="38" fillId="13" borderId="30" xfId="1212" applyNumberFormat="1" applyFont="1" applyFill="1" applyBorder="1" applyAlignment="1">
      <alignment horizontal="center" wrapText="1"/>
    </xf>
    <xf numFmtId="166" fontId="101" fillId="0" borderId="73" xfId="1212" applyFont="1" applyFill="1" applyBorder="1" applyAlignment="1">
      <alignment vertical="center"/>
    </xf>
    <xf numFmtId="0" fontId="102" fillId="12" borderId="73" xfId="0" applyFont="1" applyFill="1" applyBorder="1" applyAlignment="1">
      <alignment horizontal="center" vertical="center" wrapText="1"/>
    </xf>
    <xf numFmtId="166" fontId="101" fillId="10" borderId="73" xfId="1212" applyFont="1" applyFill="1" applyBorder="1" applyAlignment="1">
      <alignment vertical="center"/>
    </xf>
    <xf numFmtId="0" fontId="102" fillId="12" borderId="73" xfId="0" applyNumberFormat="1" applyFont="1" applyFill="1" applyBorder="1" applyAlignment="1">
      <alignment horizontal="center" vertical="center" wrapText="1"/>
    </xf>
    <xf numFmtId="166" fontId="101" fillId="0" borderId="0" xfId="1212" applyNumberFormat="1" applyFont="1" applyBorder="1" applyAlignment="1">
      <alignment horizontal="center" vertical="center"/>
    </xf>
    <xf numFmtId="0" fontId="38" fillId="13" borderId="11" xfId="0" applyFont="1" applyFill="1" applyBorder="1" applyAlignment="1">
      <alignment horizontal="center" wrapText="1"/>
    </xf>
    <xf numFmtId="166" fontId="0" fillId="0" borderId="101" xfId="0" applyNumberFormat="1" applyBorder="1"/>
    <xf numFmtId="166" fontId="38" fillId="13" borderId="11" xfId="1212" applyFont="1" applyFill="1" applyBorder="1"/>
    <xf numFmtId="0" fontId="38" fillId="13" borderId="30" xfId="0" applyFont="1" applyFill="1" applyBorder="1" applyAlignment="1">
      <alignment horizontal="center" wrapText="1"/>
    </xf>
    <xf numFmtId="166" fontId="0" fillId="0" borderId="24" xfId="0" applyNumberFormat="1" applyBorder="1"/>
    <xf numFmtId="194" fontId="41" fillId="13" borderId="11" xfId="1205" applyNumberFormat="1" applyFont="1" applyFill="1" applyBorder="1" applyAlignment="1">
      <alignment horizontal="center" vertical="center" wrapText="1"/>
    </xf>
    <xf numFmtId="194" fontId="42" fillId="12" borderId="101" xfId="1205" applyNumberFormat="1" applyFont="1" applyFill="1" applyBorder="1" applyAlignment="1">
      <alignment horizontal="center" vertical="center"/>
    </xf>
    <xf numFmtId="194" fontId="39" fillId="0" borderId="55" xfId="1205" applyNumberFormat="1" applyFont="1" applyBorder="1" applyAlignment="1">
      <alignment horizontal="center" vertical="center"/>
    </xf>
    <xf numFmtId="194" fontId="101" fillId="0" borderId="55" xfId="1205" applyNumberFormat="1" applyFont="1" applyBorder="1" applyAlignment="1">
      <alignment horizontal="center" vertical="center"/>
    </xf>
    <xf numFmtId="9" fontId="45" fillId="13" borderId="55" xfId="1205" applyFont="1" applyFill="1" applyBorder="1" applyAlignment="1">
      <alignment horizontal="center" vertical="center"/>
    </xf>
    <xf numFmtId="194" fontId="42" fillId="12" borderId="55" xfId="1205" applyNumberFormat="1" applyFont="1" applyFill="1" applyBorder="1" applyAlignment="1">
      <alignment horizontal="center" vertical="center"/>
    </xf>
    <xf numFmtId="194" fontId="102" fillId="12" borderId="55" xfId="1205" applyNumberFormat="1" applyFont="1" applyFill="1" applyBorder="1" applyAlignment="1">
      <alignment horizontal="center" vertical="center"/>
    </xf>
    <xf numFmtId="194" fontId="101" fillId="0" borderId="55" xfId="1205" applyNumberFormat="1" applyFont="1" applyFill="1" applyBorder="1" applyAlignment="1">
      <alignment horizontal="center" vertical="center"/>
    </xf>
    <xf numFmtId="194" fontId="41" fillId="13" borderId="55" xfId="1205" applyNumberFormat="1" applyFont="1" applyFill="1" applyBorder="1" applyAlignment="1">
      <alignment horizontal="center" vertical="center"/>
    </xf>
    <xf numFmtId="194" fontId="101" fillId="10" borderId="55" xfId="1205" applyNumberFormat="1" applyFont="1" applyFill="1" applyBorder="1" applyAlignment="1">
      <alignment horizontal="center" vertical="center"/>
    </xf>
    <xf numFmtId="41" fontId="101" fillId="0" borderId="55" xfId="1217" applyFont="1" applyFill="1" applyBorder="1" applyAlignment="1">
      <alignment horizontal="center" vertical="center"/>
    </xf>
    <xf numFmtId="194" fontId="45" fillId="13" borderId="55" xfId="1205" applyNumberFormat="1" applyFont="1" applyFill="1" applyBorder="1" applyAlignment="1">
      <alignment horizontal="center" vertical="center"/>
    </xf>
    <xf numFmtId="194" fontId="41" fillId="13" borderId="102" xfId="1205" applyNumberFormat="1" applyFont="1" applyFill="1" applyBorder="1" applyAlignment="1">
      <alignment horizontal="center" vertical="center"/>
    </xf>
    <xf numFmtId="194" fontId="41" fillId="13" borderId="30" xfId="1205" applyNumberFormat="1" applyFont="1" applyFill="1" applyBorder="1" applyAlignment="1">
      <alignment horizontal="center" vertical="center" wrapText="1"/>
    </xf>
    <xf numFmtId="194" fontId="42" fillId="12" borderId="24" xfId="1205" applyNumberFormat="1" applyFont="1" applyFill="1" applyBorder="1" applyAlignment="1">
      <alignment horizontal="center" vertical="center"/>
    </xf>
    <xf numFmtId="194" fontId="39" fillId="0" borderId="28" xfId="1205" applyNumberFormat="1" applyFont="1" applyBorder="1" applyAlignment="1">
      <alignment horizontal="center" vertical="center"/>
    </xf>
    <xf numFmtId="194" fontId="101" fillId="0" borderId="28" xfId="1205" applyNumberFormat="1" applyFont="1" applyBorder="1" applyAlignment="1">
      <alignment horizontal="center" vertical="center"/>
    </xf>
    <xf numFmtId="9" fontId="45" fillId="13" borderId="28" xfId="1205" applyFont="1" applyFill="1" applyBorder="1" applyAlignment="1">
      <alignment horizontal="center" vertical="center"/>
    </xf>
    <xf numFmtId="194" fontId="42" fillId="12" borderId="28" xfId="1205" applyNumberFormat="1" applyFont="1" applyFill="1" applyBorder="1" applyAlignment="1">
      <alignment horizontal="center" vertical="center"/>
    </xf>
    <xf numFmtId="194" fontId="102" fillId="12" borderId="28" xfId="1205" applyNumberFormat="1" applyFont="1" applyFill="1" applyBorder="1" applyAlignment="1">
      <alignment horizontal="center" vertical="center"/>
    </xf>
    <xf numFmtId="194" fontId="101" fillId="0" borderId="28" xfId="1205" applyNumberFormat="1" applyFont="1" applyFill="1" applyBorder="1" applyAlignment="1">
      <alignment horizontal="center" vertical="center"/>
    </xf>
    <xf numFmtId="194" fontId="41" fillId="13" borderId="28" xfId="1205" applyNumberFormat="1" applyFont="1" applyFill="1" applyBorder="1" applyAlignment="1">
      <alignment horizontal="center" vertical="center"/>
    </xf>
    <xf numFmtId="194" fontId="101" fillId="10" borderId="28" xfId="1205" applyNumberFormat="1" applyFont="1" applyFill="1" applyBorder="1" applyAlignment="1">
      <alignment horizontal="center" vertical="center"/>
    </xf>
    <xf numFmtId="41" fontId="101" fillId="0" borderId="28" xfId="1217" applyFont="1" applyFill="1" applyBorder="1" applyAlignment="1">
      <alignment horizontal="center" vertical="center"/>
    </xf>
    <xf numFmtId="194" fontId="45" fillId="13" borderId="28" xfId="1205" applyNumberFormat="1" applyFont="1" applyFill="1" applyBorder="1" applyAlignment="1">
      <alignment horizontal="center" vertical="center"/>
    </xf>
    <xf numFmtId="194" fontId="41" fillId="13" borderId="38" xfId="1205" applyNumberFormat="1" applyFont="1" applyFill="1" applyBorder="1" applyAlignment="1">
      <alignment horizontal="center" vertical="center"/>
    </xf>
    <xf numFmtId="166" fontId="0" fillId="0" borderId="0" xfId="1212" applyFont="1" applyBorder="1" applyAlignment="1">
      <alignment horizontal="center"/>
    </xf>
    <xf numFmtId="0" fontId="38" fillId="13" borderId="26" xfId="0" applyFont="1" applyFill="1" applyBorder="1" applyAlignment="1">
      <alignment wrapText="1"/>
    </xf>
    <xf numFmtId="166" fontId="38" fillId="13" borderId="103" xfId="1212" applyFont="1" applyFill="1" applyBorder="1"/>
    <xf numFmtId="0" fontId="32" fillId="12" borderId="97" xfId="0" applyFont="1" applyFill="1" applyBorder="1" applyAlignment="1">
      <alignment wrapText="1"/>
    </xf>
    <xf numFmtId="166" fontId="0" fillId="0" borderId="97" xfId="1212" applyFont="1" applyBorder="1"/>
    <xf numFmtId="0" fontId="0" fillId="0" borderId="0" xfId="0" applyAlignment="1">
      <alignment horizontal="center"/>
    </xf>
    <xf numFmtId="0" fontId="38" fillId="13" borderId="26" xfId="0" applyFont="1" applyFill="1" applyBorder="1" applyAlignment="1">
      <alignment horizontal="center" wrapText="1"/>
    </xf>
    <xf numFmtId="1" fontId="38" fillId="13" borderId="103" xfId="1212" applyNumberFormat="1" applyFont="1" applyFill="1" applyBorder="1" applyAlignment="1">
      <alignment horizontal="center" wrapText="1"/>
    </xf>
    <xf numFmtId="0" fontId="172" fillId="0" borderId="28" xfId="210" applyFont="1" applyFill="1" applyBorder="1" applyAlignment="1">
      <alignment horizontal="left" vertical="center" wrapText="1"/>
    </xf>
    <xf numFmtId="166" fontId="0" fillId="0" borderId="28" xfId="1212" applyFont="1" applyBorder="1" applyAlignment="1">
      <alignment vertical="center"/>
    </xf>
    <xf numFmtId="166" fontId="0" fillId="0" borderId="28" xfId="1212" applyFont="1" applyBorder="1" applyAlignment="1">
      <alignment vertical="center" wrapText="1"/>
    </xf>
    <xf numFmtId="166" fontId="0" fillId="0" borderId="93" xfId="0" applyNumberFormat="1" applyBorder="1"/>
    <xf numFmtId="0" fontId="0" fillId="0" borderId="92" xfId="0" applyBorder="1" applyAlignment="1">
      <alignment horizontal="center"/>
    </xf>
    <xf numFmtId="166" fontId="38" fillId="45" borderId="0" xfId="1212" applyFont="1" applyFill="1" applyBorder="1" applyAlignment="1">
      <alignment horizontal="center"/>
    </xf>
    <xf numFmtId="199" fontId="0" fillId="0" borderId="0" xfId="1212" applyNumberFormat="1" applyFont="1" applyBorder="1" applyAlignment="1">
      <alignment horizontal="center"/>
    </xf>
    <xf numFmtId="166" fontId="173" fillId="13" borderId="28" xfId="1212" applyFont="1" applyFill="1" applyBorder="1" applyAlignment="1">
      <alignment horizontal="center" vertical="center" wrapText="1"/>
    </xf>
    <xf numFmtId="166" fontId="38" fillId="13" borderId="0" xfId="1212" applyFont="1" applyFill="1" applyBorder="1"/>
    <xf numFmtId="166" fontId="0" fillId="0" borderId="28" xfId="1212" applyFont="1" applyBorder="1" applyAlignment="1">
      <alignment horizontal="left" vertical="center" wrapText="1"/>
    </xf>
    <xf numFmtId="166" fontId="38" fillId="13" borderId="103" xfId="1212" applyFont="1" applyFill="1" applyBorder="1" applyAlignment="1">
      <alignment horizontal="left"/>
    </xf>
    <xf numFmtId="192" fontId="171" fillId="10" borderId="28" xfId="1282" applyNumberFormat="1" applyFont="1" applyFill="1" applyBorder="1" applyAlignment="1">
      <alignment horizontal="center" vertical="center" wrapText="1"/>
    </xf>
    <xf numFmtId="166" fontId="0" fillId="0" borderId="97" xfId="1212" applyFont="1" applyBorder="1" applyAlignment="1">
      <alignment horizontal="center" vertical="center"/>
    </xf>
    <xf numFmtId="49" fontId="0" fillId="0" borderId="97" xfId="1212" applyNumberFormat="1" applyFont="1" applyBorder="1" applyAlignment="1">
      <alignment horizontal="center" vertical="center" wrapText="1"/>
    </xf>
    <xf numFmtId="166" fontId="0" fillId="0" borderId="104" xfId="1212" applyFont="1" applyBorder="1" applyAlignment="1">
      <alignment horizontal="center" vertical="center"/>
    </xf>
    <xf numFmtId="2" fontId="0" fillId="0" borderId="97" xfId="1212" applyNumberFormat="1" applyFont="1" applyBorder="1" applyAlignment="1">
      <alignment horizontal="center" vertical="center" wrapText="1"/>
    </xf>
    <xf numFmtId="166" fontId="170" fillId="0" borderId="44" xfId="1212" applyFont="1" applyFill="1" applyBorder="1" applyAlignment="1">
      <alignment horizontal="right" vertical="center"/>
    </xf>
    <xf numFmtId="166" fontId="170" fillId="0" borderId="46" xfId="1212" applyFont="1" applyFill="1" applyBorder="1" applyAlignment="1">
      <alignment horizontal="right" vertical="center"/>
    </xf>
    <xf numFmtId="166" fontId="170" fillId="0" borderId="28" xfId="1212" applyFont="1" applyFill="1" applyBorder="1" applyAlignment="1">
      <alignment horizontal="right" vertical="center"/>
    </xf>
    <xf numFmtId="166" fontId="170" fillId="0" borderId="35" xfId="1212" applyFont="1" applyFill="1" applyBorder="1" applyAlignment="1">
      <alignment horizontal="right" vertical="center"/>
    </xf>
    <xf numFmtId="0" fontId="100" fillId="0" borderId="44" xfId="210" applyFont="1" applyFill="1" applyBorder="1" applyAlignment="1">
      <alignment horizontal="center" vertical="center" wrapText="1"/>
    </xf>
    <xf numFmtId="0" fontId="100" fillId="0" borderId="43" xfId="210" applyFont="1" applyFill="1" applyBorder="1" applyAlignment="1">
      <alignment horizontal="center" vertical="center" wrapText="1"/>
    </xf>
    <xf numFmtId="0" fontId="100" fillId="0" borderId="28" xfId="210" applyFont="1" applyFill="1" applyBorder="1" applyAlignment="1">
      <alignment horizontal="center" vertical="center" wrapText="1"/>
    </xf>
    <xf numFmtId="0" fontId="150" fillId="0" borderId="0" xfId="0" applyFont="1" applyBorder="1" applyAlignment="1">
      <alignment horizontal="left" vertical="center" wrapText="1"/>
    </xf>
    <xf numFmtId="166" fontId="0" fillId="0" borderId="0" xfId="0" applyNumberFormat="1" applyBorder="1"/>
    <xf numFmtId="0" fontId="164" fillId="44" borderId="5" xfId="210" applyNumberFormat="1" applyFont="1" applyFill="1" applyBorder="1" applyAlignment="1">
      <alignment horizontal="center" vertical="center" wrapText="1"/>
    </xf>
    <xf numFmtId="9" fontId="99" fillId="0" borderId="0" xfId="1205" applyFont="1" applyAlignment="1">
      <alignment horizontal="left" vertical="center" wrapText="1"/>
    </xf>
    <xf numFmtId="9" fontId="98" fillId="0" borderId="0" xfId="1205" applyFont="1" applyAlignment="1">
      <alignment horizontal="center" vertical="center"/>
    </xf>
    <xf numFmtId="10" fontId="98" fillId="0" borderId="0" xfId="1205" applyNumberFormat="1" applyFont="1" applyAlignment="1">
      <alignment horizontal="center" vertical="center"/>
    </xf>
    <xf numFmtId="9" fontId="99" fillId="0" borderId="90" xfId="1205" applyFont="1" applyBorder="1" applyAlignment="1">
      <alignment horizontal="center" vertical="center" wrapText="1"/>
    </xf>
    <xf numFmtId="10" fontId="99" fillId="0" borderId="90" xfId="1205" applyNumberFormat="1" applyFont="1" applyBorder="1" applyAlignment="1">
      <alignment horizontal="center" vertical="center" wrapText="1"/>
    </xf>
    <xf numFmtId="9" fontId="98" fillId="0" borderId="0" xfId="1205" applyFont="1" applyBorder="1" applyAlignment="1">
      <alignment horizontal="center" vertical="center"/>
    </xf>
    <xf numFmtId="9" fontId="100" fillId="0" borderId="0" xfId="1205" applyFont="1" applyBorder="1" applyAlignment="1">
      <alignment horizontal="center" vertical="center" wrapText="1"/>
    </xf>
    <xf numFmtId="10" fontId="99" fillId="0" borderId="0" xfId="1205" applyNumberFormat="1" applyFont="1" applyBorder="1" applyAlignment="1">
      <alignment horizontal="center" vertical="center" wrapText="1"/>
    </xf>
    <xf numFmtId="10" fontId="98" fillId="0" borderId="0" xfId="1205" applyNumberFormat="1" applyFont="1" applyBorder="1" applyAlignment="1">
      <alignment horizontal="center" vertical="center" wrapText="1"/>
    </xf>
    <xf numFmtId="0" fontId="115" fillId="44" borderId="5" xfId="210" applyNumberFormat="1" applyFont="1" applyFill="1" applyBorder="1" applyAlignment="1">
      <alignment horizontal="center" vertical="center" wrapText="1"/>
    </xf>
    <xf numFmtId="9" fontId="115" fillId="44" borderId="6" xfId="1205" applyFont="1" applyFill="1" applyBorder="1" applyAlignment="1">
      <alignment horizontal="center" vertical="center" wrapText="1"/>
    </xf>
    <xf numFmtId="10" fontId="115" fillId="44" borderId="6" xfId="1205" applyNumberFormat="1" applyFont="1" applyFill="1" applyBorder="1" applyAlignment="1">
      <alignment horizontal="center" vertical="center" wrapText="1"/>
    </xf>
    <xf numFmtId="0" fontId="115" fillId="44" borderId="33" xfId="210" applyNumberFormat="1" applyFont="1" applyFill="1" applyBorder="1" applyAlignment="1">
      <alignment horizontal="center" vertical="center" wrapText="1"/>
    </xf>
    <xf numFmtId="9" fontId="100" fillId="5" borderId="28" xfId="1205" applyFont="1" applyFill="1" applyBorder="1" applyAlignment="1">
      <alignment horizontal="center" vertical="center" wrapText="1"/>
    </xf>
    <xf numFmtId="43" fontId="100" fillId="5" borderId="28" xfId="1289" applyNumberFormat="1" applyFont="1" applyFill="1" applyBorder="1" applyAlignment="1">
      <alignment horizontal="right" vertical="center" wrapText="1"/>
    </xf>
    <xf numFmtId="166" fontId="100" fillId="5" borderId="28" xfId="1212" applyFont="1" applyFill="1" applyBorder="1" applyAlignment="1">
      <alignment horizontal="center" vertical="center" wrapText="1"/>
    </xf>
    <xf numFmtId="43" fontId="100" fillId="5" borderId="35" xfId="1289" applyNumberFormat="1" applyFont="1" applyFill="1" applyBorder="1" applyAlignment="1">
      <alignment horizontal="right" vertical="center" wrapText="1"/>
    </xf>
    <xf numFmtId="9" fontId="100" fillId="34" borderId="28" xfId="1205" applyFont="1" applyFill="1" applyBorder="1" applyAlignment="1">
      <alignment horizontal="center" vertical="center" wrapText="1"/>
    </xf>
    <xf numFmtId="43" fontId="100" fillId="34" borderId="28" xfId="1289" applyNumberFormat="1" applyFont="1" applyFill="1" applyBorder="1" applyAlignment="1">
      <alignment horizontal="right" vertical="center" wrapText="1"/>
    </xf>
    <xf numFmtId="10" fontId="100" fillId="34" borderId="28" xfId="1205" applyNumberFormat="1" applyFont="1" applyFill="1" applyBorder="1" applyAlignment="1">
      <alignment horizontal="center" vertical="center" wrapText="1"/>
    </xf>
    <xf numFmtId="43" fontId="100" fillId="34" borderId="35" xfId="1289" applyNumberFormat="1" applyFont="1" applyFill="1" applyBorder="1" applyAlignment="1">
      <alignment horizontal="right" vertical="center" wrapText="1"/>
    </xf>
    <xf numFmtId="9" fontId="100" fillId="0" borderId="44" xfId="1205" applyFont="1" applyFill="1" applyBorder="1" applyAlignment="1">
      <alignment horizontal="center" vertical="center" wrapText="1"/>
    </xf>
    <xf numFmtId="43" fontId="100" fillId="0" borderId="28" xfId="1289" applyNumberFormat="1" applyFont="1" applyFill="1" applyBorder="1" applyAlignment="1">
      <alignment horizontal="right" vertical="center"/>
    </xf>
    <xf numFmtId="9" fontId="100" fillId="0" borderId="28" xfId="1205" applyFont="1" applyFill="1" applyBorder="1" applyAlignment="1">
      <alignment horizontal="center" vertical="center"/>
    </xf>
    <xf numFmtId="10" fontId="100" fillId="0" borderId="28" xfId="1205" applyNumberFormat="1" applyFont="1" applyFill="1" applyBorder="1" applyAlignment="1">
      <alignment horizontal="center" vertical="center"/>
    </xf>
    <xf numFmtId="43" fontId="100" fillId="0" borderId="35" xfId="1289" applyNumberFormat="1" applyFont="1" applyFill="1" applyBorder="1" applyAlignment="1">
      <alignment horizontal="right" vertical="center"/>
    </xf>
    <xf numFmtId="9" fontId="100" fillId="41" borderId="28" xfId="1205" applyFont="1" applyFill="1" applyBorder="1" applyAlignment="1">
      <alignment horizontal="center" vertical="center" wrapText="1"/>
    </xf>
    <xf numFmtId="43" fontId="100" fillId="41" borderId="28" xfId="1289" applyNumberFormat="1" applyFont="1" applyFill="1" applyBorder="1" applyAlignment="1">
      <alignment horizontal="right" vertical="center"/>
    </xf>
    <xf numFmtId="9" fontId="100" fillId="41" borderId="28" xfId="1205" applyFont="1" applyFill="1" applyBorder="1" applyAlignment="1">
      <alignment horizontal="center" vertical="center"/>
    </xf>
    <xf numFmtId="10" fontId="100" fillId="41" borderId="28" xfId="1205" applyNumberFormat="1" applyFont="1" applyFill="1" applyBorder="1" applyAlignment="1">
      <alignment horizontal="center" vertical="center"/>
    </xf>
    <xf numFmtId="43" fontId="100" fillId="41" borderId="35" xfId="1289" applyNumberFormat="1" applyFont="1" applyFill="1" applyBorder="1" applyAlignment="1">
      <alignment horizontal="right" vertical="center"/>
    </xf>
    <xf numFmtId="43" fontId="100" fillId="0" borderId="44" xfId="1289" applyNumberFormat="1" applyFont="1" applyFill="1" applyBorder="1" applyAlignment="1">
      <alignment horizontal="right" vertical="center"/>
    </xf>
    <xf numFmtId="9" fontId="100" fillId="0" borderId="44" xfId="1205" applyFont="1" applyFill="1" applyBorder="1" applyAlignment="1">
      <alignment horizontal="center" vertical="center"/>
    </xf>
    <xf numFmtId="10" fontId="100" fillId="0" borderId="44" xfId="1205" applyNumberFormat="1" applyFont="1" applyFill="1" applyBorder="1" applyAlignment="1">
      <alignment horizontal="center" vertical="center"/>
    </xf>
    <xf numFmtId="43" fontId="100" fillId="0" borderId="46" xfId="1289" applyNumberFormat="1" applyFont="1" applyFill="1" applyBorder="1" applyAlignment="1">
      <alignment horizontal="right" vertical="center"/>
    </xf>
    <xf numFmtId="9" fontId="100" fillId="36" borderId="28" xfId="1205" applyFont="1" applyFill="1" applyBorder="1" applyAlignment="1">
      <alignment horizontal="center" vertical="center" wrapText="1"/>
    </xf>
    <xf numFmtId="43" fontId="100" fillId="36" borderId="28" xfId="1289" applyNumberFormat="1" applyFont="1" applyFill="1" applyBorder="1" applyAlignment="1">
      <alignment horizontal="right" vertical="center"/>
    </xf>
    <xf numFmtId="9" fontId="100" fillId="36" borderId="28" xfId="1205" applyFont="1" applyFill="1" applyBorder="1" applyAlignment="1">
      <alignment horizontal="center" vertical="center"/>
    </xf>
    <xf numFmtId="10" fontId="100" fillId="36" borderId="28" xfId="1205" applyNumberFormat="1" applyFont="1" applyFill="1" applyBorder="1" applyAlignment="1">
      <alignment horizontal="center" vertical="center"/>
    </xf>
    <xf numFmtId="43" fontId="100" fillId="36" borderId="35" xfId="1289" applyNumberFormat="1" applyFont="1" applyFill="1" applyBorder="1" applyAlignment="1">
      <alignment horizontal="right" vertical="center"/>
    </xf>
    <xf numFmtId="9" fontId="100" fillId="37" borderId="28" xfId="1205" applyFont="1" applyFill="1" applyBorder="1" applyAlignment="1">
      <alignment horizontal="center" vertical="center" wrapText="1"/>
    </xf>
    <xf numFmtId="43" fontId="100" fillId="37" borderId="28" xfId="1289" applyNumberFormat="1" applyFont="1" applyFill="1" applyBorder="1" applyAlignment="1">
      <alignment horizontal="right" vertical="center" wrapText="1"/>
    </xf>
    <xf numFmtId="10" fontId="100" fillId="37" borderId="28" xfId="1205" applyNumberFormat="1" applyFont="1" applyFill="1" applyBorder="1" applyAlignment="1">
      <alignment horizontal="center" vertical="center" wrapText="1"/>
    </xf>
    <xf numFmtId="43" fontId="100" fillId="37" borderId="35" xfId="1289" applyNumberFormat="1" applyFont="1" applyFill="1" applyBorder="1" applyAlignment="1">
      <alignment horizontal="right" vertical="center" wrapText="1"/>
    </xf>
    <xf numFmtId="43" fontId="100" fillId="0" borderId="44" xfId="1289" applyNumberFormat="1" applyFont="1" applyFill="1" applyBorder="1" applyAlignment="1">
      <alignment horizontal="center" vertical="center"/>
    </xf>
    <xf numFmtId="43" fontId="100" fillId="0" borderId="46" xfId="1289" applyNumberFormat="1" applyFont="1" applyFill="1" applyBorder="1" applyAlignment="1">
      <alignment horizontal="center" vertical="center"/>
    </xf>
    <xf numFmtId="9" fontId="100" fillId="0" borderId="28" xfId="1205" applyFont="1" applyFill="1" applyBorder="1" applyAlignment="1">
      <alignment horizontal="center" vertical="center" wrapText="1"/>
    </xf>
    <xf numFmtId="9" fontId="100" fillId="38" borderId="28" xfId="1205" applyFont="1" applyFill="1" applyBorder="1" applyAlignment="1">
      <alignment horizontal="center" vertical="center" wrapText="1"/>
    </xf>
    <xf numFmtId="43" fontId="100" fillId="38" borderId="28" xfId="1289" applyNumberFormat="1" applyFont="1" applyFill="1" applyBorder="1" applyAlignment="1">
      <alignment horizontal="right" vertical="center"/>
    </xf>
    <xf numFmtId="9" fontId="100" fillId="38" borderId="28" xfId="1205" applyFont="1" applyFill="1" applyBorder="1" applyAlignment="1">
      <alignment horizontal="center" vertical="center"/>
    </xf>
    <xf numFmtId="10" fontId="100" fillId="38" borderId="28" xfId="1205" applyNumberFormat="1" applyFont="1" applyFill="1" applyBorder="1" applyAlignment="1">
      <alignment horizontal="center" vertical="center"/>
    </xf>
    <xf numFmtId="43" fontId="100" fillId="38" borderId="35" xfId="1289" applyNumberFormat="1" applyFont="1" applyFill="1" applyBorder="1" applyAlignment="1">
      <alignment horizontal="right" vertical="center"/>
    </xf>
    <xf numFmtId="9" fontId="100" fillId="39" borderId="28" xfId="1205" applyFont="1" applyFill="1" applyBorder="1" applyAlignment="1">
      <alignment horizontal="center" vertical="center" wrapText="1"/>
    </xf>
    <xf numFmtId="43" fontId="100" fillId="39" borderId="28" xfId="1289" applyNumberFormat="1" applyFont="1" applyFill="1" applyBorder="1" applyAlignment="1">
      <alignment horizontal="right" vertical="center"/>
    </xf>
    <xf numFmtId="9" fontId="100" fillId="39" borderId="28" xfId="1205" applyFont="1" applyFill="1" applyBorder="1" applyAlignment="1">
      <alignment horizontal="center" vertical="center"/>
    </xf>
    <xf numFmtId="10" fontId="100" fillId="39" borderId="28" xfId="1205" applyNumberFormat="1" applyFont="1" applyFill="1" applyBorder="1" applyAlignment="1">
      <alignment horizontal="center" vertical="center"/>
    </xf>
    <xf numFmtId="43" fontId="100" fillId="39" borderId="35" xfId="1289" applyNumberFormat="1" applyFont="1" applyFill="1" applyBorder="1" applyAlignment="1">
      <alignment horizontal="right" vertical="center"/>
    </xf>
    <xf numFmtId="9" fontId="100" fillId="40" borderId="28" xfId="1205" applyFont="1" applyFill="1" applyBorder="1" applyAlignment="1">
      <alignment horizontal="center" vertical="center" wrapText="1"/>
    </xf>
    <xf numFmtId="43" fontId="100" fillId="40" borderId="28" xfId="1289" applyNumberFormat="1" applyFont="1" applyFill="1" applyBorder="1" applyAlignment="1">
      <alignment horizontal="right" vertical="center"/>
    </xf>
    <xf numFmtId="9" fontId="100" fillId="40" borderId="28" xfId="1205" applyFont="1" applyFill="1" applyBorder="1" applyAlignment="1">
      <alignment horizontal="center" vertical="center"/>
    </xf>
    <xf numFmtId="10" fontId="100" fillId="40" borderId="28" xfId="1205" applyNumberFormat="1" applyFont="1" applyFill="1" applyBorder="1" applyAlignment="1">
      <alignment horizontal="center" vertical="center"/>
    </xf>
    <xf numFmtId="43" fontId="100" fillId="40" borderId="35" xfId="1289" applyNumberFormat="1" applyFont="1" applyFill="1" applyBorder="1" applyAlignment="1">
      <alignment horizontal="right" vertical="center"/>
    </xf>
    <xf numFmtId="0" fontId="100" fillId="0" borderId="37" xfId="210" applyFont="1" applyFill="1" applyBorder="1" applyAlignment="1">
      <alignment horizontal="center" vertical="center" wrapText="1"/>
    </xf>
    <xf numFmtId="0" fontId="100" fillId="0" borderId="38" xfId="210" applyFont="1" applyFill="1" applyBorder="1" applyAlignment="1">
      <alignment horizontal="center" vertical="center" wrapText="1"/>
    </xf>
    <xf numFmtId="9" fontId="100" fillId="0" borderId="38" xfId="1205" applyFont="1" applyFill="1" applyBorder="1" applyAlignment="1">
      <alignment horizontal="center" vertical="center" wrapText="1"/>
    </xf>
    <xf numFmtId="43" fontId="100" fillId="0" borderId="38" xfId="1289" applyNumberFormat="1" applyFont="1" applyFill="1" applyBorder="1" applyAlignment="1">
      <alignment horizontal="right" vertical="center"/>
    </xf>
    <xf numFmtId="9" fontId="100" fillId="0" borderId="38" xfId="1205" applyFont="1" applyFill="1" applyBorder="1" applyAlignment="1">
      <alignment horizontal="center" vertical="center"/>
    </xf>
    <xf numFmtId="10" fontId="100" fillId="0" borderId="38" xfId="1205" applyNumberFormat="1" applyFont="1" applyFill="1" applyBorder="1" applyAlignment="1">
      <alignment horizontal="center" vertical="center"/>
    </xf>
    <xf numFmtId="43" fontId="100" fillId="0" borderId="39" xfId="1289" applyNumberFormat="1" applyFont="1" applyFill="1" applyBorder="1" applyAlignment="1">
      <alignment horizontal="right" vertical="center"/>
    </xf>
    <xf numFmtId="9" fontId="105" fillId="0" borderId="0" xfId="1205" applyFont="1" applyBorder="1" applyAlignment="1">
      <alignment horizontal="center" vertical="center" wrapText="1"/>
    </xf>
    <xf numFmtId="9" fontId="105" fillId="0" borderId="0" xfId="1205" applyFont="1" applyBorder="1" applyAlignment="1">
      <alignment horizontal="center" vertical="center"/>
    </xf>
    <xf numFmtId="10" fontId="105" fillId="0" borderId="0" xfId="1205" applyNumberFormat="1" applyFont="1" applyBorder="1" applyAlignment="1">
      <alignment horizontal="center" vertical="center"/>
    </xf>
    <xf numFmtId="9" fontId="100" fillId="0" borderId="0" xfId="1205" applyFont="1" applyBorder="1" applyAlignment="1">
      <alignment horizontal="left" vertical="center" wrapText="1"/>
    </xf>
    <xf numFmtId="9" fontId="99" fillId="0" borderId="0" xfId="1205" applyFont="1" applyBorder="1" applyAlignment="1">
      <alignment horizontal="left" vertical="center" wrapText="1"/>
    </xf>
    <xf numFmtId="10" fontId="98" fillId="0" borderId="0" xfId="1205" applyNumberFormat="1" applyFont="1" applyBorder="1" applyAlignment="1">
      <alignment horizontal="center" vertical="center"/>
    </xf>
    <xf numFmtId="9" fontId="99" fillId="0" borderId="95" xfId="1205" applyFont="1" applyBorder="1" applyAlignment="1">
      <alignment horizontal="left" vertical="center" wrapText="1"/>
    </xf>
    <xf numFmtId="9" fontId="98" fillId="0" borderId="95" xfId="1205" applyFont="1" applyBorder="1" applyAlignment="1">
      <alignment horizontal="center" vertical="center"/>
    </xf>
    <xf numFmtId="10" fontId="98" fillId="0" borderId="95" xfId="1205" applyNumberFormat="1" applyFont="1" applyBorder="1" applyAlignment="1">
      <alignment horizontal="center" vertical="center"/>
    </xf>
    <xf numFmtId="44" fontId="0" fillId="0" borderId="0" xfId="0" applyNumberFormat="1" applyBorder="1" applyAlignment="1">
      <alignment wrapText="1"/>
    </xf>
    <xf numFmtId="0" fontId="99" fillId="0" borderId="0" xfId="210" applyFont="1" applyBorder="1" applyAlignment="1">
      <alignment horizontal="center" vertical="center" wrapText="1"/>
    </xf>
    <xf numFmtId="0" fontId="100" fillId="5" borderId="97" xfId="210" applyFont="1" applyFill="1" applyBorder="1" applyAlignment="1">
      <alignment horizontal="center" vertical="center" wrapText="1"/>
    </xf>
    <xf numFmtId="9" fontId="100" fillId="5" borderId="97" xfId="1205" applyFont="1" applyFill="1" applyBorder="1" applyAlignment="1">
      <alignment horizontal="center" vertical="center" wrapText="1"/>
    </xf>
    <xf numFmtId="43" fontId="100" fillId="5" borderId="97" xfId="1289" applyNumberFormat="1" applyFont="1" applyFill="1" applyBorder="1" applyAlignment="1">
      <alignment horizontal="right" vertical="center" wrapText="1"/>
    </xf>
    <xf numFmtId="166" fontId="100" fillId="5" borderId="97" xfId="1212" applyFont="1" applyFill="1" applyBorder="1" applyAlignment="1">
      <alignment horizontal="center" vertical="center" wrapText="1"/>
    </xf>
    <xf numFmtId="0" fontId="100" fillId="34" borderId="97" xfId="210" applyFont="1" applyFill="1" applyBorder="1" applyAlignment="1">
      <alignment horizontal="center" vertical="center" wrapText="1"/>
    </xf>
    <xf numFmtId="9" fontId="100" fillId="34" borderId="97" xfId="1205" applyFont="1" applyFill="1" applyBorder="1" applyAlignment="1">
      <alignment horizontal="center" vertical="center" wrapText="1"/>
    </xf>
    <xf numFmtId="43" fontId="100" fillId="34" borderId="97" xfId="1289" applyNumberFormat="1" applyFont="1" applyFill="1" applyBorder="1" applyAlignment="1">
      <alignment horizontal="right" vertical="center" wrapText="1"/>
    </xf>
    <xf numFmtId="10" fontId="100" fillId="34" borderId="97" xfId="1205" applyNumberFormat="1" applyFont="1" applyFill="1" applyBorder="1" applyAlignment="1">
      <alignment horizontal="center" vertical="center" wrapText="1"/>
    </xf>
    <xf numFmtId="0" fontId="100" fillId="0" borderId="97" xfId="210" applyFont="1" applyFill="1" applyBorder="1" applyAlignment="1">
      <alignment horizontal="center" vertical="center" wrapText="1"/>
    </xf>
    <xf numFmtId="9" fontId="100" fillId="0" borderId="97" xfId="1205" applyFont="1" applyFill="1" applyBorder="1" applyAlignment="1">
      <alignment horizontal="center" vertical="center" wrapText="1"/>
    </xf>
    <xf numFmtId="43" fontId="100" fillId="0" borderId="97" xfId="1289" applyNumberFormat="1" applyFont="1" applyFill="1" applyBorder="1" applyAlignment="1">
      <alignment horizontal="right" vertical="center"/>
    </xf>
    <xf numFmtId="9" fontId="100" fillId="0" borderId="97" xfId="1205" applyFont="1" applyFill="1" applyBorder="1" applyAlignment="1">
      <alignment horizontal="center" vertical="center"/>
    </xf>
    <xf numFmtId="10" fontId="100" fillId="0" borderId="97" xfId="1205" applyNumberFormat="1" applyFont="1" applyFill="1" applyBorder="1" applyAlignment="1">
      <alignment horizontal="center" vertical="center"/>
    </xf>
    <xf numFmtId="0" fontId="100" fillId="41" borderId="97" xfId="210" applyFont="1" applyFill="1" applyBorder="1" applyAlignment="1">
      <alignment horizontal="center" vertical="center" wrapText="1"/>
    </xf>
    <xf numFmtId="9" fontId="100" fillId="41" borderId="97" xfId="1205" applyFont="1" applyFill="1" applyBorder="1" applyAlignment="1">
      <alignment horizontal="center" vertical="center" wrapText="1"/>
    </xf>
    <xf numFmtId="43" fontId="100" fillId="41" borderId="97" xfId="1289" applyNumberFormat="1" applyFont="1" applyFill="1" applyBorder="1" applyAlignment="1">
      <alignment horizontal="right" vertical="center"/>
    </xf>
    <xf numFmtId="9" fontId="100" fillId="41" borderId="97" xfId="1205" applyFont="1" applyFill="1" applyBorder="1" applyAlignment="1">
      <alignment horizontal="center" vertical="center"/>
    </xf>
    <xf numFmtId="10" fontId="100" fillId="41" borderId="97" xfId="1205" applyNumberFormat="1" applyFont="1" applyFill="1" applyBorder="1" applyAlignment="1">
      <alignment horizontal="center" vertical="center"/>
    </xf>
    <xf numFmtId="0" fontId="100" fillId="36" borderId="97" xfId="210" applyFont="1" applyFill="1" applyBorder="1" applyAlignment="1">
      <alignment horizontal="center" vertical="center" wrapText="1"/>
    </xf>
    <xf numFmtId="9" fontId="100" fillId="36" borderId="97" xfId="1205" applyFont="1" applyFill="1" applyBorder="1" applyAlignment="1">
      <alignment horizontal="center" vertical="center" wrapText="1"/>
    </xf>
    <xf numFmtId="43" fontId="100" fillId="36" borderId="97" xfId="1289" applyNumberFormat="1" applyFont="1" applyFill="1" applyBorder="1" applyAlignment="1">
      <alignment horizontal="right" vertical="center"/>
    </xf>
    <xf numFmtId="9" fontId="100" fillId="36" borderId="97" xfId="1205" applyFont="1" applyFill="1" applyBorder="1" applyAlignment="1">
      <alignment horizontal="center" vertical="center"/>
    </xf>
    <xf numFmtId="10" fontId="100" fillId="36" borderId="97" xfId="1205" applyNumberFormat="1" applyFont="1" applyFill="1" applyBorder="1" applyAlignment="1">
      <alignment horizontal="center" vertical="center"/>
    </xf>
    <xf numFmtId="0" fontId="100" fillId="37" borderId="97" xfId="210" applyFont="1" applyFill="1" applyBorder="1" applyAlignment="1">
      <alignment horizontal="center" vertical="center" wrapText="1"/>
    </xf>
    <xf numFmtId="9" fontId="100" fillId="37" borderId="97" xfId="1205" applyFont="1" applyFill="1" applyBorder="1" applyAlignment="1">
      <alignment horizontal="center" vertical="center" wrapText="1"/>
    </xf>
    <xf numFmtId="43" fontId="100" fillId="37" borderId="97" xfId="1289" applyNumberFormat="1" applyFont="1" applyFill="1" applyBorder="1" applyAlignment="1">
      <alignment horizontal="right" vertical="center" wrapText="1"/>
    </xf>
    <xf numFmtId="10" fontId="100" fillId="37" borderId="97" xfId="1205" applyNumberFormat="1" applyFont="1" applyFill="1" applyBorder="1" applyAlignment="1">
      <alignment horizontal="center" vertical="center" wrapText="1"/>
    </xf>
    <xf numFmtId="43" fontId="100" fillId="0" borderId="97" xfId="1289" applyNumberFormat="1" applyFont="1" applyFill="1" applyBorder="1" applyAlignment="1">
      <alignment horizontal="center" vertical="center"/>
    </xf>
    <xf numFmtId="0" fontId="100" fillId="38" borderId="97" xfId="210" applyFont="1" applyFill="1" applyBorder="1" applyAlignment="1">
      <alignment horizontal="center" vertical="center" wrapText="1"/>
    </xf>
    <xf numFmtId="9" fontId="100" fillId="38" borderId="97" xfId="1205" applyFont="1" applyFill="1" applyBorder="1" applyAlignment="1">
      <alignment horizontal="center" vertical="center" wrapText="1"/>
    </xf>
    <xf numFmtId="43" fontId="100" fillId="38" borderId="97" xfId="1289" applyNumberFormat="1" applyFont="1" applyFill="1" applyBorder="1" applyAlignment="1">
      <alignment horizontal="right" vertical="center"/>
    </xf>
    <xf numFmtId="9" fontId="100" fillId="38" borderId="97" xfId="1205" applyFont="1" applyFill="1" applyBorder="1" applyAlignment="1">
      <alignment horizontal="center" vertical="center"/>
    </xf>
    <xf numFmtId="10" fontId="100" fillId="38" borderId="97" xfId="1205" applyNumberFormat="1" applyFont="1" applyFill="1" applyBorder="1" applyAlignment="1">
      <alignment horizontal="center" vertical="center"/>
    </xf>
    <xf numFmtId="0" fontId="100" fillId="39" borderId="97" xfId="210" applyFont="1" applyFill="1" applyBorder="1" applyAlignment="1">
      <alignment horizontal="center" vertical="center" wrapText="1"/>
    </xf>
    <xf numFmtId="9" fontId="100" fillId="39" borderId="97" xfId="1205" applyFont="1" applyFill="1" applyBorder="1" applyAlignment="1">
      <alignment horizontal="center" vertical="center" wrapText="1"/>
    </xf>
    <xf numFmtId="43" fontId="100" fillId="39" borderId="97" xfId="1289" applyNumberFormat="1" applyFont="1" applyFill="1" applyBorder="1" applyAlignment="1">
      <alignment horizontal="right" vertical="center"/>
    </xf>
    <xf numFmtId="9" fontId="100" fillId="39" borderId="97" xfId="1205" applyFont="1" applyFill="1" applyBorder="1" applyAlignment="1">
      <alignment horizontal="center" vertical="center"/>
    </xf>
    <xf numFmtId="10" fontId="100" fillId="39" borderId="97" xfId="1205" applyNumberFormat="1" applyFont="1" applyFill="1" applyBorder="1" applyAlignment="1">
      <alignment horizontal="center" vertical="center"/>
    </xf>
    <xf numFmtId="0" fontId="100" fillId="40" borderId="97" xfId="210" applyFont="1" applyFill="1" applyBorder="1" applyAlignment="1">
      <alignment horizontal="center" vertical="center" wrapText="1"/>
    </xf>
    <xf numFmtId="9" fontId="100" fillId="40" borderId="97" xfId="1205" applyFont="1" applyFill="1" applyBorder="1" applyAlignment="1">
      <alignment horizontal="center" vertical="center" wrapText="1"/>
    </xf>
    <xf numFmtId="43" fontId="100" fillId="40" borderId="97" xfId="1289" applyNumberFormat="1" applyFont="1" applyFill="1" applyBorder="1" applyAlignment="1">
      <alignment horizontal="right" vertical="center"/>
    </xf>
    <xf numFmtId="9" fontId="100" fillId="40" borderId="97" xfId="1205" applyFont="1" applyFill="1" applyBorder="1" applyAlignment="1">
      <alignment horizontal="center" vertical="center"/>
    </xf>
    <xf numFmtId="10" fontId="100" fillId="40" borderId="97" xfId="1205" applyNumberFormat="1" applyFont="1" applyFill="1" applyBorder="1" applyAlignment="1">
      <alignment horizontal="center" vertical="center"/>
    </xf>
    <xf numFmtId="0" fontId="115" fillId="44" borderId="119" xfId="210" applyNumberFormat="1" applyFont="1" applyFill="1" applyBorder="1" applyAlignment="1">
      <alignment horizontal="center" vertical="center" wrapText="1"/>
    </xf>
    <xf numFmtId="0" fontId="115" fillId="44" borderId="120" xfId="210" applyNumberFormat="1" applyFont="1" applyFill="1" applyBorder="1" applyAlignment="1">
      <alignment horizontal="center" vertical="center" wrapText="1"/>
    </xf>
    <xf numFmtId="9" fontId="115" fillId="44" borderId="120" xfId="1205" applyFont="1" applyFill="1" applyBorder="1" applyAlignment="1">
      <alignment horizontal="center" vertical="center" wrapText="1"/>
    </xf>
    <xf numFmtId="10" fontId="115" fillId="44" borderId="120" xfId="1205" applyNumberFormat="1" applyFont="1" applyFill="1" applyBorder="1" applyAlignment="1">
      <alignment horizontal="center" vertical="center" wrapText="1"/>
    </xf>
    <xf numFmtId="0" fontId="115" fillId="44" borderId="121" xfId="210" applyNumberFormat="1" applyFont="1" applyFill="1" applyBorder="1" applyAlignment="1">
      <alignment horizontal="center" vertical="center" wrapText="1"/>
    </xf>
    <xf numFmtId="0" fontId="100" fillId="5" borderId="122" xfId="210" applyFont="1" applyFill="1" applyBorder="1" applyAlignment="1">
      <alignment horizontal="center" vertical="center" wrapText="1"/>
    </xf>
    <xf numFmtId="43" fontId="100" fillId="5" borderId="123" xfId="1289" applyNumberFormat="1" applyFont="1" applyFill="1" applyBorder="1" applyAlignment="1">
      <alignment horizontal="right" vertical="center" wrapText="1"/>
    </xf>
    <xf numFmtId="0" fontId="100" fillId="34" borderId="122" xfId="210" applyFont="1" applyFill="1" applyBorder="1" applyAlignment="1">
      <alignment horizontal="center" vertical="center" wrapText="1"/>
    </xf>
    <xf numFmtId="43" fontId="100" fillId="34" borderId="123" xfId="1289" applyNumberFormat="1" applyFont="1" applyFill="1" applyBorder="1" applyAlignment="1">
      <alignment horizontal="right" vertical="center" wrapText="1"/>
    </xf>
    <xf numFmtId="43" fontId="100" fillId="0" borderId="123" xfId="1289" applyNumberFormat="1" applyFont="1" applyFill="1" applyBorder="1" applyAlignment="1">
      <alignment horizontal="right" vertical="center"/>
    </xf>
    <xf numFmtId="0" fontId="100" fillId="41" borderId="122" xfId="210" applyFont="1" applyFill="1" applyBorder="1" applyAlignment="1">
      <alignment horizontal="center" vertical="center" wrapText="1"/>
    </xf>
    <xf numFmtId="43" fontId="100" fillId="41" borderId="123" xfId="1289" applyNumberFormat="1" applyFont="1" applyFill="1" applyBorder="1" applyAlignment="1">
      <alignment horizontal="right" vertical="center"/>
    </xf>
    <xf numFmtId="0" fontId="100" fillId="36" borderId="122" xfId="210" applyFont="1" applyFill="1" applyBorder="1" applyAlignment="1">
      <alignment horizontal="center" vertical="center" wrapText="1"/>
    </xf>
    <xf numFmtId="43" fontId="100" fillId="36" borderId="123" xfId="1289" applyNumberFormat="1" applyFont="1" applyFill="1" applyBorder="1" applyAlignment="1">
      <alignment horizontal="right" vertical="center"/>
    </xf>
    <xf numFmtId="0" fontId="100" fillId="0" borderId="122" xfId="210" applyFont="1" applyFill="1" applyBorder="1" applyAlignment="1">
      <alignment horizontal="center" vertical="center" wrapText="1"/>
    </xf>
    <xf numFmtId="0" fontId="100" fillId="37" borderId="122" xfId="210" applyFont="1" applyFill="1" applyBorder="1" applyAlignment="1">
      <alignment horizontal="center" vertical="center" wrapText="1"/>
    </xf>
    <xf numFmtId="43" fontId="100" fillId="37" borderId="123" xfId="1289" applyNumberFormat="1" applyFont="1" applyFill="1" applyBorder="1" applyAlignment="1">
      <alignment horizontal="right" vertical="center" wrapText="1"/>
    </xf>
    <xf numFmtId="43" fontId="100" fillId="0" borderId="123" xfId="1289" applyNumberFormat="1" applyFont="1" applyFill="1" applyBorder="1" applyAlignment="1">
      <alignment horizontal="center" vertical="center"/>
    </xf>
    <xf numFmtId="0" fontId="100" fillId="38" borderId="122" xfId="210" applyFont="1" applyFill="1" applyBorder="1" applyAlignment="1">
      <alignment horizontal="center" vertical="center" wrapText="1"/>
    </xf>
    <xf numFmtId="43" fontId="100" fillId="38" borderId="123" xfId="1289" applyNumberFormat="1" applyFont="1" applyFill="1" applyBorder="1" applyAlignment="1">
      <alignment horizontal="right" vertical="center"/>
    </xf>
    <xf numFmtId="0" fontId="100" fillId="39" borderId="122" xfId="210" applyFont="1" applyFill="1" applyBorder="1" applyAlignment="1">
      <alignment horizontal="center" vertical="center" wrapText="1"/>
    </xf>
    <xf numFmtId="43" fontId="100" fillId="39" borderId="123" xfId="1289" applyNumberFormat="1" applyFont="1" applyFill="1" applyBorder="1" applyAlignment="1">
      <alignment horizontal="right" vertical="center"/>
    </xf>
    <xf numFmtId="0" fontId="100" fillId="40" borderId="122" xfId="210" applyFont="1" applyFill="1" applyBorder="1" applyAlignment="1">
      <alignment horizontal="center" vertical="center" wrapText="1"/>
    </xf>
    <xf numFmtId="43" fontId="100" fillId="40" borderId="123" xfId="1289" applyNumberFormat="1" applyFont="1" applyFill="1" applyBorder="1" applyAlignment="1">
      <alignment horizontal="right" vertical="center"/>
    </xf>
    <xf numFmtId="0" fontId="100" fillId="0" borderId="124" xfId="210" applyFont="1" applyFill="1" applyBorder="1" applyAlignment="1">
      <alignment horizontal="center" vertical="center" wrapText="1"/>
    </xf>
    <xf numFmtId="0" fontId="100" fillId="0" borderId="125" xfId="210" applyFont="1" applyFill="1" applyBorder="1" applyAlignment="1">
      <alignment horizontal="center" vertical="center" wrapText="1"/>
    </xf>
    <xf numFmtId="9" fontId="100" fillId="0" borderId="125" xfId="1205" applyFont="1" applyFill="1" applyBorder="1" applyAlignment="1">
      <alignment horizontal="center" vertical="center" wrapText="1"/>
    </xf>
    <xf numFmtId="43" fontId="100" fillId="0" borderId="125" xfId="1289" applyNumberFormat="1" applyFont="1" applyFill="1" applyBorder="1" applyAlignment="1">
      <alignment horizontal="right" vertical="center"/>
    </xf>
    <xf numFmtId="9" fontId="100" fillId="0" borderId="125" xfId="1205" applyFont="1" applyFill="1" applyBorder="1" applyAlignment="1">
      <alignment horizontal="center" vertical="center"/>
    </xf>
    <xf numFmtId="10" fontId="100" fillId="0" borderId="125" xfId="1205" applyNumberFormat="1" applyFont="1" applyFill="1" applyBorder="1" applyAlignment="1">
      <alignment horizontal="center" vertical="center"/>
    </xf>
    <xf numFmtId="43" fontId="100" fillId="0" borderId="126" xfId="1289" applyNumberFormat="1" applyFont="1" applyFill="1" applyBorder="1" applyAlignment="1">
      <alignment horizontal="right" vertical="center"/>
    </xf>
    <xf numFmtId="9" fontId="105" fillId="0" borderId="0" xfId="1205" applyNumberFormat="1" applyFont="1" applyBorder="1" applyAlignment="1">
      <alignment horizontal="center" vertical="center"/>
    </xf>
    <xf numFmtId="0" fontId="102" fillId="12" borderId="34" xfId="0" applyFont="1" applyFill="1" applyBorder="1" applyAlignment="1">
      <alignment horizontal="center" vertical="center" wrapText="1"/>
    </xf>
    <xf numFmtId="0" fontId="102" fillId="12" borderId="28" xfId="0" applyFont="1" applyFill="1" applyBorder="1" applyAlignment="1">
      <alignment horizontal="center" vertical="center" wrapText="1"/>
    </xf>
    <xf numFmtId="0" fontId="102" fillId="12" borderId="87" xfId="0" applyFont="1" applyFill="1" applyBorder="1" applyAlignment="1">
      <alignment horizontal="center" vertical="center" wrapText="1"/>
    </xf>
    <xf numFmtId="0" fontId="102" fillId="12" borderId="18" xfId="0" applyFont="1" applyFill="1" applyBorder="1" applyAlignment="1">
      <alignment horizontal="center" vertical="center" wrapText="1"/>
    </xf>
    <xf numFmtId="0" fontId="102" fillId="12" borderId="88" xfId="0" applyFont="1" applyFill="1" applyBorder="1" applyAlignment="1">
      <alignment horizontal="center" vertical="center" wrapText="1"/>
    </xf>
    <xf numFmtId="0" fontId="41" fillId="13" borderId="67" xfId="0" applyFont="1" applyFill="1" applyBorder="1" applyAlignment="1">
      <alignment horizontal="center" vertical="center" wrapText="1"/>
    </xf>
    <xf numFmtId="0" fontId="41" fillId="13" borderId="16" xfId="0" applyFont="1" applyFill="1" applyBorder="1" applyAlignment="1">
      <alignment horizontal="center" vertical="center" wrapText="1"/>
    </xf>
    <xf numFmtId="0" fontId="102" fillId="12" borderId="34" xfId="0" applyNumberFormat="1" applyFont="1" applyFill="1" applyBorder="1" applyAlignment="1">
      <alignment horizontal="center" vertical="center" wrapText="1"/>
    </xf>
    <xf numFmtId="0" fontId="102" fillId="12" borderId="28" xfId="0" applyNumberFormat="1" applyFont="1" applyFill="1" applyBorder="1" applyAlignment="1">
      <alignment horizontal="center" vertical="center" wrapText="1"/>
    </xf>
    <xf numFmtId="166" fontId="101" fillId="0" borderId="78" xfId="1212" applyNumberFormat="1" applyFont="1" applyBorder="1" applyAlignment="1">
      <alignment horizontal="center" vertical="center"/>
    </xf>
    <xf numFmtId="166" fontId="101" fillId="0" borderId="79" xfId="1212" applyNumberFormat="1" applyFont="1" applyBorder="1" applyAlignment="1">
      <alignment horizontal="center" vertical="center"/>
    </xf>
    <xf numFmtId="166" fontId="101" fillId="0" borderId="80" xfId="1212" applyNumberFormat="1" applyFont="1" applyBorder="1" applyAlignment="1">
      <alignment horizontal="center" vertical="center"/>
    </xf>
    <xf numFmtId="0" fontId="101" fillId="0" borderId="97" xfId="0" applyFont="1" applyBorder="1" applyAlignment="1">
      <alignment horizontal="center" vertical="center"/>
    </xf>
    <xf numFmtId="166" fontId="101" fillId="0" borderId="97" xfId="1212" applyFont="1" applyBorder="1" applyAlignment="1">
      <alignment horizontal="center" vertical="center"/>
    </xf>
    <xf numFmtId="0" fontId="27" fillId="0" borderId="97" xfId="0" applyFont="1" applyBorder="1" applyAlignment="1">
      <alignment horizontal="center" vertical="center"/>
    </xf>
    <xf numFmtId="166" fontId="109" fillId="0" borderId="97" xfId="0" applyNumberFormat="1" applyFont="1" applyBorder="1" applyAlignment="1">
      <alignment horizontal="center" vertical="center" wrapText="1"/>
    </xf>
    <xf numFmtId="0" fontId="97" fillId="0" borderId="78" xfId="0" applyFont="1" applyBorder="1" applyAlignment="1">
      <alignment horizontal="center" wrapText="1"/>
    </xf>
    <xf numFmtId="0" fontId="97" fillId="0" borderId="79" xfId="0" applyFont="1" applyBorder="1" applyAlignment="1">
      <alignment horizontal="center" wrapText="1"/>
    </xf>
    <xf numFmtId="0" fontId="97" fillId="0" borderId="80" xfId="0" applyFont="1" applyBorder="1" applyAlignment="1">
      <alignment horizontal="center" wrapText="1"/>
    </xf>
    <xf numFmtId="166" fontId="93" fillId="0" borderId="97" xfId="0" applyNumberFormat="1" applyFont="1" applyBorder="1" applyAlignment="1">
      <alignment horizontal="center" vertical="center" wrapText="1"/>
    </xf>
    <xf numFmtId="0" fontId="0" fillId="0" borderId="0" xfId="0" applyBorder="1" applyAlignment="1">
      <alignment horizontal="center" wrapText="1"/>
    </xf>
    <xf numFmtId="0" fontId="97" fillId="0" borderId="97" xfId="0" applyFont="1" applyBorder="1" applyAlignment="1">
      <alignment horizontal="center" wrapText="1"/>
    </xf>
    <xf numFmtId="0" fontId="155" fillId="0" borderId="0" xfId="0" applyFont="1" applyBorder="1" applyAlignment="1">
      <alignment horizontal="left" vertical="center" wrapText="1"/>
    </xf>
    <xf numFmtId="166" fontId="35" fillId="21" borderId="69" xfId="1212" applyFont="1" applyFill="1" applyBorder="1" applyAlignment="1">
      <alignment horizontal="center" vertical="center" wrapText="1"/>
    </xf>
    <xf numFmtId="166" fontId="35" fillId="21" borderId="0" xfId="1212" applyFont="1" applyFill="1" applyBorder="1" applyAlignment="1">
      <alignment horizontal="center" vertical="center" wrapText="1"/>
    </xf>
    <xf numFmtId="0" fontId="39" fillId="0" borderId="0" xfId="210" applyFont="1" applyAlignment="1">
      <alignment horizontal="center" wrapText="1"/>
    </xf>
    <xf numFmtId="0" fontId="40" fillId="0" borderId="9" xfId="210" applyFont="1" applyBorder="1" applyAlignment="1">
      <alignment horizontal="center" vertical="center" wrapText="1"/>
    </xf>
    <xf numFmtId="0" fontId="40" fillId="0" borderId="10" xfId="210" applyFont="1" applyBorder="1" applyAlignment="1">
      <alignment horizontal="center" vertical="center" wrapText="1"/>
    </xf>
    <xf numFmtId="0" fontId="40" fillId="0" borderId="11" xfId="210" applyFont="1" applyBorder="1" applyAlignment="1">
      <alignment horizontal="center" vertical="center" wrapText="1"/>
    </xf>
    <xf numFmtId="1" fontId="40" fillId="0" borderId="10" xfId="1212" applyNumberFormat="1" applyFont="1" applyBorder="1" applyAlignment="1">
      <alignment horizontal="center" vertical="center" wrapText="1"/>
    </xf>
    <xf numFmtId="1" fontId="40" fillId="5" borderId="10" xfId="1212" applyNumberFormat="1" applyFont="1" applyFill="1" applyBorder="1" applyAlignment="1">
      <alignment horizontal="center" vertical="center" wrapText="1"/>
    </xf>
    <xf numFmtId="166" fontId="40" fillId="0" borderId="10" xfId="1212" applyFont="1" applyBorder="1" applyAlignment="1">
      <alignment horizontal="center" vertical="center" wrapText="1"/>
    </xf>
    <xf numFmtId="0" fontId="38" fillId="45" borderId="16" xfId="0" applyFont="1" applyFill="1" applyBorder="1" applyAlignment="1">
      <alignment horizontal="center" vertical="center" wrapText="1"/>
    </xf>
    <xf numFmtId="0" fontId="32" fillId="12" borderId="108" xfId="0" applyFont="1" applyFill="1" applyBorder="1" applyAlignment="1">
      <alignment horizontal="center" vertical="center" wrapText="1"/>
    </xf>
    <xf numFmtId="0" fontId="32" fillId="12" borderId="109" xfId="0" applyFont="1" applyFill="1" applyBorder="1" applyAlignment="1">
      <alignment horizontal="center" vertical="center" wrapText="1"/>
    </xf>
    <xf numFmtId="0" fontId="97" fillId="0" borderId="28" xfId="0" applyFont="1" applyBorder="1" applyAlignment="1">
      <alignment horizontal="center" wrapText="1"/>
    </xf>
    <xf numFmtId="0" fontId="27" fillId="0" borderId="28" xfId="0" applyFont="1" applyBorder="1" applyAlignment="1">
      <alignment horizontal="center" vertical="center"/>
    </xf>
    <xf numFmtId="166" fontId="93" fillId="0" borderId="28" xfId="0" applyNumberFormat="1" applyFont="1" applyBorder="1" applyAlignment="1">
      <alignment horizontal="center" vertical="center" wrapText="1"/>
    </xf>
    <xf numFmtId="0" fontId="38" fillId="45" borderId="16" xfId="0" applyFont="1" applyFill="1" applyBorder="1" applyAlignment="1">
      <alignment horizontal="center" wrapText="1"/>
    </xf>
    <xf numFmtId="0" fontId="32" fillId="12" borderId="44" xfId="0" applyFont="1" applyFill="1" applyBorder="1" applyAlignment="1">
      <alignment horizontal="center" vertical="center" wrapText="1"/>
    </xf>
    <xf numFmtId="0" fontId="32" fillId="12" borderId="25" xfId="0" applyFont="1" applyFill="1" applyBorder="1" applyAlignment="1">
      <alignment horizontal="center" vertical="center" wrapText="1"/>
    </xf>
    <xf numFmtId="0" fontId="32" fillId="12" borderId="24" xfId="0" applyFont="1" applyFill="1" applyBorder="1" applyAlignment="1">
      <alignment horizontal="center" vertical="center" wrapText="1"/>
    </xf>
    <xf numFmtId="166" fontId="0" fillId="0" borderId="44" xfId="1212" applyFont="1" applyBorder="1" applyAlignment="1">
      <alignment horizontal="left" vertical="center" wrapText="1"/>
    </xf>
    <xf numFmtId="166" fontId="0" fillId="0" borderId="24" xfId="1212" applyFont="1" applyBorder="1" applyAlignment="1">
      <alignment horizontal="left" vertical="center" wrapText="1"/>
    </xf>
    <xf numFmtId="0" fontId="32" fillId="12" borderId="104" xfId="0" applyFont="1" applyFill="1" applyBorder="1" applyAlignment="1">
      <alignment horizontal="center" vertical="center" wrapText="1"/>
    </xf>
    <xf numFmtId="0" fontId="32" fillId="12" borderId="105" xfId="0" applyFont="1" applyFill="1" applyBorder="1" applyAlignment="1">
      <alignment horizontal="center" vertical="center" wrapText="1"/>
    </xf>
    <xf numFmtId="0" fontId="32" fillId="12" borderId="107" xfId="0" applyFont="1" applyFill="1" applyBorder="1" applyAlignment="1">
      <alignment horizontal="center" vertical="center" wrapText="1"/>
    </xf>
    <xf numFmtId="166" fontId="0" fillId="0" borderId="104" xfId="1212" applyFont="1" applyBorder="1" applyAlignment="1">
      <alignment horizontal="center" vertical="center"/>
    </xf>
    <xf numFmtId="166" fontId="0" fillId="0" borderId="106" xfId="1212" applyFont="1" applyBorder="1" applyAlignment="1">
      <alignment horizontal="center" vertical="center"/>
    </xf>
    <xf numFmtId="166" fontId="170" fillId="0" borderId="44" xfId="1212" applyFont="1" applyFill="1" applyBorder="1" applyAlignment="1">
      <alignment horizontal="right" vertical="center"/>
    </xf>
    <xf numFmtId="166" fontId="170" fillId="0" borderId="24" xfId="1212" applyFont="1" applyFill="1" applyBorder="1" applyAlignment="1">
      <alignment horizontal="right" vertical="center"/>
    </xf>
    <xf numFmtId="166" fontId="170" fillId="0" borderId="25" xfId="1212" applyFont="1" applyFill="1" applyBorder="1" applyAlignment="1">
      <alignment horizontal="right" vertical="center"/>
    </xf>
    <xf numFmtId="166" fontId="170" fillId="0" borderId="15" xfId="1212" applyFont="1" applyFill="1" applyBorder="1" applyAlignment="1">
      <alignment horizontal="right" vertical="center"/>
    </xf>
    <xf numFmtId="166" fontId="170" fillId="0" borderId="46" xfId="1212" applyFont="1" applyFill="1" applyBorder="1" applyAlignment="1">
      <alignment horizontal="right" vertical="center"/>
    </xf>
    <xf numFmtId="166" fontId="170" fillId="0" borderId="51" xfId="1212" applyFont="1" applyFill="1" applyBorder="1" applyAlignment="1">
      <alignment horizontal="right" vertical="center"/>
    </xf>
    <xf numFmtId="166" fontId="170" fillId="0" borderId="41" xfId="1212" applyFont="1" applyFill="1" applyBorder="1" applyAlignment="1">
      <alignment horizontal="right" vertical="center"/>
    </xf>
    <xf numFmtId="166" fontId="170" fillId="0" borderId="28" xfId="1212" applyFont="1" applyFill="1" applyBorder="1" applyAlignment="1">
      <alignment horizontal="right" vertical="center"/>
    </xf>
    <xf numFmtId="194" fontId="170" fillId="0" borderId="44" xfId="1205" applyNumberFormat="1" applyFont="1" applyFill="1" applyBorder="1" applyAlignment="1">
      <alignment horizontal="right" vertical="center"/>
    </xf>
    <xf numFmtId="194" fontId="170" fillId="0" borderId="25" xfId="1205" applyNumberFormat="1" applyFont="1" applyFill="1" applyBorder="1" applyAlignment="1">
      <alignment horizontal="right" vertical="center"/>
    </xf>
    <xf numFmtId="194" fontId="170" fillId="0" borderId="24" xfId="1205" applyNumberFormat="1" applyFont="1" applyFill="1" applyBorder="1" applyAlignment="1">
      <alignment horizontal="right" vertical="center"/>
    </xf>
    <xf numFmtId="166" fontId="170" fillId="0" borderId="35" xfId="1212" applyFont="1" applyFill="1" applyBorder="1" applyAlignment="1">
      <alignment horizontal="right" vertical="center"/>
    </xf>
    <xf numFmtId="194" fontId="170" fillId="0" borderId="28" xfId="1205" applyNumberFormat="1" applyFont="1" applyFill="1" applyBorder="1" applyAlignment="1">
      <alignment horizontal="right" vertical="center"/>
    </xf>
    <xf numFmtId="166" fontId="158" fillId="0" borderId="97" xfId="1212" applyFont="1" applyBorder="1" applyAlignment="1">
      <alignment horizontal="center" vertical="center" wrapText="1"/>
    </xf>
    <xf numFmtId="166" fontId="158" fillId="0" borderId="97" xfId="1212" applyFont="1" applyBorder="1" applyAlignment="1">
      <alignment horizontal="center" vertical="center"/>
    </xf>
    <xf numFmtId="0" fontId="99" fillId="0" borderId="70" xfId="210" applyFont="1" applyBorder="1" applyAlignment="1">
      <alignment horizontal="center" vertical="center" wrapText="1"/>
    </xf>
    <xf numFmtId="0" fontId="99" fillId="0" borderId="71" xfId="210" applyFont="1" applyBorder="1" applyAlignment="1">
      <alignment horizontal="center" vertical="center" wrapText="1"/>
    </xf>
    <xf numFmtId="1" fontId="113" fillId="35" borderId="84" xfId="1212" applyNumberFormat="1" applyFont="1" applyFill="1" applyBorder="1" applyAlignment="1">
      <alignment horizontal="center" vertical="center" wrapText="1"/>
    </xf>
    <xf numFmtId="1" fontId="113" fillId="35" borderId="85" xfId="1212" applyNumberFormat="1" applyFont="1" applyFill="1" applyBorder="1" applyAlignment="1">
      <alignment horizontal="center" vertical="center" wrapText="1"/>
    </xf>
    <xf numFmtId="1" fontId="113" fillId="37" borderId="85" xfId="1212" applyNumberFormat="1" applyFont="1" applyFill="1" applyBorder="1" applyAlignment="1">
      <alignment horizontal="center" vertical="center" wrapText="1"/>
    </xf>
    <xf numFmtId="1" fontId="113" fillId="40" borderId="85" xfId="1212" applyNumberFormat="1" applyFont="1" applyFill="1" applyBorder="1" applyAlignment="1">
      <alignment horizontal="center" vertical="center" wrapText="1"/>
    </xf>
    <xf numFmtId="1" fontId="113" fillId="40" borderId="86" xfId="1212" applyNumberFormat="1" applyFont="1" applyFill="1" applyBorder="1" applyAlignment="1">
      <alignment horizontal="center" vertical="center" wrapText="1"/>
    </xf>
    <xf numFmtId="0" fontId="98" fillId="0" borderId="97" xfId="210" applyFont="1" applyBorder="1" applyAlignment="1">
      <alignment horizontal="center" vertical="center"/>
    </xf>
    <xf numFmtId="166" fontId="170" fillId="0" borderId="58" xfId="1212" applyFont="1" applyFill="1" applyBorder="1" applyAlignment="1">
      <alignment horizontal="right" vertical="center"/>
    </xf>
    <xf numFmtId="0" fontId="159" fillId="0" borderId="97" xfId="210" applyFont="1" applyBorder="1" applyAlignment="1">
      <alignment horizontal="center" vertical="center"/>
    </xf>
    <xf numFmtId="1" fontId="113" fillId="43" borderId="83" xfId="1212" applyNumberFormat="1" applyFont="1" applyFill="1" applyBorder="1" applyAlignment="1">
      <alignment horizontal="center" vertical="center" wrapText="1"/>
    </xf>
    <xf numFmtId="1" fontId="113" fillId="43" borderId="10" xfId="1212" applyNumberFormat="1" applyFont="1" applyFill="1" applyBorder="1" applyAlignment="1">
      <alignment horizontal="center" vertical="center" wrapText="1"/>
    </xf>
    <xf numFmtId="1" fontId="113" fillId="43" borderId="60" xfId="1212" applyNumberFormat="1" applyFont="1" applyFill="1" applyBorder="1" applyAlignment="1">
      <alignment horizontal="center" vertical="center" wrapText="1"/>
    </xf>
    <xf numFmtId="166" fontId="159" fillId="0" borderId="97" xfId="1212" applyFont="1" applyBorder="1" applyAlignment="1">
      <alignment horizontal="center" vertical="center" wrapText="1"/>
    </xf>
    <xf numFmtId="166" fontId="113" fillId="42" borderId="60" xfId="1212" applyFont="1" applyFill="1" applyBorder="1" applyAlignment="1">
      <alignment horizontal="center" vertical="center" wrapText="1"/>
    </xf>
    <xf numFmtId="166" fontId="113" fillId="42" borderId="30" xfId="1212" applyFont="1" applyFill="1" applyBorder="1" applyAlignment="1">
      <alignment horizontal="center" vertical="center" wrapText="1"/>
    </xf>
    <xf numFmtId="166" fontId="170" fillId="0" borderId="28" xfId="1212" applyFont="1" applyFill="1" applyBorder="1" applyAlignment="1">
      <alignment horizontal="right" vertical="center" wrapText="1"/>
    </xf>
    <xf numFmtId="0" fontId="157" fillId="0" borderId="97" xfId="210" applyFont="1" applyBorder="1" applyAlignment="1">
      <alignment horizontal="center" vertical="center" wrapText="1"/>
    </xf>
    <xf numFmtId="194" fontId="170" fillId="0" borderId="15" xfId="1205" applyNumberFormat="1" applyFont="1" applyFill="1" applyBorder="1" applyAlignment="1">
      <alignment horizontal="right" vertical="center"/>
    </xf>
    <xf numFmtId="0" fontId="164" fillId="0" borderId="44" xfId="210" applyFont="1" applyFill="1" applyBorder="1" applyAlignment="1">
      <alignment horizontal="center" vertical="center" wrapText="1"/>
    </xf>
    <xf numFmtId="0" fontId="164" fillId="0" borderId="24" xfId="210" applyFont="1" applyFill="1" applyBorder="1" applyAlignment="1">
      <alignment horizontal="center" vertical="center" wrapText="1"/>
    </xf>
    <xf numFmtId="0" fontId="164" fillId="0" borderId="43" xfId="210" applyFont="1" applyFill="1" applyBorder="1" applyAlignment="1">
      <alignment horizontal="center" vertical="center" wrapText="1"/>
    </xf>
    <xf numFmtId="0" fontId="164" fillId="0" borderId="27" xfId="210" applyFont="1" applyFill="1" applyBorder="1" applyAlignment="1">
      <alignment horizontal="center" vertical="center" wrapText="1"/>
    </xf>
    <xf numFmtId="0" fontId="164" fillId="0" borderId="21" xfId="210" applyFont="1" applyFill="1" applyBorder="1" applyAlignment="1">
      <alignment horizontal="center" vertical="center" wrapText="1"/>
    </xf>
    <xf numFmtId="0" fontId="164" fillId="0" borderId="25" xfId="210" applyFont="1" applyFill="1" applyBorder="1" applyAlignment="1">
      <alignment horizontal="center" vertical="center" wrapText="1"/>
    </xf>
    <xf numFmtId="0" fontId="164" fillId="0" borderId="15" xfId="210" applyFont="1" applyFill="1" applyBorder="1" applyAlignment="1">
      <alignment horizontal="center" vertical="center" wrapText="1"/>
    </xf>
    <xf numFmtId="0" fontId="164" fillId="0" borderId="14" xfId="210" applyFont="1" applyFill="1" applyBorder="1" applyAlignment="1">
      <alignment horizontal="center" vertical="center" wrapText="1"/>
    </xf>
    <xf numFmtId="0" fontId="113" fillId="34" borderId="98" xfId="210" applyFont="1" applyFill="1" applyBorder="1" applyAlignment="1">
      <alignment horizontal="center" vertical="center"/>
    </xf>
    <xf numFmtId="0" fontId="113" fillId="34" borderId="99" xfId="210" applyFont="1" applyFill="1" applyBorder="1" applyAlignment="1">
      <alignment horizontal="center" vertical="center"/>
    </xf>
    <xf numFmtId="0" fontId="113" fillId="34" borderId="100" xfId="210" applyFont="1" applyFill="1" applyBorder="1" applyAlignment="1">
      <alignment horizontal="center" vertical="center"/>
    </xf>
    <xf numFmtId="0" fontId="161" fillId="0" borderId="97" xfId="210" applyFont="1" applyBorder="1" applyAlignment="1">
      <alignment horizontal="center" vertical="center"/>
    </xf>
    <xf numFmtId="166" fontId="162" fillId="0" borderId="97" xfId="1212" applyFont="1" applyBorder="1" applyAlignment="1">
      <alignment horizontal="center" vertical="center" wrapText="1"/>
    </xf>
    <xf numFmtId="166" fontId="162" fillId="0" borderId="97" xfId="1212" applyFont="1" applyBorder="1" applyAlignment="1">
      <alignment horizontal="center" vertical="center"/>
    </xf>
    <xf numFmtId="0" fontId="163" fillId="0" borderId="97" xfId="210" applyFont="1" applyBorder="1" applyAlignment="1">
      <alignment horizontal="center" vertical="center"/>
    </xf>
    <xf numFmtId="166" fontId="163" fillId="0" borderId="97" xfId="1212" applyFont="1" applyBorder="1" applyAlignment="1">
      <alignment horizontal="center" vertical="center" wrapText="1"/>
    </xf>
    <xf numFmtId="0" fontId="161" fillId="0" borderId="110" xfId="210" applyFont="1" applyBorder="1" applyAlignment="1">
      <alignment horizontal="center" vertical="center"/>
    </xf>
    <xf numFmtId="0" fontId="161" fillId="0" borderId="111" xfId="210" applyFont="1" applyBorder="1" applyAlignment="1">
      <alignment horizontal="center" vertical="center"/>
    </xf>
    <xf numFmtId="0" fontId="161" fillId="0" borderId="112" xfId="210" applyFont="1" applyBorder="1" applyAlignment="1">
      <alignment horizontal="center" vertical="center"/>
    </xf>
    <xf numFmtId="0" fontId="161" fillId="0" borderId="113" xfId="210" applyFont="1" applyBorder="1" applyAlignment="1">
      <alignment horizontal="center" vertical="center"/>
    </xf>
    <xf numFmtId="0" fontId="161" fillId="0" borderId="114" xfId="210" applyFont="1" applyBorder="1" applyAlignment="1">
      <alignment horizontal="center" vertical="center"/>
    </xf>
    <xf numFmtId="0" fontId="161" fillId="0" borderId="115" xfId="210" applyFont="1" applyBorder="1" applyAlignment="1">
      <alignment horizontal="center" vertical="center"/>
    </xf>
    <xf numFmtId="9" fontId="163" fillId="0" borderId="116" xfId="1205" applyFont="1" applyBorder="1" applyAlignment="1">
      <alignment horizontal="center" vertical="center"/>
    </xf>
    <xf numFmtId="9" fontId="163" fillId="0" borderId="117" xfId="1205" applyFont="1" applyBorder="1" applyAlignment="1">
      <alignment horizontal="center" vertical="center"/>
    </xf>
    <xf numFmtId="9" fontId="163" fillId="0" borderId="118" xfId="1205" applyFont="1" applyBorder="1" applyAlignment="1">
      <alignment horizontal="center" vertical="center"/>
    </xf>
    <xf numFmtId="0" fontId="150" fillId="0" borderId="0" xfId="0" applyFont="1" applyBorder="1" applyAlignment="1">
      <alignment horizontal="left" vertical="center" wrapText="1"/>
    </xf>
    <xf numFmtId="0" fontId="160" fillId="0" borderId="97" xfId="0" applyFont="1" applyBorder="1" applyAlignment="1">
      <alignment horizontal="center" vertical="center" wrapText="1"/>
    </xf>
    <xf numFmtId="0" fontId="100" fillId="0" borderId="43" xfId="210" applyFont="1" applyFill="1" applyBorder="1" applyAlignment="1">
      <alignment horizontal="center" vertical="center" wrapText="1"/>
    </xf>
    <xf numFmtId="0" fontId="100" fillId="0" borderId="27" xfId="210" applyFont="1" applyFill="1" applyBorder="1" applyAlignment="1">
      <alignment horizontal="center" vertical="center" wrapText="1"/>
    </xf>
    <xf numFmtId="0" fontId="100" fillId="0" borderId="21" xfId="210" applyFont="1" applyFill="1" applyBorder="1" applyAlignment="1">
      <alignment horizontal="center" vertical="center" wrapText="1"/>
    </xf>
    <xf numFmtId="0" fontId="105" fillId="0" borderId="0" xfId="210" applyFont="1" applyBorder="1" applyAlignment="1">
      <alignment horizontal="center" vertical="center" wrapText="1"/>
    </xf>
    <xf numFmtId="9" fontId="163" fillId="0" borderId="97" xfId="1205" applyFont="1" applyBorder="1" applyAlignment="1">
      <alignment horizontal="center" vertical="center"/>
    </xf>
    <xf numFmtId="0" fontId="100" fillId="0" borderId="122" xfId="210" applyFont="1" applyFill="1" applyBorder="1" applyAlignment="1">
      <alignment horizontal="center" vertical="center" wrapText="1"/>
    </xf>
    <xf numFmtId="166" fontId="100" fillId="0" borderId="46" xfId="1212" applyFont="1" applyFill="1" applyBorder="1" applyAlignment="1">
      <alignment horizontal="right" vertical="center"/>
    </xf>
    <xf numFmtId="166" fontId="100" fillId="0" borderId="51" xfId="1212" applyFont="1" applyFill="1" applyBorder="1" applyAlignment="1">
      <alignment horizontal="right" vertical="center"/>
    </xf>
    <xf numFmtId="166" fontId="100" fillId="0" borderId="58" xfId="1212" applyFont="1" applyFill="1" applyBorder="1" applyAlignment="1">
      <alignment horizontal="right" vertical="center"/>
    </xf>
    <xf numFmtId="166" fontId="100" fillId="0" borderId="44" xfId="1212" applyFont="1" applyFill="1" applyBorder="1" applyAlignment="1">
      <alignment horizontal="right" vertical="center"/>
    </xf>
    <xf numFmtId="166" fontId="100" fillId="0" borderId="25" xfId="1212" applyFont="1" applyFill="1" applyBorder="1" applyAlignment="1">
      <alignment horizontal="right" vertical="center"/>
    </xf>
    <xf numFmtId="166" fontId="100" fillId="0" borderId="15" xfId="1212" applyFont="1" applyFill="1" applyBorder="1" applyAlignment="1">
      <alignment horizontal="right" vertical="center"/>
    </xf>
    <xf numFmtId="166" fontId="100" fillId="0" borderId="41" xfId="1212" applyFont="1" applyFill="1" applyBorder="1" applyAlignment="1">
      <alignment horizontal="right" vertical="center"/>
    </xf>
    <xf numFmtId="166" fontId="100" fillId="0" borderId="24" xfId="1212" applyFont="1" applyFill="1" applyBorder="1" applyAlignment="1">
      <alignment horizontal="right" vertical="center"/>
    </xf>
    <xf numFmtId="0" fontId="100" fillId="0" borderId="44" xfId="210" applyFont="1" applyFill="1" applyBorder="1" applyAlignment="1">
      <alignment horizontal="center" vertical="center" wrapText="1"/>
    </xf>
    <xf numFmtId="0" fontId="100" fillId="0" borderId="25" xfId="210" applyFont="1" applyFill="1" applyBorder="1" applyAlignment="1">
      <alignment horizontal="center" vertical="center" wrapText="1"/>
    </xf>
    <xf numFmtId="0" fontId="100" fillId="0" borderId="24" xfId="210" applyFont="1" applyFill="1" applyBorder="1" applyAlignment="1">
      <alignment horizontal="center" vertical="center" wrapText="1"/>
    </xf>
    <xf numFmtId="0" fontId="100" fillId="0" borderId="15" xfId="210" applyFont="1" applyFill="1" applyBorder="1" applyAlignment="1">
      <alignment horizontal="center" vertical="center" wrapText="1"/>
    </xf>
    <xf numFmtId="0" fontId="100" fillId="0" borderId="14" xfId="210" applyFont="1" applyFill="1" applyBorder="1" applyAlignment="1">
      <alignment horizontal="center" vertical="center" wrapText="1"/>
    </xf>
    <xf numFmtId="166" fontId="100" fillId="0" borderId="46" xfId="1212" applyFont="1" applyFill="1" applyBorder="1" applyAlignment="1">
      <alignment horizontal="center" vertical="center"/>
    </xf>
    <xf numFmtId="166" fontId="100" fillId="0" borderId="51" xfId="1212" applyFont="1" applyFill="1" applyBorder="1" applyAlignment="1">
      <alignment horizontal="center" vertical="center"/>
    </xf>
    <xf numFmtId="166" fontId="100" fillId="0" borderId="41" xfId="1212" applyFont="1" applyFill="1" applyBorder="1" applyAlignment="1">
      <alignment horizontal="center" vertical="center"/>
    </xf>
    <xf numFmtId="166" fontId="100" fillId="0" borderId="44" xfId="1212" applyFont="1" applyFill="1" applyBorder="1" applyAlignment="1">
      <alignment horizontal="center" vertical="center"/>
    </xf>
    <xf numFmtId="166" fontId="100" fillId="0" borderId="25" xfId="1212" applyFont="1" applyFill="1" applyBorder="1" applyAlignment="1">
      <alignment horizontal="center" vertical="center"/>
    </xf>
    <xf numFmtId="166" fontId="100" fillId="0" borderId="24" xfId="1212" applyFont="1" applyFill="1" applyBorder="1" applyAlignment="1">
      <alignment horizontal="center" vertical="center"/>
    </xf>
    <xf numFmtId="166" fontId="100" fillId="0" borderId="35" xfId="1212" applyFont="1" applyFill="1" applyBorder="1" applyAlignment="1">
      <alignment horizontal="right" vertical="center"/>
    </xf>
    <xf numFmtId="166" fontId="100" fillId="0" borderId="28" xfId="1212" applyFont="1" applyFill="1" applyBorder="1" applyAlignment="1">
      <alignment horizontal="right" vertical="center"/>
    </xf>
    <xf numFmtId="0" fontId="156" fillId="0" borderId="0" xfId="210" applyFont="1" applyBorder="1" applyAlignment="1">
      <alignment horizontal="left" vertical="center" wrapText="1"/>
    </xf>
    <xf numFmtId="166" fontId="105" fillId="0" borderId="35" xfId="1212" applyFont="1" applyFill="1" applyBorder="1" applyAlignment="1">
      <alignment horizontal="right" vertical="center"/>
    </xf>
    <xf numFmtId="166" fontId="105" fillId="0" borderId="39" xfId="1212" applyFont="1" applyFill="1" applyBorder="1" applyAlignment="1">
      <alignment horizontal="right" vertical="center"/>
    </xf>
    <xf numFmtId="166" fontId="105" fillId="0" borderId="35" xfId="1212" applyFont="1" applyFill="1" applyBorder="1" applyAlignment="1">
      <alignment horizontal="center" vertical="center"/>
    </xf>
    <xf numFmtId="166" fontId="105" fillId="0" borderId="33" xfId="1212" applyFont="1" applyFill="1" applyBorder="1" applyAlignment="1">
      <alignment horizontal="right" vertical="center"/>
    </xf>
    <xf numFmtId="0" fontId="100" fillId="0" borderId="28" xfId="210" applyFont="1" applyFill="1" applyBorder="1" applyAlignment="1">
      <alignment horizontal="center" vertical="center" wrapText="1"/>
    </xf>
    <xf numFmtId="166" fontId="111" fillId="0" borderId="28" xfId="1212" applyFont="1" applyBorder="1" applyAlignment="1">
      <alignment horizontal="center" vertical="center" wrapText="1"/>
    </xf>
    <xf numFmtId="166" fontId="100" fillId="0" borderId="3" xfId="1212" applyFont="1" applyFill="1" applyBorder="1" applyAlignment="1">
      <alignment horizontal="right" vertical="center"/>
    </xf>
    <xf numFmtId="166" fontId="100" fillId="0" borderId="69" xfId="1212" applyFont="1" applyFill="1" applyBorder="1" applyAlignment="1">
      <alignment horizontal="right" vertical="center"/>
    </xf>
    <xf numFmtId="166" fontId="100" fillId="0" borderId="81" xfId="1212" applyFont="1" applyFill="1" applyBorder="1" applyAlignment="1">
      <alignment horizontal="right" vertical="center"/>
    </xf>
    <xf numFmtId="166" fontId="105" fillId="0" borderId="28" xfId="1212" applyFont="1" applyFill="1" applyBorder="1" applyAlignment="1">
      <alignment horizontal="right" vertical="center"/>
    </xf>
    <xf numFmtId="166" fontId="105" fillId="0" borderId="73" xfId="1212" applyFont="1" applyFill="1" applyBorder="1" applyAlignment="1">
      <alignment horizontal="right" vertical="center"/>
    </xf>
    <xf numFmtId="0" fontId="105" fillId="0" borderId="0" xfId="210" applyFont="1" applyAlignment="1">
      <alignment horizontal="center" vertical="center" wrapText="1"/>
    </xf>
    <xf numFmtId="166" fontId="105" fillId="0" borderId="44" xfId="1212" applyFont="1" applyFill="1" applyBorder="1" applyAlignment="1">
      <alignment horizontal="right" vertical="center"/>
    </xf>
    <xf numFmtId="166" fontId="105" fillId="0" borderId="25" xfId="1212" applyFont="1" applyFill="1" applyBorder="1" applyAlignment="1">
      <alignment horizontal="right" vertical="center"/>
    </xf>
    <xf numFmtId="166" fontId="105" fillId="0" borderId="15" xfId="1212" applyFont="1" applyFill="1" applyBorder="1" applyAlignment="1">
      <alignment horizontal="right" vertical="center"/>
    </xf>
    <xf numFmtId="166" fontId="105" fillId="0" borderId="3" xfId="1212" applyFont="1" applyFill="1" applyBorder="1" applyAlignment="1">
      <alignment horizontal="right" vertical="center"/>
    </xf>
    <xf numFmtId="166" fontId="105" fillId="0" borderId="69" xfId="1212" applyFont="1" applyFill="1" applyBorder="1" applyAlignment="1">
      <alignment horizontal="right" vertical="center"/>
    </xf>
    <xf numFmtId="166" fontId="105" fillId="0" borderId="82" xfId="1212" applyFont="1" applyFill="1" applyBorder="1" applyAlignment="1">
      <alignment horizontal="right" vertical="center"/>
    </xf>
    <xf numFmtId="166" fontId="105" fillId="0" borderId="24" xfId="1212" applyFont="1" applyFill="1" applyBorder="1" applyAlignment="1">
      <alignment horizontal="right" vertical="center"/>
    </xf>
    <xf numFmtId="166" fontId="105" fillId="0" borderId="81" xfId="1212" applyFont="1" applyFill="1" applyBorder="1" applyAlignment="1">
      <alignment horizontal="right" vertical="center"/>
    </xf>
    <xf numFmtId="166" fontId="105" fillId="0" borderId="44" xfId="1212" applyFont="1" applyFill="1" applyBorder="1" applyAlignment="1">
      <alignment horizontal="center" vertical="center"/>
    </xf>
    <xf numFmtId="166" fontId="105" fillId="0" borderId="25" xfId="1212" applyFont="1" applyFill="1" applyBorder="1" applyAlignment="1">
      <alignment horizontal="center" vertical="center"/>
    </xf>
    <xf numFmtId="166" fontId="105" fillId="0" borderId="24" xfId="1212" applyFont="1" applyFill="1" applyBorder="1" applyAlignment="1">
      <alignment horizontal="center" vertical="center"/>
    </xf>
    <xf numFmtId="166" fontId="105" fillId="0" borderId="3" xfId="1212" applyFont="1" applyFill="1" applyBorder="1" applyAlignment="1">
      <alignment horizontal="center" vertical="center"/>
    </xf>
    <xf numFmtId="166" fontId="105" fillId="0" borderId="69" xfId="1212" applyFont="1" applyFill="1" applyBorder="1" applyAlignment="1">
      <alignment horizontal="center" vertical="center"/>
    </xf>
    <xf numFmtId="166" fontId="105" fillId="0" borderId="81" xfId="1212" applyFont="1" applyFill="1" applyBorder="1" applyAlignment="1">
      <alignment horizontal="center" vertical="center"/>
    </xf>
    <xf numFmtId="166" fontId="105" fillId="0" borderId="34" xfId="1212" applyFont="1" applyFill="1" applyBorder="1" applyAlignment="1">
      <alignment horizontal="right" vertical="center"/>
    </xf>
    <xf numFmtId="166" fontId="105" fillId="0" borderId="37" xfId="1212" applyFont="1" applyFill="1" applyBorder="1" applyAlignment="1">
      <alignment horizontal="right" vertical="center"/>
    </xf>
    <xf numFmtId="166" fontId="100" fillId="0" borderId="29" xfId="1212" applyFont="1" applyBorder="1" applyAlignment="1">
      <alignment horizontal="center" vertical="center" wrapText="1"/>
    </xf>
    <xf numFmtId="166" fontId="100" fillId="0" borderId="30" xfId="1212" applyFont="1" applyBorder="1" applyAlignment="1">
      <alignment horizontal="center" vertical="center" wrapText="1"/>
    </xf>
    <xf numFmtId="166" fontId="100" fillId="0" borderId="31" xfId="1212" applyFont="1" applyBorder="1" applyAlignment="1">
      <alignment horizontal="center" vertical="center" wrapText="1"/>
    </xf>
    <xf numFmtId="0" fontId="107" fillId="0" borderId="28" xfId="210" applyFont="1" applyBorder="1" applyAlignment="1">
      <alignment horizontal="center" vertical="center"/>
    </xf>
    <xf numFmtId="0" fontId="98" fillId="0" borderId="28" xfId="210" applyFont="1" applyBorder="1" applyAlignment="1">
      <alignment horizontal="center" vertical="center"/>
    </xf>
    <xf numFmtId="166" fontId="105" fillId="0" borderId="34" xfId="1212" applyFont="1" applyFill="1" applyBorder="1" applyAlignment="1">
      <alignment horizontal="center" vertical="center"/>
    </xf>
    <xf numFmtId="166" fontId="105" fillId="0" borderId="5" xfId="1212" applyFont="1" applyFill="1" applyBorder="1" applyAlignment="1">
      <alignment horizontal="right" vertical="center"/>
    </xf>
    <xf numFmtId="166" fontId="100" fillId="0" borderId="34" xfId="1212" applyFont="1" applyFill="1" applyBorder="1" applyAlignment="1">
      <alignment horizontal="right" vertical="center"/>
    </xf>
    <xf numFmtId="166" fontId="105" fillId="0" borderId="28" xfId="1212" applyFont="1" applyFill="1" applyBorder="1" applyAlignment="1">
      <alignment horizontal="center" vertical="center"/>
    </xf>
    <xf numFmtId="166" fontId="105" fillId="0" borderId="6" xfId="1212" applyFont="1" applyFill="1" applyBorder="1" applyAlignment="1">
      <alignment horizontal="right" vertical="center"/>
    </xf>
    <xf numFmtId="166" fontId="105" fillId="0" borderId="38" xfId="1212" applyFont="1" applyFill="1" applyBorder="1" applyAlignment="1">
      <alignment horizontal="right" vertical="center"/>
    </xf>
    <xf numFmtId="9" fontId="105" fillId="19" borderId="46" xfId="1205" applyFont="1" applyFill="1" applyBorder="1" applyAlignment="1">
      <alignment horizontal="center" vertical="center"/>
    </xf>
    <xf numFmtId="9" fontId="105" fillId="19" borderId="41" xfId="1205" applyFont="1" applyFill="1" applyBorder="1" applyAlignment="1">
      <alignment horizontal="center" vertical="center"/>
    </xf>
    <xf numFmtId="9" fontId="105" fillId="20" borderId="46" xfId="1205" applyFont="1" applyFill="1" applyBorder="1" applyAlignment="1">
      <alignment horizontal="center" vertical="center"/>
    </xf>
    <xf numFmtId="9" fontId="105" fillId="20" borderId="51" xfId="1205" applyFont="1" applyFill="1" applyBorder="1" applyAlignment="1">
      <alignment horizontal="center" vertical="center"/>
    </xf>
    <xf numFmtId="9" fontId="105" fillId="20" borderId="41" xfId="1205" applyFont="1" applyFill="1" applyBorder="1" applyAlignment="1">
      <alignment horizontal="center" vertical="center"/>
    </xf>
    <xf numFmtId="9" fontId="105" fillId="15" borderId="46" xfId="1205" applyFont="1" applyFill="1" applyBorder="1" applyAlignment="1">
      <alignment horizontal="center" vertical="center"/>
    </xf>
    <xf numFmtId="9" fontId="105" fillId="15" borderId="51" xfId="1205" applyFont="1" applyFill="1" applyBorder="1" applyAlignment="1">
      <alignment horizontal="center" vertical="center"/>
    </xf>
    <xf numFmtId="9" fontId="105" fillId="15" borderId="58" xfId="1205" applyFont="1" applyFill="1" applyBorder="1" applyAlignment="1">
      <alignment horizontal="center" vertical="center"/>
    </xf>
    <xf numFmtId="9" fontId="106" fillId="17" borderId="46" xfId="1205" applyFont="1" applyFill="1" applyBorder="1" applyAlignment="1">
      <alignment horizontal="center" vertical="center"/>
    </xf>
    <xf numFmtId="9" fontId="106" fillId="17" borderId="51" xfId="1205" applyFont="1" applyFill="1" applyBorder="1" applyAlignment="1">
      <alignment horizontal="center" vertical="center"/>
    </xf>
    <xf numFmtId="9" fontId="106" fillId="17" borderId="41" xfId="1205" applyFont="1" applyFill="1" applyBorder="1" applyAlignment="1">
      <alignment horizontal="center" vertical="center"/>
    </xf>
    <xf numFmtId="9" fontId="105" fillId="18" borderId="46" xfId="1205" applyFont="1" applyFill="1" applyBorder="1" applyAlignment="1">
      <alignment horizontal="center" vertical="center"/>
    </xf>
    <xf numFmtId="9" fontId="105" fillId="18" borderId="41" xfId="1205" applyFont="1" applyFill="1" applyBorder="1" applyAlignment="1">
      <alignment horizontal="center" vertical="center"/>
    </xf>
    <xf numFmtId="9" fontId="105" fillId="18" borderId="35" xfId="1205" applyFont="1" applyFill="1" applyBorder="1" applyAlignment="1">
      <alignment horizontal="center" vertical="center"/>
    </xf>
    <xf numFmtId="9" fontId="105" fillId="18" borderId="51" xfId="1205" applyFont="1" applyFill="1" applyBorder="1" applyAlignment="1">
      <alignment horizontal="center" vertical="center"/>
    </xf>
    <xf numFmtId="9" fontId="105" fillId="16" borderId="35" xfId="1205" applyFont="1" applyFill="1" applyBorder="1" applyAlignment="1">
      <alignment horizontal="center" vertical="center"/>
    </xf>
    <xf numFmtId="9" fontId="105" fillId="14" borderId="35" xfId="1205" applyFont="1" applyFill="1" applyBorder="1" applyAlignment="1">
      <alignment horizontal="center" vertical="center"/>
    </xf>
    <xf numFmtId="9" fontId="105" fillId="14" borderId="46" xfId="1205" applyFont="1" applyFill="1" applyBorder="1" applyAlignment="1">
      <alignment horizontal="center" vertical="center"/>
    </xf>
    <xf numFmtId="9" fontId="105" fillId="14" borderId="51" xfId="1205" applyFont="1" applyFill="1" applyBorder="1" applyAlignment="1">
      <alignment horizontal="center" vertical="center"/>
    </xf>
    <xf numFmtId="9" fontId="105" fillId="14" borderId="41" xfId="1205" applyFont="1" applyFill="1" applyBorder="1" applyAlignment="1">
      <alignment horizontal="center" vertical="center"/>
    </xf>
    <xf numFmtId="166" fontId="108" fillId="0" borderId="28" xfId="1212" applyFont="1" applyBorder="1" applyAlignment="1">
      <alignment horizontal="center" vertical="center" wrapText="1"/>
    </xf>
    <xf numFmtId="0" fontId="100" fillId="16" borderId="43" xfId="210" applyFont="1" applyFill="1" applyBorder="1" applyAlignment="1">
      <alignment horizontal="center" vertical="center" wrapText="1"/>
    </xf>
    <xf numFmtId="0" fontId="100" fillId="16" borderId="27" xfId="210" applyFont="1" applyFill="1" applyBorder="1" applyAlignment="1">
      <alignment horizontal="center" vertical="center" wrapText="1"/>
    </xf>
    <xf numFmtId="0" fontId="100" fillId="16" borderId="21" xfId="210" applyFont="1" applyFill="1" applyBorder="1" applyAlignment="1">
      <alignment horizontal="center" vertical="center" wrapText="1"/>
    </xf>
    <xf numFmtId="0" fontId="100" fillId="16" borderId="44" xfId="210" applyFont="1" applyFill="1" applyBorder="1" applyAlignment="1">
      <alignment horizontal="center" vertical="center" wrapText="1"/>
    </xf>
    <xf numFmtId="0" fontId="100" fillId="16" borderId="25" xfId="210" applyFont="1" applyFill="1" applyBorder="1" applyAlignment="1">
      <alignment horizontal="center" vertical="center" wrapText="1"/>
    </xf>
    <xf numFmtId="0" fontId="100" fillId="16" borderId="24" xfId="210" applyFont="1" applyFill="1" applyBorder="1" applyAlignment="1">
      <alignment horizontal="center" vertical="center" wrapText="1"/>
    </xf>
    <xf numFmtId="200" fontId="105" fillId="16" borderId="28" xfId="1205" applyNumberFormat="1" applyFont="1" applyFill="1" applyBorder="1" applyAlignment="1">
      <alignment horizontal="center" vertical="center"/>
    </xf>
    <xf numFmtId="200" fontId="105" fillId="16" borderId="35" xfId="1205" applyNumberFormat="1" applyFont="1" applyFill="1" applyBorder="1" applyAlignment="1">
      <alignment horizontal="center" vertical="center"/>
    </xf>
    <xf numFmtId="200" fontId="105" fillId="14" borderId="44" xfId="1205" applyNumberFormat="1" applyFont="1" applyFill="1" applyBorder="1" applyAlignment="1">
      <alignment horizontal="center" vertical="center"/>
    </xf>
    <xf numFmtId="200" fontId="105" fillId="14" borderId="25" xfId="1205" applyNumberFormat="1" applyFont="1" applyFill="1" applyBorder="1" applyAlignment="1">
      <alignment horizontal="center" vertical="center"/>
    </xf>
    <xf numFmtId="200" fontId="105" fillId="14" borderId="24" xfId="1205" applyNumberFormat="1" applyFont="1" applyFill="1" applyBorder="1" applyAlignment="1">
      <alignment horizontal="center" vertical="center"/>
    </xf>
    <xf numFmtId="0" fontId="100" fillId="14" borderId="44" xfId="210" applyFont="1" applyFill="1" applyBorder="1" applyAlignment="1">
      <alignment horizontal="center" vertical="center" wrapText="1"/>
    </xf>
    <xf numFmtId="0" fontId="100" fillId="14" borderId="25" xfId="210" applyFont="1" applyFill="1" applyBorder="1" applyAlignment="1">
      <alignment horizontal="center" vertical="center" wrapText="1"/>
    </xf>
    <xf numFmtId="0" fontId="100" fillId="14" borderId="24" xfId="210" applyFont="1" applyFill="1" applyBorder="1" applyAlignment="1">
      <alignment horizontal="center" vertical="center" wrapText="1"/>
    </xf>
    <xf numFmtId="200" fontId="105" fillId="14" borderId="28" xfId="1205" applyNumberFormat="1" applyFont="1" applyFill="1" applyBorder="1" applyAlignment="1">
      <alignment horizontal="center" vertical="center"/>
    </xf>
    <xf numFmtId="0" fontId="106" fillId="17" borderId="43" xfId="210" applyFont="1" applyFill="1" applyBorder="1" applyAlignment="1">
      <alignment horizontal="center" vertical="center" wrapText="1"/>
    </xf>
    <xf numFmtId="0" fontId="106" fillId="17" borderId="27" xfId="210" applyFont="1" applyFill="1" applyBorder="1" applyAlignment="1">
      <alignment horizontal="center" vertical="center" wrapText="1"/>
    </xf>
    <xf numFmtId="0" fontId="106" fillId="17" borderId="21" xfId="210" applyFont="1" applyFill="1" applyBorder="1" applyAlignment="1">
      <alignment horizontal="center" vertical="center" wrapText="1"/>
    </xf>
    <xf numFmtId="0" fontId="106" fillId="17" borderId="44" xfId="210" applyFont="1" applyFill="1" applyBorder="1" applyAlignment="1">
      <alignment horizontal="center" vertical="center" wrapText="1"/>
    </xf>
    <xf numFmtId="0" fontId="106" fillId="17" borderId="25" xfId="210" applyFont="1" applyFill="1" applyBorder="1" applyAlignment="1">
      <alignment horizontal="center" vertical="center" wrapText="1"/>
    </xf>
    <xf numFmtId="0" fontId="106" fillId="17" borderId="24" xfId="210" applyFont="1" applyFill="1" applyBorder="1" applyAlignment="1">
      <alignment horizontal="center" vertical="center" wrapText="1"/>
    </xf>
    <xf numFmtId="200" fontId="106" fillId="17" borderId="44" xfId="1205" applyNumberFormat="1" applyFont="1" applyFill="1" applyBorder="1" applyAlignment="1">
      <alignment horizontal="center" vertical="center"/>
    </xf>
    <xf numFmtId="200" fontId="106" fillId="17" borderId="25" xfId="1205" applyNumberFormat="1" applyFont="1" applyFill="1" applyBorder="1" applyAlignment="1">
      <alignment horizontal="center" vertical="center"/>
    </xf>
    <xf numFmtId="200" fontId="106" fillId="17" borderId="24" xfId="1205" applyNumberFormat="1" applyFont="1" applyFill="1" applyBorder="1" applyAlignment="1">
      <alignment horizontal="center" vertical="center"/>
    </xf>
    <xf numFmtId="200" fontId="105" fillId="14" borderId="46" xfId="1205" applyNumberFormat="1" applyFont="1" applyFill="1" applyBorder="1" applyAlignment="1">
      <alignment horizontal="center" vertical="center"/>
    </xf>
    <xf numFmtId="200" fontId="105" fillId="14" borderId="51" xfId="1205" applyNumberFormat="1" applyFont="1" applyFill="1" applyBorder="1" applyAlignment="1">
      <alignment horizontal="center" vertical="center"/>
    </xf>
    <xf numFmtId="200" fontId="105" fillId="14" borderId="41" xfId="1205" applyNumberFormat="1" applyFont="1" applyFill="1" applyBorder="1" applyAlignment="1">
      <alignment horizontal="center" vertical="center"/>
    </xf>
    <xf numFmtId="200" fontId="105" fillId="14" borderId="35" xfId="1205" applyNumberFormat="1" applyFont="1" applyFill="1" applyBorder="1" applyAlignment="1">
      <alignment horizontal="center" vertical="center"/>
    </xf>
    <xf numFmtId="0" fontId="100" fillId="14" borderId="43" xfId="210" applyFont="1" applyFill="1" applyBorder="1" applyAlignment="1">
      <alignment horizontal="center" vertical="center" wrapText="1"/>
    </xf>
    <xf numFmtId="0" fontId="100" fillId="14" borderId="27" xfId="210" applyFont="1" applyFill="1" applyBorder="1" applyAlignment="1">
      <alignment horizontal="center" vertical="center" wrapText="1"/>
    </xf>
    <xf numFmtId="0" fontId="100" fillId="14" borderId="21" xfId="210" applyFont="1" applyFill="1" applyBorder="1" applyAlignment="1">
      <alignment horizontal="center" vertical="center" wrapText="1"/>
    </xf>
    <xf numFmtId="200" fontId="105" fillId="18" borderId="46" xfId="1205" applyNumberFormat="1" applyFont="1" applyFill="1" applyBorder="1" applyAlignment="1">
      <alignment horizontal="center" vertical="center"/>
    </xf>
    <xf numFmtId="200" fontId="105" fillId="18" borderId="41" xfId="1205" applyNumberFormat="1" applyFont="1" applyFill="1" applyBorder="1" applyAlignment="1">
      <alignment horizontal="center" vertical="center"/>
    </xf>
    <xf numFmtId="0" fontId="100" fillId="18" borderId="28" xfId="210" applyFont="1" applyFill="1" applyBorder="1" applyAlignment="1">
      <alignment horizontal="center" vertical="center" wrapText="1"/>
    </xf>
    <xf numFmtId="200" fontId="105" fillId="18" borderId="28" xfId="1205" applyNumberFormat="1" applyFont="1" applyFill="1" applyBorder="1" applyAlignment="1">
      <alignment horizontal="center" vertical="center"/>
    </xf>
    <xf numFmtId="200" fontId="106" fillId="17" borderId="46" xfId="1205" applyNumberFormat="1" applyFont="1" applyFill="1" applyBorder="1" applyAlignment="1">
      <alignment horizontal="center" vertical="center"/>
    </xf>
    <xf numFmtId="200" fontId="106" fillId="17" borderId="51" xfId="1205" applyNumberFormat="1" applyFont="1" applyFill="1" applyBorder="1" applyAlignment="1">
      <alignment horizontal="center" vertical="center"/>
    </xf>
    <xf numFmtId="200" fontId="106" fillId="17" borderId="41" xfId="1205" applyNumberFormat="1" applyFont="1" applyFill="1" applyBorder="1" applyAlignment="1">
      <alignment horizontal="center" vertical="center"/>
    </xf>
    <xf numFmtId="200" fontId="105" fillId="18" borderId="44" xfId="1205" applyNumberFormat="1" applyFont="1" applyFill="1" applyBorder="1" applyAlignment="1">
      <alignment horizontal="center" vertical="center"/>
    </xf>
    <xf numFmtId="200" fontId="105" fillId="18" borderId="24" xfId="1205" applyNumberFormat="1" applyFont="1" applyFill="1" applyBorder="1" applyAlignment="1">
      <alignment horizontal="center" vertical="center"/>
    </xf>
    <xf numFmtId="200" fontId="105" fillId="18" borderId="25" xfId="1205" applyNumberFormat="1" applyFont="1" applyFill="1" applyBorder="1" applyAlignment="1">
      <alignment horizontal="center" vertical="center"/>
    </xf>
    <xf numFmtId="200" fontId="105" fillId="18" borderId="51" xfId="1205" applyNumberFormat="1" applyFont="1" applyFill="1" applyBorder="1" applyAlignment="1">
      <alignment horizontal="center" vertical="center"/>
    </xf>
    <xf numFmtId="0" fontId="100" fillId="19" borderId="43" xfId="210" applyFont="1" applyFill="1" applyBorder="1" applyAlignment="1">
      <alignment horizontal="center" vertical="center" wrapText="1"/>
    </xf>
    <xf numFmtId="0" fontId="100" fillId="19" borderId="27" xfId="210" applyFont="1" applyFill="1" applyBorder="1" applyAlignment="1">
      <alignment horizontal="center" vertical="center" wrapText="1"/>
    </xf>
    <xf numFmtId="0" fontId="100" fillId="19" borderId="21" xfId="210" applyFont="1" applyFill="1" applyBorder="1" applyAlignment="1">
      <alignment horizontal="center" vertical="center" wrapText="1"/>
    </xf>
    <xf numFmtId="0" fontId="100" fillId="19" borderId="44" xfId="210" applyFont="1" applyFill="1" applyBorder="1" applyAlignment="1">
      <alignment horizontal="center" vertical="center" wrapText="1"/>
    </xf>
    <xf numFmtId="0" fontId="100" fillId="19" borderId="24" xfId="210" applyFont="1" applyFill="1" applyBorder="1" applyAlignment="1">
      <alignment horizontal="center" vertical="center" wrapText="1"/>
    </xf>
    <xf numFmtId="200" fontId="105" fillId="19" borderId="44" xfId="1205" applyNumberFormat="1" applyFont="1" applyFill="1" applyBorder="1" applyAlignment="1">
      <alignment horizontal="center" vertical="center"/>
    </xf>
    <xf numFmtId="200" fontId="105" fillId="19" borderId="24" xfId="1205" applyNumberFormat="1" applyFont="1" applyFill="1" applyBorder="1" applyAlignment="1">
      <alignment horizontal="center" vertical="center"/>
    </xf>
    <xf numFmtId="0" fontId="100" fillId="18" borderId="43" xfId="210" applyFont="1" applyFill="1" applyBorder="1" applyAlignment="1">
      <alignment horizontal="center" vertical="center" wrapText="1"/>
    </xf>
    <xf numFmtId="0" fontId="100" fillId="18" borderId="27" xfId="210" applyFont="1" applyFill="1" applyBorder="1" applyAlignment="1">
      <alignment horizontal="center" vertical="center" wrapText="1"/>
    </xf>
    <xf numFmtId="0" fontId="100" fillId="18" borderId="21" xfId="210" applyFont="1" applyFill="1" applyBorder="1" applyAlignment="1">
      <alignment horizontal="center" vertical="center" wrapText="1"/>
    </xf>
    <xf numFmtId="0" fontId="100" fillId="15" borderId="43" xfId="210" applyFont="1" applyFill="1" applyBorder="1" applyAlignment="1">
      <alignment horizontal="center" vertical="center" wrapText="1"/>
    </xf>
    <xf numFmtId="0" fontId="100" fillId="15" borderId="27" xfId="210" applyFont="1" applyFill="1" applyBorder="1" applyAlignment="1">
      <alignment horizontal="center" vertical="center" wrapText="1"/>
    </xf>
    <xf numFmtId="0" fontId="100" fillId="15" borderId="14" xfId="210" applyFont="1" applyFill="1" applyBorder="1" applyAlignment="1">
      <alignment horizontal="center" vertical="center" wrapText="1"/>
    </xf>
    <xf numFmtId="0" fontId="100" fillId="15" borderId="44" xfId="210" applyFont="1" applyFill="1" applyBorder="1" applyAlignment="1">
      <alignment horizontal="center" vertical="center" wrapText="1"/>
    </xf>
    <xf numFmtId="0" fontId="100" fillId="15" borderId="25" xfId="210" applyFont="1" applyFill="1" applyBorder="1" applyAlignment="1">
      <alignment horizontal="center" vertical="center" wrapText="1"/>
    </xf>
    <xf numFmtId="0" fontId="100" fillId="15" borderId="15" xfId="210" applyFont="1" applyFill="1" applyBorder="1" applyAlignment="1">
      <alignment horizontal="center" vertical="center" wrapText="1"/>
    </xf>
    <xf numFmtId="200" fontId="105" fillId="15" borderId="44" xfId="1205" applyNumberFormat="1" applyFont="1" applyFill="1" applyBorder="1" applyAlignment="1">
      <alignment horizontal="center" vertical="center"/>
    </xf>
    <xf numFmtId="200" fontId="105" fillId="15" borderId="25" xfId="1205" applyNumberFormat="1" applyFont="1" applyFill="1" applyBorder="1" applyAlignment="1">
      <alignment horizontal="center" vertical="center"/>
    </xf>
    <xf numFmtId="200" fontId="105" fillId="15" borderId="15" xfId="1205" applyNumberFormat="1" applyFont="1" applyFill="1" applyBorder="1" applyAlignment="1">
      <alignment horizontal="center" vertical="center"/>
    </xf>
    <xf numFmtId="200" fontId="105" fillId="20" borderId="46" xfId="1205" applyNumberFormat="1" applyFont="1" applyFill="1" applyBorder="1" applyAlignment="1">
      <alignment horizontal="center" vertical="center"/>
    </xf>
    <xf numFmtId="200" fontId="105" fillId="20" borderId="51" xfId="1205" applyNumberFormat="1" applyFont="1" applyFill="1" applyBorder="1" applyAlignment="1">
      <alignment horizontal="center" vertical="center"/>
    </xf>
    <xf numFmtId="0" fontId="100" fillId="20" borderId="44" xfId="210" applyFont="1" applyFill="1" applyBorder="1" applyAlignment="1">
      <alignment horizontal="center" vertical="center" wrapText="1"/>
    </xf>
    <xf numFmtId="0" fontId="100" fillId="20" borderId="25" xfId="210" applyFont="1" applyFill="1" applyBorder="1" applyAlignment="1">
      <alignment horizontal="center" vertical="center" wrapText="1"/>
    </xf>
    <xf numFmtId="0" fontId="100" fillId="20" borderId="24" xfId="210" applyFont="1" applyFill="1" applyBorder="1" applyAlignment="1">
      <alignment horizontal="center" vertical="center" wrapText="1"/>
    </xf>
    <xf numFmtId="200" fontId="105" fillId="20" borderId="44" xfId="1205" applyNumberFormat="1" applyFont="1" applyFill="1" applyBorder="1" applyAlignment="1">
      <alignment horizontal="center" vertical="center"/>
    </xf>
    <xf numFmtId="200" fontId="105" fillId="20" borderId="25" xfId="1205" applyNumberFormat="1" applyFont="1" applyFill="1" applyBorder="1" applyAlignment="1">
      <alignment horizontal="center" vertical="center"/>
    </xf>
    <xf numFmtId="200" fontId="105" fillId="20" borderId="24" xfId="1205" applyNumberFormat="1" applyFont="1" applyFill="1" applyBorder="1" applyAlignment="1">
      <alignment horizontal="center" vertical="center"/>
    </xf>
    <xf numFmtId="200" fontId="105" fillId="20" borderId="41" xfId="1205" applyNumberFormat="1" applyFont="1" applyFill="1" applyBorder="1" applyAlignment="1">
      <alignment horizontal="center" vertical="center"/>
    </xf>
    <xf numFmtId="0" fontId="100" fillId="20" borderId="43" xfId="210" applyFont="1" applyFill="1" applyBorder="1" applyAlignment="1">
      <alignment horizontal="center" vertical="center" wrapText="1"/>
    </xf>
    <xf numFmtId="0" fontId="100" fillId="20" borderId="27" xfId="210" applyFont="1" applyFill="1" applyBorder="1" applyAlignment="1">
      <alignment horizontal="center" vertical="center" wrapText="1"/>
    </xf>
    <xf numFmtId="0" fontId="100" fillId="20" borderId="21" xfId="210" applyFont="1" applyFill="1" applyBorder="1" applyAlignment="1">
      <alignment horizontal="center" vertical="center" wrapText="1"/>
    </xf>
    <xf numFmtId="200" fontId="105" fillId="15" borderId="46" xfId="1205" applyNumberFormat="1" applyFont="1" applyFill="1" applyBorder="1" applyAlignment="1">
      <alignment horizontal="center" vertical="center"/>
    </xf>
    <xf numFmtId="200" fontId="105" fillId="15" borderId="51" xfId="1205" applyNumberFormat="1" applyFont="1" applyFill="1" applyBorder="1" applyAlignment="1">
      <alignment horizontal="center" vertical="center"/>
    </xf>
    <xf numFmtId="200" fontId="105" fillId="15" borderId="58" xfId="1205" applyNumberFormat="1" applyFont="1" applyFill="1" applyBorder="1" applyAlignment="1">
      <alignment horizontal="center" vertical="center"/>
    </xf>
    <xf numFmtId="200" fontId="105" fillId="16" borderId="34" xfId="1205" applyNumberFormat="1" applyFont="1" applyFill="1" applyBorder="1" applyAlignment="1">
      <alignment horizontal="center" vertical="center"/>
    </xf>
    <xf numFmtId="200" fontId="105" fillId="14" borderId="34" xfId="1205" applyNumberFormat="1" applyFont="1" applyFill="1" applyBorder="1" applyAlignment="1">
      <alignment horizontal="center" vertical="center"/>
    </xf>
    <xf numFmtId="200" fontId="105" fillId="19" borderId="46" xfId="1205" applyNumberFormat="1" applyFont="1" applyFill="1" applyBorder="1" applyAlignment="1">
      <alignment horizontal="center" vertical="center"/>
    </xf>
    <xf numFmtId="200" fontId="105" fillId="19" borderId="41" xfId="1205" applyNumberFormat="1" applyFont="1" applyFill="1" applyBorder="1" applyAlignment="1">
      <alignment horizontal="center" vertical="center"/>
    </xf>
    <xf numFmtId="200" fontId="105" fillId="18" borderId="35" xfId="1205" applyNumberFormat="1" applyFont="1" applyFill="1" applyBorder="1" applyAlignment="1">
      <alignment horizontal="center" vertical="center"/>
    </xf>
    <xf numFmtId="200" fontId="105" fillId="20" borderId="43" xfId="1205" applyNumberFormat="1" applyFont="1" applyFill="1" applyBorder="1" applyAlignment="1">
      <alignment horizontal="center" vertical="center"/>
    </xf>
    <xf numFmtId="200" fontId="105" fillId="20" borderId="27" xfId="1205" applyNumberFormat="1" applyFont="1" applyFill="1" applyBorder="1" applyAlignment="1">
      <alignment horizontal="center" vertical="center"/>
    </xf>
    <xf numFmtId="200" fontId="105" fillId="20" borderId="21" xfId="1205" applyNumberFormat="1" applyFont="1" applyFill="1" applyBorder="1" applyAlignment="1">
      <alignment horizontal="center" vertical="center"/>
    </xf>
    <xf numFmtId="200" fontId="105" fillId="15" borderId="43" xfId="1205" applyNumberFormat="1" applyFont="1" applyFill="1" applyBorder="1" applyAlignment="1">
      <alignment horizontal="center" vertical="center"/>
    </xf>
    <xf numFmtId="200" fontId="105" fillId="15" borderId="27" xfId="1205" applyNumberFormat="1" applyFont="1" applyFill="1" applyBorder="1" applyAlignment="1">
      <alignment horizontal="center" vertical="center"/>
    </xf>
    <xf numFmtId="200" fontId="105" fillId="15" borderId="14" xfId="1205" applyNumberFormat="1" applyFont="1" applyFill="1" applyBorder="1" applyAlignment="1">
      <alignment horizontal="center" vertical="center"/>
    </xf>
    <xf numFmtId="200" fontId="105" fillId="18" borderId="43" xfId="1205" applyNumberFormat="1" applyFont="1" applyFill="1" applyBorder="1" applyAlignment="1">
      <alignment horizontal="center" vertical="center"/>
    </xf>
    <xf numFmtId="200" fontId="105" fillId="18" borderId="21" xfId="1205" applyNumberFormat="1" applyFont="1" applyFill="1" applyBorder="1" applyAlignment="1">
      <alignment horizontal="center" vertical="center"/>
    </xf>
    <xf numFmtId="200" fontId="105" fillId="18" borderId="27" xfId="1205" applyNumberFormat="1" applyFont="1" applyFill="1" applyBorder="1" applyAlignment="1">
      <alignment horizontal="center" vertical="center"/>
    </xf>
    <xf numFmtId="200" fontId="105" fillId="19" borderId="43" xfId="1205" applyNumberFormat="1" applyFont="1" applyFill="1" applyBorder="1" applyAlignment="1">
      <alignment horizontal="center" vertical="center"/>
    </xf>
    <xf numFmtId="200" fontId="105" fillId="19" borderId="21" xfId="1205" applyNumberFormat="1" applyFont="1" applyFill="1" applyBorder="1" applyAlignment="1">
      <alignment horizontal="center" vertical="center"/>
    </xf>
    <xf numFmtId="200" fontId="105" fillId="14" borderId="43" xfId="1205" applyNumberFormat="1" applyFont="1" applyFill="1" applyBorder="1" applyAlignment="1">
      <alignment horizontal="center" vertical="center"/>
    </xf>
    <xf numFmtId="200" fontId="105" fillId="14" borderId="27" xfId="1205" applyNumberFormat="1" applyFont="1" applyFill="1" applyBorder="1" applyAlignment="1">
      <alignment horizontal="center" vertical="center"/>
    </xf>
    <xf numFmtId="200" fontId="105" fillId="14" borderId="21" xfId="1205" applyNumberFormat="1" applyFont="1" applyFill="1" applyBorder="1" applyAlignment="1">
      <alignment horizontal="center" vertical="center"/>
    </xf>
    <xf numFmtId="200" fontId="106" fillId="17" borderId="43" xfId="1205" applyNumberFormat="1" applyFont="1" applyFill="1" applyBorder="1" applyAlignment="1">
      <alignment horizontal="center" vertical="center"/>
    </xf>
    <xf numFmtId="200" fontId="106" fillId="17" borderId="27" xfId="1205" applyNumberFormat="1" applyFont="1" applyFill="1" applyBorder="1" applyAlignment="1">
      <alignment horizontal="center" vertical="center"/>
    </xf>
    <xf numFmtId="200" fontId="106" fillId="17" borderId="21" xfId="1205" applyNumberFormat="1" applyFont="1" applyFill="1" applyBorder="1" applyAlignment="1">
      <alignment horizontal="center" vertical="center"/>
    </xf>
    <xf numFmtId="200" fontId="105" fillId="18" borderId="34" xfId="1205" applyNumberFormat="1" applyFont="1" applyFill="1" applyBorder="1" applyAlignment="1">
      <alignment horizontal="center" vertical="center"/>
    </xf>
    <xf numFmtId="201" fontId="105" fillId="19" borderId="46" xfId="1205" applyNumberFormat="1" applyFont="1" applyFill="1" applyBorder="1" applyAlignment="1">
      <alignment horizontal="center" vertical="center"/>
    </xf>
    <xf numFmtId="201" fontId="105" fillId="19" borderId="41" xfId="1205" applyNumberFormat="1" applyFont="1" applyFill="1" applyBorder="1" applyAlignment="1">
      <alignment horizontal="center" vertical="center"/>
    </xf>
    <xf numFmtId="201" fontId="105" fillId="20" borderId="46" xfId="1205" applyNumberFormat="1" applyFont="1" applyFill="1" applyBorder="1" applyAlignment="1">
      <alignment horizontal="center" vertical="center"/>
    </xf>
    <xf numFmtId="201" fontId="105" fillId="20" borderId="51" xfId="1205" applyNumberFormat="1" applyFont="1" applyFill="1" applyBorder="1" applyAlignment="1">
      <alignment horizontal="center" vertical="center"/>
    </xf>
    <xf numFmtId="201" fontId="105" fillId="20" borderId="41" xfId="1205" applyNumberFormat="1" applyFont="1" applyFill="1" applyBorder="1" applyAlignment="1">
      <alignment horizontal="center" vertical="center"/>
    </xf>
    <xf numFmtId="201" fontId="105" fillId="15" borderId="46" xfId="1205" applyNumberFormat="1" applyFont="1" applyFill="1" applyBorder="1" applyAlignment="1">
      <alignment horizontal="center" vertical="center"/>
    </xf>
    <xf numFmtId="201" fontId="105" fillId="15" borderId="51" xfId="1205" applyNumberFormat="1" applyFont="1" applyFill="1" applyBorder="1" applyAlignment="1">
      <alignment horizontal="center" vertical="center"/>
    </xf>
    <xf numFmtId="201" fontId="105" fillId="15" borderId="58" xfId="1205" applyNumberFormat="1" applyFont="1" applyFill="1" applyBorder="1" applyAlignment="1">
      <alignment horizontal="center" vertical="center"/>
    </xf>
    <xf numFmtId="201" fontId="105" fillId="16" borderId="35" xfId="1205" applyNumberFormat="1" applyFont="1" applyFill="1" applyBorder="1" applyAlignment="1">
      <alignment horizontal="center" vertical="center"/>
    </xf>
    <xf numFmtId="201" fontId="105" fillId="14" borderId="35" xfId="1205" applyNumberFormat="1" applyFont="1" applyFill="1" applyBorder="1" applyAlignment="1">
      <alignment horizontal="center" vertical="center"/>
    </xf>
    <xf numFmtId="201" fontId="105" fillId="14" borderId="46" xfId="1205" applyNumberFormat="1" applyFont="1" applyFill="1" applyBorder="1" applyAlignment="1">
      <alignment horizontal="center" vertical="center"/>
    </xf>
    <xf numFmtId="201" fontId="105" fillId="14" borderId="51" xfId="1205" applyNumberFormat="1" applyFont="1" applyFill="1" applyBorder="1" applyAlignment="1">
      <alignment horizontal="center" vertical="center"/>
    </xf>
    <xf numFmtId="201" fontId="105" fillId="14" borderId="41" xfId="1205" applyNumberFormat="1" applyFont="1" applyFill="1" applyBorder="1" applyAlignment="1">
      <alignment horizontal="center" vertical="center"/>
    </xf>
    <xf numFmtId="201" fontId="105" fillId="18" borderId="46" xfId="1205" applyNumberFormat="1" applyFont="1" applyFill="1" applyBorder="1" applyAlignment="1">
      <alignment horizontal="center" vertical="center"/>
    </xf>
    <xf numFmtId="201" fontId="105" fillId="18" borderId="41" xfId="1205" applyNumberFormat="1" applyFont="1" applyFill="1" applyBorder="1" applyAlignment="1">
      <alignment horizontal="center" vertical="center"/>
    </xf>
    <xf numFmtId="201" fontId="105" fillId="18" borderId="51" xfId="1205" applyNumberFormat="1" applyFont="1" applyFill="1" applyBorder="1" applyAlignment="1">
      <alignment horizontal="center" vertical="center"/>
    </xf>
    <xf numFmtId="201" fontId="106" fillId="17" borderId="46" xfId="1205" applyNumberFormat="1" applyFont="1" applyFill="1" applyBorder="1" applyAlignment="1">
      <alignment horizontal="center" vertical="center"/>
    </xf>
    <xf numFmtId="201" fontId="106" fillId="17" borderId="51" xfId="1205" applyNumberFormat="1" applyFont="1" applyFill="1" applyBorder="1" applyAlignment="1">
      <alignment horizontal="center" vertical="center"/>
    </xf>
    <xf numFmtId="201" fontId="106" fillId="17" borderId="41" xfId="1205" applyNumberFormat="1" applyFont="1" applyFill="1" applyBorder="1" applyAlignment="1">
      <alignment horizontal="center" vertical="center"/>
    </xf>
    <xf numFmtId="201" fontId="105" fillId="18" borderId="35" xfId="1205" applyNumberFormat="1" applyFont="1" applyFill="1" applyBorder="1" applyAlignment="1">
      <alignment horizontal="center" vertical="center"/>
    </xf>
    <xf numFmtId="49" fontId="83" fillId="9" borderId="9" xfId="0" applyNumberFormat="1" applyFont="1" applyFill="1" applyBorder="1" applyAlignment="1">
      <alignment horizontal="center" vertical="center" wrapText="1"/>
    </xf>
    <xf numFmtId="49" fontId="83" fillId="9" borderId="10" xfId="0" applyNumberFormat="1" applyFont="1" applyFill="1" applyBorder="1" applyAlignment="1">
      <alignment horizontal="center" vertical="center" wrapText="1"/>
    </xf>
    <xf numFmtId="49" fontId="83" fillId="9" borderId="60" xfId="0" applyNumberFormat="1" applyFont="1" applyFill="1" applyBorder="1" applyAlignment="1">
      <alignment horizontal="center" vertical="center" wrapText="1"/>
    </xf>
    <xf numFmtId="0" fontId="48" fillId="0" borderId="9" xfId="0" applyFont="1" applyFill="1" applyBorder="1" applyAlignment="1">
      <alignment horizontal="center"/>
    </xf>
    <xf numFmtId="0" fontId="48" fillId="0" borderId="10" xfId="0" applyFont="1" applyFill="1" applyBorder="1" applyAlignment="1">
      <alignment horizontal="center"/>
    </xf>
    <xf numFmtId="0" fontId="48" fillId="0" borderId="11" xfId="0" applyFont="1" applyFill="1" applyBorder="1" applyAlignment="1">
      <alignment horizontal="center"/>
    </xf>
    <xf numFmtId="0" fontId="50" fillId="0" borderId="9" xfId="0" applyFont="1" applyFill="1" applyBorder="1" applyAlignment="1">
      <alignment horizontal="center" vertical="center" wrapText="1"/>
    </xf>
    <xf numFmtId="0" fontId="50" fillId="0" borderId="10" xfId="0" applyFont="1" applyFill="1" applyBorder="1" applyAlignment="1">
      <alignment horizontal="center" vertical="center" wrapText="1"/>
    </xf>
    <xf numFmtId="0" fontId="50" fillId="0" borderId="11" xfId="0" applyFont="1" applyFill="1" applyBorder="1" applyAlignment="1">
      <alignment horizontal="center" vertical="center" wrapText="1"/>
    </xf>
    <xf numFmtId="0" fontId="55" fillId="0" borderId="9" xfId="1282" applyFont="1" applyFill="1" applyBorder="1" applyAlignment="1">
      <alignment horizontal="center" vertical="center" wrapText="1"/>
    </xf>
    <xf numFmtId="0" fontId="55" fillId="0" borderId="10" xfId="1282" applyFont="1" applyFill="1" applyBorder="1" applyAlignment="1">
      <alignment horizontal="center" vertical="center" wrapText="1"/>
    </xf>
    <xf numFmtId="0" fontId="55" fillId="0" borderId="11" xfId="1282" applyFont="1" applyFill="1" applyBorder="1" applyAlignment="1">
      <alignment horizontal="center" vertical="center" wrapText="1"/>
    </xf>
    <xf numFmtId="49" fontId="83" fillId="9" borderId="9" xfId="1282" applyNumberFormat="1" applyFont="1" applyFill="1" applyBorder="1" applyAlignment="1">
      <alignment horizontal="center" vertical="center" wrapText="1"/>
    </xf>
    <xf numFmtId="49" fontId="83" fillId="9" borderId="10" xfId="1282" applyNumberFormat="1" applyFont="1" applyFill="1" applyBorder="1" applyAlignment="1">
      <alignment horizontal="center" vertical="center" wrapText="1"/>
    </xf>
    <xf numFmtId="49" fontId="83" fillId="9" borderId="60" xfId="1282" applyNumberFormat="1" applyFont="1" applyFill="1" applyBorder="1" applyAlignment="1">
      <alignment horizontal="center" vertical="center" wrapText="1"/>
    </xf>
    <xf numFmtId="49" fontId="83" fillId="0" borderId="9" xfId="0" applyNumberFormat="1" applyFont="1" applyFill="1" applyBorder="1" applyAlignment="1">
      <alignment horizontal="center" vertical="center" wrapText="1"/>
    </xf>
    <xf numFmtId="49" fontId="83" fillId="0" borderId="10" xfId="0" applyNumberFormat="1" applyFont="1" applyFill="1" applyBorder="1" applyAlignment="1">
      <alignment horizontal="center" vertical="center" wrapText="1"/>
    </xf>
    <xf numFmtId="49" fontId="83" fillId="0" borderId="60" xfId="0" applyNumberFormat="1" applyFont="1" applyFill="1" applyBorder="1" applyAlignment="1">
      <alignment horizontal="center" vertical="center" wrapText="1"/>
    </xf>
    <xf numFmtId="0" fontId="84" fillId="0" borderId="63" xfId="1283" applyFont="1" applyFill="1" applyBorder="1" applyAlignment="1">
      <alignment horizontal="left" vertical="center" wrapText="1"/>
    </xf>
    <xf numFmtId="0" fontId="84" fillId="0" borderId="64" xfId="1283" applyFont="1" applyFill="1" applyBorder="1" applyAlignment="1">
      <alignment horizontal="left" vertical="center" wrapText="1"/>
    </xf>
    <xf numFmtId="0" fontId="84" fillId="0" borderId="65" xfId="1283" applyFont="1" applyFill="1" applyBorder="1" applyAlignment="1">
      <alignment horizontal="left" vertical="center" wrapText="1"/>
    </xf>
    <xf numFmtId="0" fontId="27" fillId="0" borderId="18" xfId="0" applyFont="1" applyBorder="1" applyAlignment="1">
      <alignment horizontal="center"/>
    </xf>
    <xf numFmtId="0" fontId="30" fillId="0" borderId="0" xfId="0" applyFont="1" applyAlignment="1">
      <alignment horizontal="center" wrapText="1"/>
    </xf>
    <xf numFmtId="0" fontId="30" fillId="0" borderId="0" xfId="0" applyFont="1" applyAlignment="1">
      <alignment horizontal="center"/>
    </xf>
    <xf numFmtId="0" fontId="66" fillId="8" borderId="70" xfId="0" applyFont="1" applyFill="1" applyBorder="1" applyAlignment="1">
      <alignment horizontal="center" wrapText="1"/>
    </xf>
    <xf numFmtId="0" fontId="66" fillId="8" borderId="71" xfId="0" applyFont="1" applyFill="1" applyBorder="1" applyAlignment="1">
      <alignment horizontal="center" wrapText="1"/>
    </xf>
    <xf numFmtId="0" fontId="66" fillId="8" borderId="72" xfId="0" applyFont="1" applyFill="1" applyBorder="1" applyAlignment="1">
      <alignment horizontal="center" wrapText="1"/>
    </xf>
    <xf numFmtId="0" fontId="66" fillId="8" borderId="9" xfId="0" applyFont="1" applyFill="1" applyBorder="1" applyAlignment="1">
      <alignment horizontal="center" wrapText="1"/>
    </xf>
    <xf numFmtId="0" fontId="0" fillId="0" borderId="11" xfId="0" applyBorder="1" applyAlignment="1">
      <alignment horizontal="center" wrapText="1"/>
    </xf>
    <xf numFmtId="0" fontId="66" fillId="8" borderId="71" xfId="0" applyFont="1" applyFill="1" applyBorder="1" applyAlignment="1">
      <alignment horizontal="center"/>
    </xf>
    <xf numFmtId="0" fontId="66" fillId="8" borderId="9" xfId="0" applyFont="1" applyFill="1" applyBorder="1" applyAlignment="1">
      <alignment horizontal="center"/>
    </xf>
    <xf numFmtId="0" fontId="66" fillId="8" borderId="11" xfId="0" applyFont="1" applyFill="1" applyBorder="1" applyAlignment="1">
      <alignment horizontal="center"/>
    </xf>
    <xf numFmtId="166" fontId="26" fillId="0" borderId="19" xfId="1212" applyFont="1" applyBorder="1" applyAlignment="1">
      <alignment horizontal="center" wrapText="1"/>
    </xf>
    <xf numFmtId="166" fontId="31" fillId="9" borderId="19" xfId="1212" applyFont="1" applyFill="1" applyBorder="1" applyAlignment="1">
      <alignment horizontal="center" vertical="center" wrapText="1"/>
    </xf>
  </cellXfs>
  <cellStyles count="1290">
    <cellStyle name="????" xfId="1"/>
    <cellStyle name="?????" xfId="2"/>
    <cellStyle name="????????" xfId="3"/>
    <cellStyle name="?????????????" xfId="4"/>
    <cellStyle name="??????????_BOPENGC" xfId="5"/>
    <cellStyle name="?????????1" xfId="6"/>
    <cellStyle name="?????????2" xfId="7"/>
    <cellStyle name="???????_BOPENGC" xfId="8"/>
    <cellStyle name="_A_Base Compara" xfId="9"/>
    <cellStyle name="Cabecera 1" xfId="10"/>
    <cellStyle name="Cabecera 1 2" xfId="11"/>
    <cellStyle name="Cabecera 1 3" xfId="12"/>
    <cellStyle name="Cabecera 1_Historico" xfId="13"/>
    <cellStyle name="Cabecera 2" xfId="14"/>
    <cellStyle name="Cabecera 2 2" xfId="15"/>
    <cellStyle name="Cabecera 2 3" xfId="16"/>
    <cellStyle name="Cabecera 2_Historico" xfId="17"/>
    <cellStyle name="Categoría del Piloto de Datos" xfId="18"/>
    <cellStyle name="Comma" xfId="19"/>
    <cellStyle name="Comma [0]_PIB" xfId="20"/>
    <cellStyle name="Comma 2" xfId="21"/>
    <cellStyle name="Comma 3" xfId="22"/>
    <cellStyle name="Comma_2003 y 2004" xfId="23"/>
    <cellStyle name="Comma0" xfId="24"/>
    <cellStyle name="Comma0 2" xfId="25"/>
    <cellStyle name="Comma0 3" xfId="26"/>
    <cellStyle name="Comma0_Historico" xfId="27"/>
    <cellStyle name="Currency" xfId="28"/>
    <cellStyle name="Currency [0]_PIB" xfId="29"/>
    <cellStyle name="Currency 2" xfId="30"/>
    <cellStyle name="Currency 3" xfId="31"/>
    <cellStyle name="Currency_2003 y 2004" xfId="32"/>
    <cellStyle name="Currency0" xfId="33"/>
    <cellStyle name="Currency0 2" xfId="34"/>
    <cellStyle name="Currency0 3" xfId="35"/>
    <cellStyle name="Currency0_Historico" xfId="36"/>
    <cellStyle name="Date" xfId="37"/>
    <cellStyle name="Date 2" xfId="38"/>
    <cellStyle name="Date 3" xfId="39"/>
    <cellStyle name="Date_Historico" xfId="40"/>
    <cellStyle name="Default" xfId="41"/>
    <cellStyle name="Estilo 1" xfId="42"/>
    <cellStyle name="Euro" xfId="43"/>
    <cellStyle name="Euro 2" xfId="44"/>
    <cellStyle name="Euro 3" xfId="45"/>
    <cellStyle name="Euro_Historico" xfId="46"/>
    <cellStyle name="F2" xfId="47"/>
    <cellStyle name="F3" xfId="48"/>
    <cellStyle name="F4" xfId="49"/>
    <cellStyle name="F5" xfId="50"/>
    <cellStyle name="F6" xfId="51"/>
    <cellStyle name="F7" xfId="52"/>
    <cellStyle name="F8" xfId="53"/>
    <cellStyle name="Fecha" xfId="54"/>
    <cellStyle name="Fecha 2" xfId="55"/>
    <cellStyle name="Fecha 3" xfId="56"/>
    <cellStyle name="Fecha_Historico" xfId="57"/>
    <cellStyle name="Fecha4 - Modelo4" xfId="58"/>
    <cellStyle name="Fecha4 - Modelo4 2" xfId="59"/>
    <cellStyle name="Fijo" xfId="60"/>
    <cellStyle name="Fijo 2" xfId="61"/>
    <cellStyle name="Fijo 3" xfId="62"/>
    <cellStyle name="Fijo_Historico" xfId="63"/>
    <cellStyle name="Fixed" xfId="64"/>
    <cellStyle name="Fixed 2" xfId="65"/>
    <cellStyle name="Fixed 3" xfId="66"/>
    <cellStyle name="Fixed_Historico" xfId="67"/>
    <cellStyle name="Heading 1" xfId="68"/>
    <cellStyle name="Heading 1 2" xfId="69"/>
    <cellStyle name="Heading 1 3" xfId="70"/>
    <cellStyle name="Heading 1_Historico" xfId="71"/>
    <cellStyle name="Heading 2" xfId="72"/>
    <cellStyle name="Heading 2 2" xfId="73"/>
    <cellStyle name="Heading 2 3" xfId="74"/>
    <cellStyle name="Heading 2_Historico" xfId="75"/>
    <cellStyle name="Heading1" xfId="76"/>
    <cellStyle name="Heading1 2" xfId="77"/>
    <cellStyle name="Heading1 3" xfId="78"/>
    <cellStyle name="Heading1_Historico" xfId="79"/>
    <cellStyle name="Heading2" xfId="80"/>
    <cellStyle name="Heading2 2" xfId="81"/>
    <cellStyle name="Heading2 3" xfId="82"/>
    <cellStyle name="Heading2_Historico" xfId="83"/>
    <cellStyle name="Hipervínculo" xfId="355" builtinId="8" hidden="1"/>
    <cellStyle name="Hipervínculo" xfId="357" builtinId="8" hidden="1"/>
    <cellStyle name="Hipervínculo" xfId="359" builtinId="8" hidden="1"/>
    <cellStyle name="Hipervínculo" xfId="361" builtinId="8" hidden="1"/>
    <cellStyle name="Hipervínculo" xfId="363" builtinId="8" hidden="1"/>
    <cellStyle name="Hipervínculo" xfId="365" builtinId="8" hidden="1"/>
    <cellStyle name="Hipervínculo" xfId="367" builtinId="8" hidden="1"/>
    <cellStyle name="Hipervínculo" xfId="369" builtinId="8" hidden="1"/>
    <cellStyle name="Hipervínculo" xfId="371" builtinId="8" hidden="1"/>
    <cellStyle name="Hipervínculo" xfId="373" builtinId="8" hidden="1"/>
    <cellStyle name="Hipervínculo" xfId="375" builtinId="8" hidden="1"/>
    <cellStyle name="Hipervínculo" xfId="377" builtinId="8" hidden="1"/>
    <cellStyle name="Hipervínculo" xfId="379" builtinId="8" hidden="1"/>
    <cellStyle name="Hipervínculo" xfId="381" builtinId="8" hidden="1"/>
    <cellStyle name="Hipervínculo" xfId="383" builtinId="8" hidden="1"/>
    <cellStyle name="Hipervínculo" xfId="385" builtinId="8" hidden="1"/>
    <cellStyle name="Hipervínculo" xfId="387" builtinId="8" hidden="1"/>
    <cellStyle name="Hipervínculo" xfId="389" builtinId="8" hidden="1"/>
    <cellStyle name="Hipervínculo" xfId="391" builtinId="8" hidden="1"/>
    <cellStyle name="Hipervínculo" xfId="393" builtinId="8" hidden="1"/>
    <cellStyle name="Hipervínculo" xfId="395" builtinId="8" hidden="1"/>
    <cellStyle name="Hipervínculo" xfId="397" builtinId="8" hidden="1"/>
    <cellStyle name="Hipervínculo" xfId="399" builtinId="8" hidden="1"/>
    <cellStyle name="Hipervínculo" xfId="401" builtinId="8" hidden="1"/>
    <cellStyle name="Hipervínculo" xfId="403" builtinId="8" hidden="1"/>
    <cellStyle name="Hipervínculo" xfId="405" builtinId="8" hidden="1"/>
    <cellStyle name="Hipervínculo" xfId="407" builtinId="8" hidden="1"/>
    <cellStyle name="Hipervínculo" xfId="409" builtinId="8" hidden="1"/>
    <cellStyle name="Hipervínculo" xfId="411" builtinId="8" hidden="1"/>
    <cellStyle name="Hipervínculo" xfId="413" builtinId="8" hidden="1"/>
    <cellStyle name="Hipervínculo" xfId="415" builtinId="8" hidden="1"/>
    <cellStyle name="Hipervínculo" xfId="417" builtinId="8" hidden="1"/>
    <cellStyle name="Hipervínculo" xfId="425" builtinId="8" hidden="1"/>
    <cellStyle name="Hipervínculo" xfId="427" builtinId="8" hidden="1"/>
    <cellStyle name="Hipervínculo" xfId="429" builtinId="8" hidden="1"/>
    <cellStyle name="Hipervínculo" xfId="431" builtinId="8" hidden="1"/>
    <cellStyle name="Hipervínculo" xfId="433" builtinId="8" hidden="1"/>
    <cellStyle name="Hipervínculo" xfId="435" builtinId="8" hidden="1"/>
    <cellStyle name="Hipervínculo" xfId="437" builtinId="8" hidden="1"/>
    <cellStyle name="Hipervínculo" xfId="439" builtinId="8" hidden="1"/>
    <cellStyle name="Hipervínculo" xfId="441" builtinId="8" hidden="1"/>
    <cellStyle name="Hipervínculo" xfId="443" builtinId="8" hidden="1"/>
    <cellStyle name="Hipervínculo" xfId="445" builtinId="8" hidden="1"/>
    <cellStyle name="Hipervínculo" xfId="447" builtinId="8" hidden="1"/>
    <cellStyle name="Hipervínculo" xfId="449" builtinId="8" hidden="1"/>
    <cellStyle name="Hipervínculo" xfId="451" builtinId="8" hidden="1"/>
    <cellStyle name="Hipervínculo" xfId="453" builtinId="8" hidden="1"/>
    <cellStyle name="Hipervínculo" xfId="455" builtinId="8" hidden="1"/>
    <cellStyle name="Hipervínculo" xfId="457" builtinId="8" hidden="1"/>
    <cellStyle name="Hipervínculo" xfId="459" builtinId="8" hidden="1"/>
    <cellStyle name="Hipervínculo" xfId="461" builtinId="8" hidden="1"/>
    <cellStyle name="Hipervínculo" xfId="463" builtinId="8" hidden="1"/>
    <cellStyle name="Hipervínculo" xfId="465" builtinId="8" hidden="1"/>
    <cellStyle name="Hipervínculo" xfId="467" builtinId="8" hidden="1"/>
    <cellStyle name="Hipervínculo" xfId="469" builtinId="8" hidden="1"/>
    <cellStyle name="Hipervínculo" xfId="471" builtinId="8" hidden="1"/>
    <cellStyle name="Hipervínculo" xfId="473" builtinId="8" hidden="1"/>
    <cellStyle name="Hipervínculo" xfId="475" builtinId="8" hidden="1"/>
    <cellStyle name="Hipervínculo" xfId="477" builtinId="8" hidden="1"/>
    <cellStyle name="Hipervínculo" xfId="479" builtinId="8" hidden="1"/>
    <cellStyle name="Hipervínculo" xfId="481" builtinId="8" hidden="1"/>
    <cellStyle name="Hipervínculo" xfId="483" builtinId="8" hidden="1"/>
    <cellStyle name="Hipervínculo" xfId="485" builtinId="8" hidden="1"/>
    <cellStyle name="Hipervínculo" xfId="487" builtinId="8" hidden="1"/>
    <cellStyle name="Hipervínculo" xfId="489" builtinId="8" hidden="1"/>
    <cellStyle name="Hipervínculo" xfId="491" builtinId="8" hidden="1"/>
    <cellStyle name="Hipervínculo" xfId="493" builtinId="8" hidden="1"/>
    <cellStyle name="Hipervínculo" xfId="495" builtinId="8" hidden="1"/>
    <cellStyle name="Hipervínculo" xfId="497" builtinId="8" hidden="1"/>
    <cellStyle name="Hipervínculo" xfId="499" builtinId="8" hidden="1"/>
    <cellStyle name="Hipervínculo" xfId="501" builtinId="8" hidden="1"/>
    <cellStyle name="Hipervínculo" xfId="503" builtinId="8" hidden="1"/>
    <cellStyle name="Hipervínculo" xfId="505" builtinId="8" hidden="1"/>
    <cellStyle name="Hipervínculo" xfId="507" builtinId="8" hidden="1"/>
    <cellStyle name="Hipervínculo" xfId="509" builtinId="8" hidden="1"/>
    <cellStyle name="Hipervínculo" xfId="511" builtinId="8" hidden="1"/>
    <cellStyle name="Hipervínculo" xfId="513" builtinId="8" hidden="1"/>
    <cellStyle name="Hipervínculo" xfId="515" builtinId="8" hidden="1"/>
    <cellStyle name="Hipervínculo" xfId="517" builtinId="8" hidden="1"/>
    <cellStyle name="Hipervínculo" xfId="519" builtinId="8" hidden="1"/>
    <cellStyle name="Hipervínculo" xfId="521" builtinId="8" hidden="1"/>
    <cellStyle name="Hipervínculo" xfId="523" builtinId="8" hidden="1"/>
    <cellStyle name="Hipervínculo" xfId="525" builtinId="8" hidden="1"/>
    <cellStyle name="Hipervínculo" xfId="527" builtinId="8" hidden="1"/>
    <cellStyle name="Hipervínculo" xfId="530" builtinId="8" hidden="1"/>
    <cellStyle name="Hipervínculo" xfId="532" builtinId="8" hidden="1"/>
    <cellStyle name="Hipervínculo" xfId="534" builtinId="8" hidden="1"/>
    <cellStyle name="Hipervínculo" xfId="536" builtinId="8" hidden="1"/>
    <cellStyle name="Hipervínculo" xfId="538" builtinId="8" hidden="1"/>
    <cellStyle name="Hipervínculo" xfId="540" builtinId="8" hidden="1"/>
    <cellStyle name="Hipervínculo" xfId="542" builtinId="8" hidden="1"/>
    <cellStyle name="Hipervínculo" xfId="544" builtinId="8" hidden="1"/>
    <cellStyle name="Hipervínculo" xfId="546" builtinId="8" hidden="1"/>
    <cellStyle name="Hipervínculo" xfId="548" builtinId="8" hidden="1"/>
    <cellStyle name="Hipervínculo" xfId="550" builtinId="8" hidden="1"/>
    <cellStyle name="Hipervínculo" xfId="552" builtinId="8" hidden="1"/>
    <cellStyle name="Hipervínculo" xfId="554" builtinId="8" hidden="1"/>
    <cellStyle name="Hipervínculo" xfId="556" builtinId="8" hidden="1"/>
    <cellStyle name="Hipervínculo" xfId="558" builtinId="8" hidden="1"/>
    <cellStyle name="Hipervínculo" xfId="560" builtinId="8" hidden="1"/>
    <cellStyle name="Hipervínculo" xfId="562" builtinId="8" hidden="1"/>
    <cellStyle name="Hipervínculo" xfId="564" builtinId="8" hidden="1"/>
    <cellStyle name="Hipervínculo" xfId="566" builtinId="8" hidden="1"/>
    <cellStyle name="Hipervínculo" xfId="568" builtinId="8" hidden="1"/>
    <cellStyle name="Hipervínculo" xfId="570" builtinId="8" hidden="1"/>
    <cellStyle name="Hipervínculo" xfId="572" builtinId="8" hidden="1"/>
    <cellStyle name="Hipervínculo" xfId="574" builtinId="8" hidden="1"/>
    <cellStyle name="Hipervínculo" xfId="576" builtinId="8" hidden="1"/>
    <cellStyle name="Hipervínculo" xfId="578" builtinId="8" hidden="1"/>
    <cellStyle name="Hipervínculo" xfId="580" builtinId="8" hidden="1"/>
    <cellStyle name="Hipervínculo" xfId="582" builtinId="8" hidden="1"/>
    <cellStyle name="Hipervínculo" xfId="584" builtinId="8" hidden="1"/>
    <cellStyle name="Hipervínculo" xfId="586" builtinId="8" hidden="1"/>
    <cellStyle name="Hipervínculo" xfId="588" builtinId="8" hidden="1"/>
    <cellStyle name="Hipervínculo" xfId="590" builtinId="8" hidden="1"/>
    <cellStyle name="Hipervínculo" xfId="592" builtinId="8" hidden="1"/>
    <cellStyle name="Hipervínculo" xfId="594" builtinId="8" hidden="1"/>
    <cellStyle name="Hipervínculo" xfId="596" builtinId="8" hidden="1"/>
    <cellStyle name="Hipervínculo" xfId="599" builtinId="8" hidden="1"/>
    <cellStyle name="Hipervínculo" xfId="601" builtinId="8" hidden="1"/>
    <cellStyle name="Hipervínculo" xfId="603" builtinId="8" hidden="1"/>
    <cellStyle name="Hipervínculo" xfId="605" builtinId="8" hidden="1"/>
    <cellStyle name="Hipervínculo" xfId="607" builtinId="8" hidden="1"/>
    <cellStyle name="Hipervínculo" xfId="609" builtinId="8" hidden="1"/>
    <cellStyle name="Hipervínculo" xfId="611" builtinId="8" hidden="1"/>
    <cellStyle name="Hipervínculo" xfId="613" builtinId="8" hidden="1"/>
    <cellStyle name="Hipervínculo" xfId="615" builtinId="8" hidden="1"/>
    <cellStyle name="Hipervínculo" xfId="617" builtinId="8" hidden="1"/>
    <cellStyle name="Hipervínculo" xfId="619" builtinId="8" hidden="1"/>
    <cellStyle name="Hipervínculo" xfId="621" builtinId="8" hidden="1"/>
    <cellStyle name="Hipervínculo" xfId="623" builtinId="8" hidden="1"/>
    <cellStyle name="Hipervínculo" xfId="625" builtinId="8" hidden="1"/>
    <cellStyle name="Hipervínculo" xfId="627" builtinId="8" hidden="1"/>
    <cellStyle name="Hipervínculo" xfId="629" builtinId="8" hidden="1"/>
    <cellStyle name="Hipervínculo" xfId="631" builtinId="8" hidden="1"/>
    <cellStyle name="Hipervínculo" xfId="633" builtinId="8" hidden="1"/>
    <cellStyle name="Hipervínculo" xfId="635" builtinId="8" hidden="1"/>
    <cellStyle name="Hipervínculo" xfId="637" builtinId="8" hidden="1"/>
    <cellStyle name="Hipervínculo" xfId="639" builtinId="8" hidden="1"/>
    <cellStyle name="Hipervínculo" xfId="641" builtinId="8" hidden="1"/>
    <cellStyle name="Hipervínculo" xfId="643" builtinId="8" hidden="1"/>
    <cellStyle name="Hipervínculo" xfId="645" builtinId="8" hidden="1"/>
    <cellStyle name="Hipervínculo" xfId="647" builtinId="8" hidden="1"/>
    <cellStyle name="Hipervínculo" xfId="649" builtinId="8" hidden="1"/>
    <cellStyle name="Hipervínculo" xfId="651" builtinId="8" hidden="1"/>
    <cellStyle name="Hipervínculo" xfId="653" builtinId="8" hidden="1"/>
    <cellStyle name="Hipervínculo" xfId="655" builtinId="8" hidden="1"/>
    <cellStyle name="Hipervínculo" xfId="657" builtinId="8" hidden="1"/>
    <cellStyle name="Hipervínculo" xfId="659" builtinId="8" hidden="1"/>
    <cellStyle name="Hipervínculo" xfId="661" builtinId="8" hidden="1"/>
    <cellStyle name="Hipervínculo" xfId="663" builtinId="8" hidden="1"/>
    <cellStyle name="Hipervínculo" xfId="665" builtinId="8" hidden="1"/>
    <cellStyle name="Hipervínculo" xfId="667" builtinId="8" hidden="1"/>
    <cellStyle name="Hipervínculo" xfId="669" builtinId="8" hidden="1"/>
    <cellStyle name="Hipervínculo" xfId="671" builtinId="8" hidden="1"/>
    <cellStyle name="Hipervínculo" xfId="673" builtinId="8" hidden="1"/>
    <cellStyle name="Hipervínculo" xfId="675" builtinId="8" hidden="1"/>
    <cellStyle name="Hipervínculo" xfId="677" builtinId="8" hidden="1"/>
    <cellStyle name="Hipervínculo" xfId="679" builtinId="8" hidden="1"/>
    <cellStyle name="Hipervínculo" xfId="681" builtinId="8" hidden="1"/>
    <cellStyle name="Hipervínculo" xfId="683" builtinId="8" hidden="1"/>
    <cellStyle name="Hipervínculo" xfId="685" builtinId="8" hidden="1"/>
    <cellStyle name="Hipervínculo" xfId="687" builtinId="8" hidden="1"/>
    <cellStyle name="Hipervínculo" xfId="689" builtinId="8" hidden="1"/>
    <cellStyle name="Hipervínculo" xfId="691" builtinId="8" hidden="1"/>
    <cellStyle name="Hipervínculo" xfId="693" builtinId="8" hidden="1"/>
    <cellStyle name="Hipervínculo" xfId="695" builtinId="8" hidden="1"/>
    <cellStyle name="Hipervínculo" xfId="697" builtinId="8" hidden="1"/>
    <cellStyle name="Hipervínculo" xfId="699" builtinId="8" hidden="1"/>
    <cellStyle name="Hipervínculo" xfId="701" builtinId="8" hidden="1"/>
    <cellStyle name="Hipervínculo" xfId="703" builtinId="8" hidden="1"/>
    <cellStyle name="Hipervínculo" xfId="705" builtinId="8" hidden="1"/>
    <cellStyle name="Hipervínculo" xfId="707" builtinId="8" hidden="1"/>
    <cellStyle name="Hipervínculo" xfId="709" builtinId="8" hidden="1"/>
    <cellStyle name="Hipervínculo" xfId="711" builtinId="8" hidden="1"/>
    <cellStyle name="Hipervínculo" xfId="713" builtinId="8" hidden="1"/>
    <cellStyle name="Hipervínculo" xfId="715" builtinId="8" hidden="1"/>
    <cellStyle name="Hipervínculo" xfId="717" builtinId="8" hidden="1"/>
    <cellStyle name="Hipervínculo" xfId="719" builtinId="8" hidden="1"/>
    <cellStyle name="Hipervínculo" xfId="721" builtinId="8" hidden="1"/>
    <cellStyle name="Hipervínculo" xfId="723" builtinId="8" hidden="1"/>
    <cellStyle name="Hipervínculo" xfId="725" builtinId="8" hidden="1"/>
    <cellStyle name="Hipervínculo" xfId="727" builtinId="8" hidden="1"/>
    <cellStyle name="Hipervínculo" xfId="729" builtinId="8" hidden="1"/>
    <cellStyle name="Hipervínculo" xfId="731" builtinId="8" hidden="1"/>
    <cellStyle name="Hipervínculo" xfId="733" builtinId="8" hidden="1"/>
    <cellStyle name="Hipervínculo" xfId="735" builtinId="8" hidden="1"/>
    <cellStyle name="Hipervínculo" xfId="737" builtinId="8" hidden="1"/>
    <cellStyle name="Hipervínculo" xfId="739" builtinId="8" hidden="1"/>
    <cellStyle name="Hipervínculo" xfId="741" builtinId="8" hidden="1"/>
    <cellStyle name="Hipervínculo" xfId="743" builtinId="8" hidden="1"/>
    <cellStyle name="Hipervínculo" xfId="745" builtinId="8" hidden="1"/>
    <cellStyle name="Hipervínculo" xfId="747" builtinId="8" hidden="1"/>
    <cellStyle name="Hipervínculo" xfId="749" builtinId="8" hidden="1"/>
    <cellStyle name="Hipervínculo" xfId="751" builtinId="8" hidden="1"/>
    <cellStyle name="Hipervínculo" xfId="753" builtinId="8" hidden="1"/>
    <cellStyle name="Hipervínculo" xfId="755" builtinId="8" hidden="1"/>
    <cellStyle name="Hipervínculo" xfId="757" builtinId="8" hidden="1"/>
    <cellStyle name="Hipervínculo" xfId="759" builtinId="8" hidden="1"/>
    <cellStyle name="Hipervínculo" xfId="761" builtinId="8" hidden="1"/>
    <cellStyle name="Hipervínculo" xfId="763" builtinId="8" hidden="1"/>
    <cellStyle name="Hipervínculo" xfId="765" builtinId="8" hidden="1"/>
    <cellStyle name="Hipervínculo" xfId="767" builtinId="8" hidden="1"/>
    <cellStyle name="Hipervínculo" xfId="769" builtinId="8" hidden="1"/>
    <cellStyle name="Hipervínculo" xfId="598" builtinId="8" hidden="1"/>
    <cellStyle name="Hipervínculo" xfId="771" builtinId="8" hidden="1"/>
    <cellStyle name="Hipervínculo" xfId="773" builtinId="8" hidden="1"/>
    <cellStyle name="Hipervínculo" xfId="775" builtinId="8" hidden="1"/>
    <cellStyle name="Hipervínculo" xfId="777" builtinId="8" hidden="1"/>
    <cellStyle name="Hipervínculo" xfId="779" builtinId="8" hidden="1"/>
    <cellStyle name="Hipervínculo" xfId="781" builtinId="8" hidden="1"/>
    <cellStyle name="Hipervínculo" xfId="783" builtinId="8" hidden="1"/>
    <cellStyle name="Hipervínculo" xfId="785" builtinId="8" hidden="1"/>
    <cellStyle name="Hipervínculo" xfId="787" builtinId="8" hidden="1"/>
    <cellStyle name="Hipervínculo" xfId="789" builtinId="8" hidden="1"/>
    <cellStyle name="Hipervínculo" xfId="791" builtinId="8" hidden="1"/>
    <cellStyle name="Hipervínculo" xfId="793" builtinId="8" hidden="1"/>
    <cellStyle name="Hipervínculo" xfId="795" builtinId="8" hidden="1"/>
    <cellStyle name="Hipervínculo" xfId="797" builtinId="8" hidden="1"/>
    <cellStyle name="Hipervínculo" xfId="799" builtinId="8" hidden="1"/>
    <cellStyle name="Hipervínculo" xfId="801" builtinId="8" hidden="1"/>
    <cellStyle name="Hipervínculo" xfId="803" builtinId="8" hidden="1"/>
    <cellStyle name="Hipervínculo" xfId="805" builtinId="8" hidden="1"/>
    <cellStyle name="Hipervínculo" xfId="807" builtinId="8" hidden="1"/>
    <cellStyle name="Hipervínculo" xfId="809" builtinId="8" hidden="1"/>
    <cellStyle name="Hipervínculo" xfId="811" builtinId="8" hidden="1"/>
    <cellStyle name="Hipervínculo" xfId="813" builtinId="8" hidden="1"/>
    <cellStyle name="Hipervínculo" xfId="815" builtinId="8" hidden="1"/>
    <cellStyle name="Hipervínculo" xfId="817" builtinId="8" hidden="1"/>
    <cellStyle name="Hipervínculo" xfId="819" builtinId="8" hidden="1"/>
    <cellStyle name="Hipervínculo" xfId="821" builtinId="8" hidden="1"/>
    <cellStyle name="Hipervínculo" xfId="823" builtinId="8" hidden="1"/>
    <cellStyle name="Hipervínculo" xfId="825" builtinId="8" hidden="1"/>
    <cellStyle name="Hipervínculo" xfId="827" builtinId="8" hidden="1"/>
    <cellStyle name="Hipervínculo" xfId="829" builtinId="8" hidden="1"/>
    <cellStyle name="Hipervínculo" xfId="831" builtinId="8" hidden="1"/>
    <cellStyle name="Hipervínculo" xfId="833" builtinId="8" hidden="1"/>
    <cellStyle name="Hipervínculo" xfId="835" builtinId="8" hidden="1"/>
    <cellStyle name="Hipervínculo" xfId="837" builtinId="8" hidden="1"/>
    <cellStyle name="Hipervínculo" xfId="839" builtinId="8" hidden="1"/>
    <cellStyle name="Hipervínculo" xfId="841" builtinId="8" hidden="1"/>
    <cellStyle name="Hipervínculo" xfId="843" builtinId="8" hidden="1"/>
    <cellStyle name="Hipervínculo" xfId="845" builtinId="8" hidden="1"/>
    <cellStyle name="Hipervínculo" xfId="847" builtinId="8" hidden="1"/>
    <cellStyle name="Hipervínculo" xfId="849" builtinId="8" hidden="1"/>
    <cellStyle name="Hipervínculo" xfId="851" builtinId="8" hidden="1"/>
    <cellStyle name="Hipervínculo" xfId="853" builtinId="8" hidden="1"/>
    <cellStyle name="Hipervínculo" xfId="855" builtinId="8" hidden="1"/>
    <cellStyle name="Hipervínculo" xfId="857" builtinId="8" hidden="1"/>
    <cellStyle name="Hipervínculo" xfId="859" builtinId="8" hidden="1"/>
    <cellStyle name="Hipervínculo" xfId="861" builtinId="8" hidden="1"/>
    <cellStyle name="Hipervínculo" xfId="863" builtinId="8" hidden="1"/>
    <cellStyle name="Hipervínculo" xfId="865" builtinId="8" hidden="1"/>
    <cellStyle name="Hipervínculo" xfId="867" builtinId="8" hidden="1"/>
    <cellStyle name="Hipervínculo" xfId="869" builtinId="8" hidden="1"/>
    <cellStyle name="Hipervínculo" xfId="871" builtinId="8" hidden="1"/>
    <cellStyle name="Hipervínculo" xfId="873" builtinId="8" hidden="1"/>
    <cellStyle name="Hipervínculo" xfId="875" builtinId="8" hidden="1"/>
    <cellStyle name="Hipervínculo" xfId="877" builtinId="8" hidden="1"/>
    <cellStyle name="Hipervínculo" xfId="879" builtinId="8" hidden="1"/>
    <cellStyle name="Hipervínculo" xfId="881" builtinId="8" hidden="1"/>
    <cellStyle name="Hipervínculo" xfId="883" builtinId="8" hidden="1"/>
    <cellStyle name="Hipervínculo" xfId="885" builtinId="8" hidden="1"/>
    <cellStyle name="Hipervínculo" xfId="887" builtinId="8" hidden="1"/>
    <cellStyle name="Hipervínculo" xfId="889" builtinId="8" hidden="1"/>
    <cellStyle name="Hipervínculo" xfId="891" builtinId="8" hidden="1"/>
    <cellStyle name="Hipervínculo" xfId="893" builtinId="8" hidden="1"/>
    <cellStyle name="Hipervínculo" xfId="895" builtinId="8" hidden="1"/>
    <cellStyle name="Hipervínculo" xfId="897" builtinId="8" hidden="1"/>
    <cellStyle name="Hipervínculo" xfId="899" builtinId="8" hidden="1"/>
    <cellStyle name="Hipervínculo" xfId="901" builtinId="8" hidden="1"/>
    <cellStyle name="Hipervínculo" xfId="903" builtinId="8" hidden="1"/>
    <cellStyle name="Hipervínculo" xfId="905" builtinId="8" hidden="1"/>
    <cellStyle name="Hipervínculo" xfId="907" builtinId="8" hidden="1"/>
    <cellStyle name="Hipervínculo" xfId="909" builtinId="8" hidden="1"/>
    <cellStyle name="Hipervínculo" xfId="911" builtinId="8" hidden="1"/>
    <cellStyle name="Hipervínculo" xfId="913" builtinId="8" hidden="1"/>
    <cellStyle name="Hipervínculo" xfId="915" builtinId="8" hidden="1"/>
    <cellStyle name="Hipervínculo" xfId="917" builtinId="8" hidden="1"/>
    <cellStyle name="Hipervínculo" xfId="919" builtinId="8" hidden="1"/>
    <cellStyle name="Hipervínculo" xfId="921" builtinId="8" hidden="1"/>
    <cellStyle name="Hipervínculo" xfId="923" builtinId="8" hidden="1"/>
    <cellStyle name="Hipervínculo" xfId="925" builtinId="8" hidden="1"/>
    <cellStyle name="Hipervínculo" xfId="927" builtinId="8" hidden="1"/>
    <cellStyle name="Hipervínculo" xfId="929" builtinId="8" hidden="1"/>
    <cellStyle name="Hipervínculo" xfId="931" builtinId="8" hidden="1"/>
    <cellStyle name="Hipervínculo" xfId="933" builtinId="8" hidden="1"/>
    <cellStyle name="Hipervínculo" xfId="935" builtinId="8" hidden="1"/>
    <cellStyle name="Hipervínculo" xfId="937" builtinId="8" hidden="1"/>
    <cellStyle name="Hipervínculo" xfId="939" builtinId="8" hidden="1"/>
    <cellStyle name="Hipervínculo" xfId="941" builtinId="8" hidden="1"/>
    <cellStyle name="Hipervínculo" xfId="943" builtinId="8" hidden="1"/>
    <cellStyle name="Hipervínculo" xfId="945" builtinId="8" hidden="1"/>
    <cellStyle name="Hipervínculo" xfId="947" builtinId="8" hidden="1"/>
    <cellStyle name="Hipervínculo" xfId="949" builtinId="8" hidden="1"/>
    <cellStyle name="Hipervínculo" xfId="951" builtinId="8" hidden="1"/>
    <cellStyle name="Hipervínculo" xfId="953" builtinId="8" hidden="1"/>
    <cellStyle name="Hipervínculo" xfId="955" builtinId="8" hidden="1"/>
    <cellStyle name="Hipervínculo" xfId="957" builtinId="8" hidden="1"/>
    <cellStyle name="Hipervínculo" xfId="959" builtinId="8" hidden="1"/>
    <cellStyle name="Hipervínculo" xfId="961" builtinId="8" hidden="1"/>
    <cellStyle name="Hipervínculo" xfId="963" builtinId="8" hidden="1"/>
    <cellStyle name="Hipervínculo" xfId="965" builtinId="8" hidden="1"/>
    <cellStyle name="Hipervínculo" xfId="967" builtinId="8" hidden="1"/>
    <cellStyle name="Hipervínculo" xfId="969" builtinId="8" hidden="1"/>
    <cellStyle name="Hipervínculo" xfId="971" builtinId="8" hidden="1"/>
    <cellStyle name="Hipervínculo" xfId="973" builtinId="8" hidden="1"/>
    <cellStyle name="Hipervínculo" xfId="975" builtinId="8" hidden="1"/>
    <cellStyle name="Hipervínculo" xfId="977" builtinId="8" hidden="1"/>
    <cellStyle name="Hipervínculo" xfId="979" builtinId="8" hidden="1"/>
    <cellStyle name="Hipervínculo" xfId="981" builtinId="8" hidden="1"/>
    <cellStyle name="Hipervínculo" xfId="983" builtinId="8" hidden="1"/>
    <cellStyle name="Hipervínculo" xfId="985" builtinId="8" hidden="1"/>
    <cellStyle name="Hipervínculo" xfId="987" builtinId="8" hidden="1"/>
    <cellStyle name="Hipervínculo" xfId="989" builtinId="8" hidden="1"/>
    <cellStyle name="Hipervínculo" xfId="991" builtinId="8" hidden="1"/>
    <cellStyle name="Hipervínculo" xfId="993" builtinId="8" hidden="1"/>
    <cellStyle name="Hipervínculo" xfId="995" builtinId="8" hidden="1"/>
    <cellStyle name="Hipervínculo" xfId="997" builtinId="8" hidden="1"/>
    <cellStyle name="Hipervínculo" xfId="999" builtinId="8" hidden="1"/>
    <cellStyle name="Hipervínculo" xfId="1001" builtinId="8" hidden="1"/>
    <cellStyle name="Hipervínculo" xfId="1003" builtinId="8" hidden="1"/>
    <cellStyle name="Hipervínculo" xfId="1005" builtinId="8" hidden="1"/>
    <cellStyle name="Hipervínculo" xfId="1007" builtinId="8" hidden="1"/>
    <cellStyle name="Hipervínculo" xfId="1009" builtinId="8" hidden="1"/>
    <cellStyle name="Hipervínculo" xfId="1011" builtinId="8" hidden="1"/>
    <cellStyle name="Hipervínculo" xfId="1013" builtinId="8" hidden="1"/>
    <cellStyle name="Hipervínculo" xfId="1015" builtinId="8" hidden="1"/>
    <cellStyle name="Hipervínculo" xfId="1017" builtinId="8" hidden="1"/>
    <cellStyle name="Hipervínculo" xfId="1019" builtinId="8" hidden="1"/>
    <cellStyle name="Hipervínculo" xfId="1021" builtinId="8" hidden="1"/>
    <cellStyle name="Hipervínculo" xfId="1023" builtinId="8" hidden="1"/>
    <cellStyle name="Hipervínculo" xfId="1025" builtinId="8" hidden="1"/>
    <cellStyle name="Hipervínculo" xfId="1027" builtinId="8" hidden="1"/>
    <cellStyle name="Hipervínculo" xfId="1029" builtinId="8" hidden="1"/>
    <cellStyle name="Hipervínculo" xfId="1031" builtinId="8" hidden="1"/>
    <cellStyle name="Hipervínculo" xfId="1033" builtinId="8" hidden="1"/>
    <cellStyle name="Hipervínculo" xfId="1035" builtinId="8" hidden="1"/>
    <cellStyle name="Hipervínculo" xfId="1037" builtinId="8" hidden="1"/>
    <cellStyle name="Hipervínculo" xfId="1039" builtinId="8" hidden="1"/>
    <cellStyle name="Hipervínculo" xfId="1041" builtinId="8" hidden="1"/>
    <cellStyle name="Hipervínculo" xfId="1043" builtinId="8" hidden="1"/>
    <cellStyle name="Hipervínculo" xfId="1045" builtinId="8" hidden="1"/>
    <cellStyle name="Hipervínculo" xfId="1047" builtinId="8" hidden="1"/>
    <cellStyle name="Hipervínculo" xfId="1049" builtinId="8" hidden="1"/>
    <cellStyle name="Hipervínculo" xfId="1051" builtinId="8" hidden="1"/>
    <cellStyle name="Hipervínculo" xfId="1053" builtinId="8" hidden="1"/>
    <cellStyle name="Hipervínculo" xfId="1055" builtinId="8" hidden="1"/>
    <cellStyle name="Hipervínculo" xfId="1057" builtinId="8" hidden="1"/>
    <cellStyle name="Hipervínculo" xfId="1059" builtinId="8" hidden="1"/>
    <cellStyle name="Hipervínculo" xfId="1061" builtinId="8" hidden="1"/>
    <cellStyle name="Hipervínculo" xfId="1063" builtinId="8" hidden="1"/>
    <cellStyle name="Hipervínculo" xfId="1065" builtinId="8" hidden="1"/>
    <cellStyle name="Hipervínculo" xfId="1067" builtinId="8" hidden="1"/>
    <cellStyle name="Hipervínculo" xfId="1069" builtinId="8" hidden="1"/>
    <cellStyle name="Hipervínculo" xfId="1071" builtinId="8" hidden="1"/>
    <cellStyle name="Hipervínculo" xfId="1073" builtinId="8" hidden="1"/>
    <cellStyle name="Hipervínculo" xfId="1075" builtinId="8" hidden="1"/>
    <cellStyle name="Hipervínculo" xfId="1077" builtinId="8" hidden="1"/>
    <cellStyle name="Hipervínculo" xfId="1079" builtinId="8" hidden="1"/>
    <cellStyle name="Hipervínculo" xfId="1081" builtinId="8" hidden="1"/>
    <cellStyle name="Hipervínculo" xfId="1083" builtinId="8" hidden="1"/>
    <cellStyle name="Hipervínculo" xfId="1085" builtinId="8" hidden="1"/>
    <cellStyle name="Hipervínculo" xfId="1087" builtinId="8" hidden="1"/>
    <cellStyle name="Hipervínculo" xfId="1089" builtinId="8" hidden="1"/>
    <cellStyle name="Hipervínculo" xfId="1091" builtinId="8" hidden="1"/>
    <cellStyle name="Hipervínculo" xfId="1093" builtinId="8" hidden="1"/>
    <cellStyle name="Hipervínculo" xfId="1095" builtinId="8" hidden="1"/>
    <cellStyle name="Hipervínculo" xfId="1097" builtinId="8" hidden="1"/>
    <cellStyle name="Hipervínculo" xfId="1099" builtinId="8" hidden="1"/>
    <cellStyle name="Hipervínculo" xfId="1101" builtinId="8" hidden="1"/>
    <cellStyle name="Hipervínculo" xfId="1103" builtinId="8" hidden="1"/>
    <cellStyle name="Hipervínculo" xfId="1105" builtinId="8" hidden="1"/>
    <cellStyle name="Hipervínculo" xfId="1107" builtinId="8" hidden="1"/>
    <cellStyle name="Hipervínculo" xfId="1109" builtinId="8" hidden="1"/>
    <cellStyle name="Hipervínculo" xfId="1111" builtinId="8" hidden="1"/>
    <cellStyle name="Hipervínculo" xfId="1113" builtinId="8" hidden="1"/>
    <cellStyle name="Hipervínculo" xfId="1115" builtinId="8" hidden="1"/>
    <cellStyle name="Hipervínculo" xfId="1117" builtinId="8" hidden="1"/>
    <cellStyle name="Hipervínculo" xfId="1119" builtinId="8" hidden="1"/>
    <cellStyle name="Hipervínculo" xfId="1121" builtinId="8" hidden="1"/>
    <cellStyle name="Hipervínculo" xfId="1123" builtinId="8" hidden="1"/>
    <cellStyle name="Hipervínculo" xfId="1125" builtinId="8" hidden="1"/>
    <cellStyle name="Hipervínculo" xfId="1127" builtinId="8" hidden="1"/>
    <cellStyle name="Hipervínculo" xfId="1129" builtinId="8" hidden="1"/>
    <cellStyle name="Hipervínculo" xfId="1131" builtinId="8" hidden="1"/>
    <cellStyle name="Hipervínculo" xfId="1133" builtinId="8" hidden="1"/>
    <cellStyle name="Hipervínculo" xfId="1135" builtinId="8" hidden="1"/>
    <cellStyle name="Hipervínculo" xfId="1137" builtinId="8" hidden="1"/>
    <cellStyle name="Hipervínculo" xfId="1139" builtinId="8" hidden="1"/>
    <cellStyle name="Hipervínculo" xfId="1141" builtinId="8" hidden="1"/>
    <cellStyle name="Hipervínculo" xfId="1143" builtinId="8" hidden="1"/>
    <cellStyle name="Hipervínculo" xfId="1145" builtinId="8" hidden="1"/>
    <cellStyle name="Hipervínculo" xfId="1147" builtinId="8" hidden="1"/>
    <cellStyle name="Hipervínculo" xfId="1149" builtinId="8" hidden="1"/>
    <cellStyle name="Hipervínculo" xfId="1151" builtinId="8" hidden="1"/>
    <cellStyle name="Hipervínculo" xfId="1153" builtinId="8" hidden="1"/>
    <cellStyle name="Hipervínculo" xfId="1155" builtinId="8" hidden="1"/>
    <cellStyle name="Hipervínculo" xfId="1157" builtinId="8" hidden="1"/>
    <cellStyle name="Hipervínculo" xfId="1159" builtinId="8" hidden="1"/>
    <cellStyle name="Hipervínculo" xfId="1161" builtinId="8" hidden="1"/>
    <cellStyle name="Hipervínculo" xfId="1163" builtinId="8" hidden="1"/>
    <cellStyle name="Hipervínculo" xfId="1165" builtinId="8" hidden="1"/>
    <cellStyle name="Hipervínculo" xfId="1167" builtinId="8" hidden="1"/>
    <cellStyle name="Hipervínculo" xfId="1169" builtinId="8" hidden="1"/>
    <cellStyle name="Hipervínculo" xfId="1171" builtinId="8" hidden="1"/>
    <cellStyle name="Hipervínculo" xfId="1173" builtinId="8" hidden="1"/>
    <cellStyle name="Hipervínculo" xfId="1175" builtinId="8" hidden="1"/>
    <cellStyle name="Hipervínculo" xfId="1177" builtinId="8" hidden="1"/>
    <cellStyle name="Hipervínculo" xfId="1179" builtinId="8" hidden="1"/>
    <cellStyle name="Hipervínculo" xfId="1181" builtinId="8" hidden="1"/>
    <cellStyle name="Hipervínculo" xfId="1183" builtinId="8" hidden="1"/>
    <cellStyle name="Hipervínculo" xfId="1185" builtinId="8" hidden="1"/>
    <cellStyle name="Hipervínculo" xfId="1187" builtinId="8" hidden="1"/>
    <cellStyle name="Hipervínculo" xfId="1189" builtinId="8" hidden="1"/>
    <cellStyle name="Hipervínculo" xfId="1191" builtinId="8" hidden="1"/>
    <cellStyle name="Hipervínculo" xfId="1193" builtinId="8" hidden="1"/>
    <cellStyle name="Hipervínculo" xfId="1195" builtinId="8" hidden="1"/>
    <cellStyle name="Hipervínculo" xfId="1197" builtinId="8" hidden="1"/>
    <cellStyle name="Hipervínculo" xfId="1199" builtinId="8" hidden="1"/>
    <cellStyle name="Hipervínculo" xfId="1201" builtinId="8" hidden="1"/>
    <cellStyle name="Hipervínculo" xfId="1203" builtinId="8" hidden="1"/>
    <cellStyle name="Hipervínculo" xfId="1206" builtinId="8" hidden="1"/>
    <cellStyle name="Hipervínculo" xfId="1208" builtinId="8" hidden="1"/>
    <cellStyle name="Hipervínculo" xfId="1210" builtinId="8" hidden="1"/>
    <cellStyle name="Hipervínculo" xfId="1213" builtinId="8" hidden="1"/>
    <cellStyle name="Hipervínculo" xfId="1215" builtinId="8" hidden="1"/>
    <cellStyle name="Hipervínculo" xfId="1218" builtinId="8" hidden="1"/>
    <cellStyle name="Hipervínculo" xfId="1220" builtinId="8" hidden="1"/>
    <cellStyle name="Hipervínculo" xfId="1222" builtinId="8" hidden="1"/>
    <cellStyle name="Hipervínculo" xfId="1224" builtinId="8" hidden="1"/>
    <cellStyle name="Hipervínculo" xfId="1226" builtinId="8" hidden="1"/>
    <cellStyle name="Hipervínculo" xfId="1228" builtinId="8" hidden="1"/>
    <cellStyle name="Hipervínculo" xfId="1230" builtinId="8" hidden="1"/>
    <cellStyle name="Hipervínculo" xfId="1232" builtinId="8" hidden="1"/>
    <cellStyle name="Hipervínculo" xfId="1234" builtinId="8" hidden="1"/>
    <cellStyle name="Hipervínculo" xfId="1236" builtinId="8" hidden="1"/>
    <cellStyle name="Hipervínculo" xfId="1238" builtinId="8" hidden="1"/>
    <cellStyle name="Hipervínculo" xfId="1240" builtinId="8" hidden="1"/>
    <cellStyle name="Hipervínculo" xfId="1242" builtinId="8" hidden="1"/>
    <cellStyle name="Hipervínculo" xfId="1244" builtinId="8" hidden="1"/>
    <cellStyle name="Hipervínculo" xfId="1246" builtinId="8" hidden="1"/>
    <cellStyle name="Hipervínculo" xfId="1248" builtinId="8" hidden="1"/>
    <cellStyle name="Hipervínculo" xfId="1250" builtinId="8" hidden="1"/>
    <cellStyle name="Hipervínculo" xfId="1252" builtinId="8" hidden="1"/>
    <cellStyle name="Hipervínculo" xfId="1254" builtinId="8" hidden="1"/>
    <cellStyle name="Hipervínculo" xfId="1256" builtinId="8" hidden="1"/>
    <cellStyle name="Hipervínculo" xfId="1258" builtinId="8" hidden="1"/>
    <cellStyle name="Hipervínculo" xfId="1260" builtinId="8" hidden="1"/>
    <cellStyle name="Hipervínculo" xfId="1262" builtinId="8" hidden="1"/>
    <cellStyle name="Hipervínculo" xfId="1264" builtinId="8" hidden="1"/>
    <cellStyle name="Hipervínculo" xfId="1266" builtinId="8" hidden="1"/>
    <cellStyle name="Hipervínculo" xfId="1268" builtinId="8" hidden="1"/>
    <cellStyle name="Hipervínculo" xfId="1270" builtinId="8" hidden="1"/>
    <cellStyle name="Hipervínculo" xfId="1272" builtinId="8" hidden="1"/>
    <cellStyle name="Hipervínculo" xfId="1274" builtinId="8" hidden="1"/>
    <cellStyle name="Hipervínculo" xfId="1276" builtinId="8" hidden="1"/>
    <cellStyle name="Hipervínculo" xfId="1278" builtinId="8" hidden="1"/>
    <cellStyle name="Hipervínculo" xfId="1280" builtinId="8" hidden="1"/>
    <cellStyle name="Hipervínculo 2" xfId="84"/>
    <cellStyle name="Hipervínculo visitado" xfId="356" builtinId="9" hidden="1"/>
    <cellStyle name="Hipervínculo visitado" xfId="358" builtinId="9" hidden="1"/>
    <cellStyle name="Hipervínculo visitado" xfId="360" builtinId="9" hidden="1"/>
    <cellStyle name="Hipervínculo visitado" xfId="362" builtinId="9" hidden="1"/>
    <cellStyle name="Hipervínculo visitado" xfId="364" builtinId="9" hidden="1"/>
    <cellStyle name="Hipervínculo visitado" xfId="366" builtinId="9" hidden="1"/>
    <cellStyle name="Hipervínculo visitado" xfId="368" builtinId="9" hidden="1"/>
    <cellStyle name="Hipervínculo visitado" xfId="370" builtinId="9" hidden="1"/>
    <cellStyle name="Hipervínculo visitado" xfId="372" builtinId="9" hidden="1"/>
    <cellStyle name="Hipervínculo visitado" xfId="374" builtinId="9" hidden="1"/>
    <cellStyle name="Hipervínculo visitado" xfId="376" builtinId="9" hidden="1"/>
    <cellStyle name="Hipervínculo visitado" xfId="378" builtinId="9" hidden="1"/>
    <cellStyle name="Hipervínculo visitado" xfId="380" builtinId="9" hidden="1"/>
    <cellStyle name="Hipervínculo visitado" xfId="382" builtinId="9" hidden="1"/>
    <cellStyle name="Hipervínculo visitado" xfId="384" builtinId="9" hidden="1"/>
    <cellStyle name="Hipervínculo visitado" xfId="386" builtinId="9" hidden="1"/>
    <cellStyle name="Hipervínculo visitado" xfId="388" builtinId="9" hidden="1"/>
    <cellStyle name="Hipervínculo visitado" xfId="390" builtinId="9" hidden="1"/>
    <cellStyle name="Hipervínculo visitado" xfId="392" builtinId="9" hidden="1"/>
    <cellStyle name="Hipervínculo visitado" xfId="394" builtinId="9" hidden="1"/>
    <cellStyle name="Hipervínculo visitado" xfId="396" builtinId="9" hidden="1"/>
    <cellStyle name="Hipervínculo visitado" xfId="398" builtinId="9" hidden="1"/>
    <cellStyle name="Hipervínculo visitado" xfId="400" builtinId="9" hidden="1"/>
    <cellStyle name="Hipervínculo visitado" xfId="402" builtinId="9" hidden="1"/>
    <cellStyle name="Hipervínculo visitado" xfId="404" builtinId="9" hidden="1"/>
    <cellStyle name="Hipervínculo visitado" xfId="406" builtinId="9" hidden="1"/>
    <cellStyle name="Hipervínculo visitado" xfId="408" builtinId="9" hidden="1"/>
    <cellStyle name="Hipervínculo visitado" xfId="410" builtinId="9" hidden="1"/>
    <cellStyle name="Hipervínculo visitado" xfId="412" builtinId="9" hidden="1"/>
    <cellStyle name="Hipervínculo visitado" xfId="414" builtinId="9" hidden="1"/>
    <cellStyle name="Hipervínculo visitado" xfId="416" builtinId="9" hidden="1"/>
    <cellStyle name="Hipervínculo visitado" xfId="418" builtinId="9" hidden="1"/>
    <cellStyle name="Hipervínculo visitado" xfId="426" builtinId="9" hidden="1"/>
    <cellStyle name="Hipervínculo visitado" xfId="428" builtinId="9" hidden="1"/>
    <cellStyle name="Hipervínculo visitado" xfId="430" builtinId="9" hidden="1"/>
    <cellStyle name="Hipervínculo visitado" xfId="432" builtinId="9" hidden="1"/>
    <cellStyle name="Hipervínculo visitado" xfId="434" builtinId="9" hidden="1"/>
    <cellStyle name="Hipervínculo visitado" xfId="436" builtinId="9" hidden="1"/>
    <cellStyle name="Hipervínculo visitado" xfId="438" builtinId="9" hidden="1"/>
    <cellStyle name="Hipervínculo visitado" xfId="440" builtinId="9" hidden="1"/>
    <cellStyle name="Hipervínculo visitado" xfId="442" builtinId="9" hidden="1"/>
    <cellStyle name="Hipervínculo visitado" xfId="444" builtinId="9" hidden="1"/>
    <cellStyle name="Hipervínculo visitado" xfId="446" builtinId="9" hidden="1"/>
    <cellStyle name="Hipervínculo visitado" xfId="448" builtinId="9" hidden="1"/>
    <cellStyle name="Hipervínculo visitado" xfId="450" builtinId="9" hidden="1"/>
    <cellStyle name="Hipervínculo visitado" xfId="452" builtinId="9" hidden="1"/>
    <cellStyle name="Hipervínculo visitado" xfId="454" builtinId="9" hidden="1"/>
    <cellStyle name="Hipervínculo visitado" xfId="456" builtinId="9" hidden="1"/>
    <cellStyle name="Hipervínculo visitado" xfId="458" builtinId="9" hidden="1"/>
    <cellStyle name="Hipervínculo visitado" xfId="460" builtinId="9" hidden="1"/>
    <cellStyle name="Hipervínculo visitado" xfId="462" builtinId="9" hidden="1"/>
    <cellStyle name="Hipervínculo visitado" xfId="464" builtinId="9" hidden="1"/>
    <cellStyle name="Hipervínculo visitado" xfId="466" builtinId="9" hidden="1"/>
    <cellStyle name="Hipervínculo visitado" xfId="468" builtinId="9" hidden="1"/>
    <cellStyle name="Hipervínculo visitado" xfId="470" builtinId="9" hidden="1"/>
    <cellStyle name="Hipervínculo visitado" xfId="472" builtinId="9" hidden="1"/>
    <cellStyle name="Hipervínculo visitado" xfId="474" builtinId="9" hidden="1"/>
    <cellStyle name="Hipervínculo visitado" xfId="476" builtinId="9" hidden="1"/>
    <cellStyle name="Hipervínculo visitado" xfId="478" builtinId="9" hidden="1"/>
    <cellStyle name="Hipervínculo visitado" xfId="480" builtinId="9" hidden="1"/>
    <cellStyle name="Hipervínculo visitado" xfId="482" builtinId="9" hidden="1"/>
    <cellStyle name="Hipervínculo visitado" xfId="484" builtinId="9" hidden="1"/>
    <cellStyle name="Hipervínculo visitado" xfId="486" builtinId="9" hidden="1"/>
    <cellStyle name="Hipervínculo visitado" xfId="488" builtinId="9" hidden="1"/>
    <cellStyle name="Hipervínculo visitado" xfId="490" builtinId="9" hidden="1"/>
    <cellStyle name="Hipervínculo visitado" xfId="492" builtinId="9" hidden="1"/>
    <cellStyle name="Hipervínculo visitado" xfId="494" builtinId="9" hidden="1"/>
    <cellStyle name="Hipervínculo visitado" xfId="496" builtinId="9" hidden="1"/>
    <cellStyle name="Hipervínculo visitado" xfId="498" builtinId="9" hidden="1"/>
    <cellStyle name="Hipervínculo visitado" xfId="500" builtinId="9" hidden="1"/>
    <cellStyle name="Hipervínculo visitado" xfId="502" builtinId="9" hidden="1"/>
    <cellStyle name="Hipervínculo visitado" xfId="504" builtinId="9" hidden="1"/>
    <cellStyle name="Hipervínculo visitado" xfId="506" builtinId="9" hidden="1"/>
    <cellStyle name="Hipervínculo visitado" xfId="508" builtinId="9" hidden="1"/>
    <cellStyle name="Hipervínculo visitado" xfId="510" builtinId="9" hidden="1"/>
    <cellStyle name="Hipervínculo visitado" xfId="512" builtinId="9" hidden="1"/>
    <cellStyle name="Hipervínculo visitado" xfId="514" builtinId="9" hidden="1"/>
    <cellStyle name="Hipervínculo visitado" xfId="516" builtinId="9" hidden="1"/>
    <cellStyle name="Hipervínculo visitado" xfId="518" builtinId="9" hidden="1"/>
    <cellStyle name="Hipervínculo visitado" xfId="520" builtinId="9" hidden="1"/>
    <cellStyle name="Hipervínculo visitado" xfId="522" builtinId="9" hidden="1"/>
    <cellStyle name="Hipervínculo visitado" xfId="524" builtinId="9" hidden="1"/>
    <cellStyle name="Hipervínculo visitado" xfId="526" builtinId="9" hidden="1"/>
    <cellStyle name="Hipervínculo visitado" xfId="528" builtinId="9" hidden="1"/>
    <cellStyle name="Hipervínculo visitado" xfId="531" builtinId="9" hidden="1"/>
    <cellStyle name="Hipervínculo visitado" xfId="533" builtinId="9" hidden="1"/>
    <cellStyle name="Hipervínculo visitado" xfId="535" builtinId="9" hidden="1"/>
    <cellStyle name="Hipervínculo visitado" xfId="537" builtinId="9" hidden="1"/>
    <cellStyle name="Hipervínculo visitado" xfId="539" builtinId="9" hidden="1"/>
    <cellStyle name="Hipervínculo visitado" xfId="541" builtinId="9" hidden="1"/>
    <cellStyle name="Hipervínculo visitado" xfId="543" builtinId="9" hidden="1"/>
    <cellStyle name="Hipervínculo visitado" xfId="545" builtinId="9" hidden="1"/>
    <cellStyle name="Hipervínculo visitado" xfId="547" builtinId="9" hidden="1"/>
    <cellStyle name="Hipervínculo visitado" xfId="549" builtinId="9" hidden="1"/>
    <cellStyle name="Hipervínculo visitado" xfId="551" builtinId="9" hidden="1"/>
    <cellStyle name="Hipervínculo visitado" xfId="553" builtinId="9" hidden="1"/>
    <cellStyle name="Hipervínculo visitado" xfId="555" builtinId="9" hidden="1"/>
    <cellStyle name="Hipervínculo visitado" xfId="557" builtinId="9" hidden="1"/>
    <cellStyle name="Hipervínculo visitado" xfId="559" builtinId="9" hidden="1"/>
    <cellStyle name="Hipervínculo visitado" xfId="561" builtinId="9" hidden="1"/>
    <cellStyle name="Hipervínculo visitado" xfId="563" builtinId="9" hidden="1"/>
    <cellStyle name="Hipervínculo visitado" xfId="565" builtinId="9" hidden="1"/>
    <cellStyle name="Hipervínculo visitado" xfId="567" builtinId="9" hidden="1"/>
    <cellStyle name="Hipervínculo visitado" xfId="569" builtinId="9" hidden="1"/>
    <cellStyle name="Hipervínculo visitado" xfId="571" builtinId="9" hidden="1"/>
    <cellStyle name="Hipervínculo visitado" xfId="573" builtinId="9" hidden="1"/>
    <cellStyle name="Hipervínculo visitado" xfId="575" builtinId="9" hidden="1"/>
    <cellStyle name="Hipervínculo visitado" xfId="577" builtinId="9" hidden="1"/>
    <cellStyle name="Hipervínculo visitado" xfId="579" builtinId="9" hidden="1"/>
    <cellStyle name="Hipervínculo visitado" xfId="581" builtinId="9" hidden="1"/>
    <cellStyle name="Hipervínculo visitado" xfId="583" builtinId="9" hidden="1"/>
    <cellStyle name="Hipervínculo visitado" xfId="585" builtinId="9" hidden="1"/>
    <cellStyle name="Hipervínculo visitado" xfId="587" builtinId="9" hidden="1"/>
    <cellStyle name="Hipervínculo visitado" xfId="589" builtinId="9" hidden="1"/>
    <cellStyle name="Hipervínculo visitado" xfId="591" builtinId="9" hidden="1"/>
    <cellStyle name="Hipervínculo visitado" xfId="593" builtinId="9" hidden="1"/>
    <cellStyle name="Hipervínculo visitado" xfId="595" builtinId="9" hidden="1"/>
    <cellStyle name="Hipervínculo visitado" xfId="597" builtinId="9" hidden="1"/>
    <cellStyle name="Hipervínculo visitado" xfId="600" builtinId="9" hidden="1"/>
    <cellStyle name="Hipervínculo visitado" xfId="602" builtinId="9" hidden="1"/>
    <cellStyle name="Hipervínculo visitado" xfId="604" builtinId="9" hidden="1"/>
    <cellStyle name="Hipervínculo visitado" xfId="606" builtinId="9" hidden="1"/>
    <cellStyle name="Hipervínculo visitado" xfId="608" builtinId="9" hidden="1"/>
    <cellStyle name="Hipervínculo visitado" xfId="610" builtinId="9" hidden="1"/>
    <cellStyle name="Hipervínculo visitado" xfId="612" builtinId="9" hidden="1"/>
    <cellStyle name="Hipervínculo visitado" xfId="614" builtinId="9" hidden="1"/>
    <cellStyle name="Hipervínculo visitado" xfId="616" builtinId="9" hidden="1"/>
    <cellStyle name="Hipervínculo visitado" xfId="618" builtinId="9" hidden="1"/>
    <cellStyle name="Hipervínculo visitado" xfId="620" builtinId="9" hidden="1"/>
    <cellStyle name="Hipervínculo visitado" xfId="622" builtinId="9" hidden="1"/>
    <cellStyle name="Hipervínculo visitado" xfId="624" builtinId="9" hidden="1"/>
    <cellStyle name="Hipervínculo visitado" xfId="626" builtinId="9" hidden="1"/>
    <cellStyle name="Hipervínculo visitado" xfId="628" builtinId="9" hidden="1"/>
    <cellStyle name="Hipervínculo visitado" xfId="630" builtinId="9" hidden="1"/>
    <cellStyle name="Hipervínculo visitado" xfId="632" builtinId="9" hidden="1"/>
    <cellStyle name="Hipervínculo visitado" xfId="634" builtinId="9" hidden="1"/>
    <cellStyle name="Hipervínculo visitado" xfId="636" builtinId="9" hidden="1"/>
    <cellStyle name="Hipervínculo visitado" xfId="638" builtinId="9" hidden="1"/>
    <cellStyle name="Hipervínculo visitado" xfId="640" builtinId="9" hidden="1"/>
    <cellStyle name="Hipervínculo visitado" xfId="642" builtinId="9" hidden="1"/>
    <cellStyle name="Hipervínculo visitado" xfId="644" builtinId="9" hidden="1"/>
    <cellStyle name="Hipervínculo visitado" xfId="646" builtinId="9" hidden="1"/>
    <cellStyle name="Hipervínculo visitado" xfId="648" builtinId="9" hidden="1"/>
    <cellStyle name="Hipervínculo visitado" xfId="650" builtinId="9" hidden="1"/>
    <cellStyle name="Hipervínculo visitado" xfId="652" builtinId="9" hidden="1"/>
    <cellStyle name="Hipervínculo visitado" xfId="654" builtinId="9" hidden="1"/>
    <cellStyle name="Hipervínculo visitado" xfId="656" builtinId="9" hidden="1"/>
    <cellStyle name="Hipervínculo visitado" xfId="658" builtinId="9" hidden="1"/>
    <cellStyle name="Hipervínculo visitado" xfId="660" builtinId="9" hidden="1"/>
    <cellStyle name="Hipervínculo visitado" xfId="662" builtinId="9" hidden="1"/>
    <cellStyle name="Hipervínculo visitado" xfId="664" builtinId="9" hidden="1"/>
    <cellStyle name="Hipervínculo visitado" xfId="666" builtinId="9" hidden="1"/>
    <cellStyle name="Hipervínculo visitado" xfId="668" builtinId="9" hidden="1"/>
    <cellStyle name="Hipervínculo visitado" xfId="670" builtinId="9" hidden="1"/>
    <cellStyle name="Hipervínculo visitado" xfId="672" builtinId="9" hidden="1"/>
    <cellStyle name="Hipervínculo visitado" xfId="674" builtinId="9" hidden="1"/>
    <cellStyle name="Hipervínculo visitado" xfId="676" builtinId="9" hidden="1"/>
    <cellStyle name="Hipervínculo visitado" xfId="678" builtinId="9" hidden="1"/>
    <cellStyle name="Hipervínculo visitado" xfId="680" builtinId="9" hidden="1"/>
    <cellStyle name="Hipervínculo visitado" xfId="682" builtinId="9" hidden="1"/>
    <cellStyle name="Hipervínculo visitado" xfId="684" builtinId="9" hidden="1"/>
    <cellStyle name="Hipervínculo visitado" xfId="686" builtinId="9" hidden="1"/>
    <cellStyle name="Hipervínculo visitado" xfId="688" builtinId="9" hidden="1"/>
    <cellStyle name="Hipervínculo visitado" xfId="690" builtinId="9" hidden="1"/>
    <cellStyle name="Hipervínculo visitado" xfId="692" builtinId="9" hidden="1"/>
    <cellStyle name="Hipervínculo visitado" xfId="694" builtinId="9" hidden="1"/>
    <cellStyle name="Hipervínculo visitado" xfId="696" builtinId="9" hidden="1"/>
    <cellStyle name="Hipervínculo visitado" xfId="698" builtinId="9" hidden="1"/>
    <cellStyle name="Hipervínculo visitado" xfId="700" builtinId="9" hidden="1"/>
    <cellStyle name="Hipervínculo visitado" xfId="702" builtinId="9" hidden="1"/>
    <cellStyle name="Hipervínculo visitado" xfId="704" builtinId="9" hidden="1"/>
    <cellStyle name="Hipervínculo visitado" xfId="706" builtinId="9" hidden="1"/>
    <cellStyle name="Hipervínculo visitado" xfId="708" builtinId="9" hidden="1"/>
    <cellStyle name="Hipervínculo visitado" xfId="710" builtinId="9" hidden="1"/>
    <cellStyle name="Hipervínculo visitado" xfId="712" builtinId="9" hidden="1"/>
    <cellStyle name="Hipervínculo visitado" xfId="714" builtinId="9" hidden="1"/>
    <cellStyle name="Hipervínculo visitado" xfId="716" builtinId="9" hidden="1"/>
    <cellStyle name="Hipervínculo visitado" xfId="718" builtinId="9" hidden="1"/>
    <cellStyle name="Hipervínculo visitado" xfId="720" builtinId="9" hidden="1"/>
    <cellStyle name="Hipervínculo visitado" xfId="722" builtinId="9" hidden="1"/>
    <cellStyle name="Hipervínculo visitado" xfId="724" builtinId="9" hidden="1"/>
    <cellStyle name="Hipervínculo visitado" xfId="726" builtinId="9" hidden="1"/>
    <cellStyle name="Hipervínculo visitado" xfId="728" builtinId="9" hidden="1"/>
    <cellStyle name="Hipervínculo visitado" xfId="730" builtinId="9" hidden="1"/>
    <cellStyle name="Hipervínculo visitado" xfId="732" builtinId="9" hidden="1"/>
    <cellStyle name="Hipervínculo visitado" xfId="734" builtinId="9" hidden="1"/>
    <cellStyle name="Hipervínculo visitado" xfId="736" builtinId="9" hidden="1"/>
    <cellStyle name="Hipervínculo visitado" xfId="738" builtinId="9" hidden="1"/>
    <cellStyle name="Hipervínculo visitado" xfId="740" builtinId="9" hidden="1"/>
    <cellStyle name="Hipervínculo visitado" xfId="742" builtinId="9" hidden="1"/>
    <cellStyle name="Hipervínculo visitado" xfId="744" builtinId="9" hidden="1"/>
    <cellStyle name="Hipervínculo visitado" xfId="746" builtinId="9" hidden="1"/>
    <cellStyle name="Hipervínculo visitado" xfId="748" builtinId="9" hidden="1"/>
    <cellStyle name="Hipervínculo visitado" xfId="750" builtinId="9" hidden="1"/>
    <cellStyle name="Hipervínculo visitado" xfId="752" builtinId="9" hidden="1"/>
    <cellStyle name="Hipervínculo visitado" xfId="754" builtinId="9" hidden="1"/>
    <cellStyle name="Hipervínculo visitado" xfId="756" builtinId="9" hidden="1"/>
    <cellStyle name="Hipervínculo visitado" xfId="758" builtinId="9" hidden="1"/>
    <cellStyle name="Hipervínculo visitado" xfId="760" builtinId="9" hidden="1"/>
    <cellStyle name="Hipervínculo visitado" xfId="762" builtinId="9" hidden="1"/>
    <cellStyle name="Hipervínculo visitado" xfId="764" builtinId="9" hidden="1"/>
    <cellStyle name="Hipervínculo visitado" xfId="766" builtinId="9" hidden="1"/>
    <cellStyle name="Hipervínculo visitado" xfId="768" builtinId="9" hidden="1"/>
    <cellStyle name="Hipervínculo visitado" xfId="770" builtinId="9" hidden="1"/>
    <cellStyle name="Hipervínculo visitado" xfId="424" builtinId="9" hidden="1"/>
    <cellStyle name="Hipervínculo visitado" xfId="772" builtinId="9" hidden="1"/>
    <cellStyle name="Hipervínculo visitado" xfId="774" builtinId="9" hidden="1"/>
    <cellStyle name="Hipervínculo visitado" xfId="776" builtinId="9" hidden="1"/>
    <cellStyle name="Hipervínculo visitado" xfId="778" builtinId="9" hidden="1"/>
    <cellStyle name="Hipervínculo visitado" xfId="780" builtinId="9" hidden="1"/>
    <cellStyle name="Hipervínculo visitado" xfId="782" builtinId="9" hidden="1"/>
    <cellStyle name="Hipervínculo visitado" xfId="784" builtinId="9" hidden="1"/>
    <cellStyle name="Hipervínculo visitado" xfId="786" builtinId="9" hidden="1"/>
    <cellStyle name="Hipervínculo visitado" xfId="788" builtinId="9" hidden="1"/>
    <cellStyle name="Hipervínculo visitado" xfId="790" builtinId="9" hidden="1"/>
    <cellStyle name="Hipervínculo visitado" xfId="792" builtinId="9" hidden="1"/>
    <cellStyle name="Hipervínculo visitado" xfId="794" builtinId="9" hidden="1"/>
    <cellStyle name="Hipervínculo visitado" xfId="796" builtinId="9" hidden="1"/>
    <cellStyle name="Hipervínculo visitado" xfId="798" builtinId="9" hidden="1"/>
    <cellStyle name="Hipervínculo visitado" xfId="800" builtinId="9" hidden="1"/>
    <cellStyle name="Hipervínculo visitado" xfId="802" builtinId="9" hidden="1"/>
    <cellStyle name="Hipervínculo visitado" xfId="804" builtinId="9" hidden="1"/>
    <cellStyle name="Hipervínculo visitado" xfId="806" builtinId="9" hidden="1"/>
    <cellStyle name="Hipervínculo visitado" xfId="808" builtinId="9" hidden="1"/>
    <cellStyle name="Hipervínculo visitado" xfId="810" builtinId="9" hidden="1"/>
    <cellStyle name="Hipervínculo visitado" xfId="812" builtinId="9" hidden="1"/>
    <cellStyle name="Hipervínculo visitado" xfId="814" builtinId="9" hidden="1"/>
    <cellStyle name="Hipervínculo visitado" xfId="816" builtinId="9" hidden="1"/>
    <cellStyle name="Hipervínculo visitado" xfId="818" builtinId="9" hidden="1"/>
    <cellStyle name="Hipervínculo visitado" xfId="820" builtinId="9" hidden="1"/>
    <cellStyle name="Hipervínculo visitado" xfId="822" builtinId="9" hidden="1"/>
    <cellStyle name="Hipervínculo visitado" xfId="824" builtinId="9" hidden="1"/>
    <cellStyle name="Hipervínculo visitado" xfId="826" builtinId="9" hidden="1"/>
    <cellStyle name="Hipervínculo visitado" xfId="828" builtinId="9" hidden="1"/>
    <cellStyle name="Hipervínculo visitado" xfId="830" builtinId="9" hidden="1"/>
    <cellStyle name="Hipervínculo visitado" xfId="832" builtinId="9" hidden="1"/>
    <cellStyle name="Hipervínculo visitado" xfId="834" builtinId="9" hidden="1"/>
    <cellStyle name="Hipervínculo visitado" xfId="836" builtinId="9" hidden="1"/>
    <cellStyle name="Hipervínculo visitado" xfId="838" builtinId="9" hidden="1"/>
    <cellStyle name="Hipervínculo visitado" xfId="840" builtinId="9" hidden="1"/>
    <cellStyle name="Hipervínculo visitado" xfId="842" builtinId="9" hidden="1"/>
    <cellStyle name="Hipervínculo visitado" xfId="844" builtinId="9" hidden="1"/>
    <cellStyle name="Hipervínculo visitado" xfId="846" builtinId="9" hidden="1"/>
    <cellStyle name="Hipervínculo visitado" xfId="848" builtinId="9" hidden="1"/>
    <cellStyle name="Hipervínculo visitado" xfId="850" builtinId="9" hidden="1"/>
    <cellStyle name="Hipervínculo visitado" xfId="852" builtinId="9" hidden="1"/>
    <cellStyle name="Hipervínculo visitado" xfId="854" builtinId="9" hidden="1"/>
    <cellStyle name="Hipervínculo visitado" xfId="856" builtinId="9" hidden="1"/>
    <cellStyle name="Hipervínculo visitado" xfId="858" builtinId="9" hidden="1"/>
    <cellStyle name="Hipervínculo visitado" xfId="860" builtinId="9" hidden="1"/>
    <cellStyle name="Hipervínculo visitado" xfId="862" builtinId="9" hidden="1"/>
    <cellStyle name="Hipervínculo visitado" xfId="864" builtinId="9" hidden="1"/>
    <cellStyle name="Hipervínculo visitado" xfId="866" builtinId="9" hidden="1"/>
    <cellStyle name="Hipervínculo visitado" xfId="868" builtinId="9" hidden="1"/>
    <cellStyle name="Hipervínculo visitado" xfId="870" builtinId="9" hidden="1"/>
    <cellStyle name="Hipervínculo visitado" xfId="872" builtinId="9" hidden="1"/>
    <cellStyle name="Hipervínculo visitado" xfId="874" builtinId="9" hidden="1"/>
    <cellStyle name="Hipervínculo visitado" xfId="876" builtinId="9" hidden="1"/>
    <cellStyle name="Hipervínculo visitado" xfId="878" builtinId="9" hidden="1"/>
    <cellStyle name="Hipervínculo visitado" xfId="880" builtinId="9" hidden="1"/>
    <cellStyle name="Hipervínculo visitado" xfId="882" builtinId="9" hidden="1"/>
    <cellStyle name="Hipervínculo visitado" xfId="884" builtinId="9" hidden="1"/>
    <cellStyle name="Hipervínculo visitado" xfId="886" builtinId="9" hidden="1"/>
    <cellStyle name="Hipervínculo visitado" xfId="888" builtinId="9" hidden="1"/>
    <cellStyle name="Hipervínculo visitado" xfId="890" builtinId="9" hidden="1"/>
    <cellStyle name="Hipervínculo visitado" xfId="892" builtinId="9" hidden="1"/>
    <cellStyle name="Hipervínculo visitado" xfId="894" builtinId="9" hidden="1"/>
    <cellStyle name="Hipervínculo visitado" xfId="896" builtinId="9" hidden="1"/>
    <cellStyle name="Hipervínculo visitado" xfId="898" builtinId="9" hidden="1"/>
    <cellStyle name="Hipervínculo visitado" xfId="900" builtinId="9" hidden="1"/>
    <cellStyle name="Hipervínculo visitado" xfId="902" builtinId="9" hidden="1"/>
    <cellStyle name="Hipervínculo visitado" xfId="904" builtinId="9" hidden="1"/>
    <cellStyle name="Hipervínculo visitado" xfId="906" builtinId="9" hidden="1"/>
    <cellStyle name="Hipervínculo visitado" xfId="908" builtinId="9" hidden="1"/>
    <cellStyle name="Hipervínculo visitado" xfId="910" builtinId="9" hidden="1"/>
    <cellStyle name="Hipervínculo visitado" xfId="912" builtinId="9" hidden="1"/>
    <cellStyle name="Hipervínculo visitado" xfId="914" builtinId="9" hidden="1"/>
    <cellStyle name="Hipervínculo visitado" xfId="916" builtinId="9" hidden="1"/>
    <cellStyle name="Hipervínculo visitado" xfId="918" builtinId="9" hidden="1"/>
    <cellStyle name="Hipervínculo visitado" xfId="920" builtinId="9" hidden="1"/>
    <cellStyle name="Hipervínculo visitado" xfId="922" builtinId="9" hidden="1"/>
    <cellStyle name="Hipervínculo visitado" xfId="924" builtinId="9" hidden="1"/>
    <cellStyle name="Hipervínculo visitado" xfId="926" builtinId="9" hidden="1"/>
    <cellStyle name="Hipervínculo visitado" xfId="928" builtinId="9" hidden="1"/>
    <cellStyle name="Hipervínculo visitado" xfId="930" builtinId="9" hidden="1"/>
    <cellStyle name="Hipervínculo visitado" xfId="932" builtinId="9" hidden="1"/>
    <cellStyle name="Hipervínculo visitado" xfId="934" builtinId="9" hidden="1"/>
    <cellStyle name="Hipervínculo visitado" xfId="936" builtinId="9" hidden="1"/>
    <cellStyle name="Hipervínculo visitado" xfId="938" builtinId="9" hidden="1"/>
    <cellStyle name="Hipervínculo visitado" xfId="940" builtinId="9" hidden="1"/>
    <cellStyle name="Hipervínculo visitado" xfId="942" builtinId="9" hidden="1"/>
    <cellStyle name="Hipervínculo visitado" xfId="944" builtinId="9" hidden="1"/>
    <cellStyle name="Hipervínculo visitado" xfId="946" builtinId="9" hidden="1"/>
    <cellStyle name="Hipervínculo visitado" xfId="948" builtinId="9" hidden="1"/>
    <cellStyle name="Hipervínculo visitado" xfId="950" builtinId="9" hidden="1"/>
    <cellStyle name="Hipervínculo visitado" xfId="952" builtinId="9" hidden="1"/>
    <cellStyle name="Hipervínculo visitado" xfId="954" builtinId="9" hidden="1"/>
    <cellStyle name="Hipervínculo visitado" xfId="956" builtinId="9" hidden="1"/>
    <cellStyle name="Hipervínculo visitado" xfId="958" builtinId="9" hidden="1"/>
    <cellStyle name="Hipervínculo visitado" xfId="960" builtinId="9" hidden="1"/>
    <cellStyle name="Hipervínculo visitado" xfId="962" builtinId="9" hidden="1"/>
    <cellStyle name="Hipervínculo visitado" xfId="964" builtinId="9" hidden="1"/>
    <cellStyle name="Hipervínculo visitado" xfId="966" builtinId="9" hidden="1"/>
    <cellStyle name="Hipervínculo visitado" xfId="968" builtinId="9" hidden="1"/>
    <cellStyle name="Hipervínculo visitado" xfId="970" builtinId="9" hidden="1"/>
    <cellStyle name="Hipervínculo visitado" xfId="972" builtinId="9" hidden="1"/>
    <cellStyle name="Hipervínculo visitado" xfId="974" builtinId="9" hidden="1"/>
    <cellStyle name="Hipervínculo visitado" xfId="976" builtinId="9" hidden="1"/>
    <cellStyle name="Hipervínculo visitado" xfId="978" builtinId="9" hidden="1"/>
    <cellStyle name="Hipervínculo visitado" xfId="980" builtinId="9" hidden="1"/>
    <cellStyle name="Hipervínculo visitado" xfId="982" builtinId="9" hidden="1"/>
    <cellStyle name="Hipervínculo visitado" xfId="984" builtinId="9" hidden="1"/>
    <cellStyle name="Hipervínculo visitado" xfId="986" builtinId="9" hidden="1"/>
    <cellStyle name="Hipervínculo visitado" xfId="988" builtinId="9" hidden="1"/>
    <cellStyle name="Hipervínculo visitado" xfId="990" builtinId="9" hidden="1"/>
    <cellStyle name="Hipervínculo visitado" xfId="992" builtinId="9" hidden="1"/>
    <cellStyle name="Hipervínculo visitado" xfId="994" builtinId="9" hidden="1"/>
    <cellStyle name="Hipervínculo visitado" xfId="996" builtinId="9" hidden="1"/>
    <cellStyle name="Hipervínculo visitado" xfId="998" builtinId="9" hidden="1"/>
    <cellStyle name="Hipervínculo visitado" xfId="1000" builtinId="9" hidden="1"/>
    <cellStyle name="Hipervínculo visitado" xfId="1002" builtinId="9" hidden="1"/>
    <cellStyle name="Hipervínculo visitado" xfId="1004" builtinId="9" hidden="1"/>
    <cellStyle name="Hipervínculo visitado" xfId="1006" builtinId="9" hidden="1"/>
    <cellStyle name="Hipervínculo visitado" xfId="1008" builtinId="9" hidden="1"/>
    <cellStyle name="Hipervínculo visitado" xfId="1010" builtinId="9" hidden="1"/>
    <cellStyle name="Hipervínculo visitado" xfId="1012" builtinId="9" hidden="1"/>
    <cellStyle name="Hipervínculo visitado" xfId="1014" builtinId="9" hidden="1"/>
    <cellStyle name="Hipervínculo visitado" xfId="1016" builtinId="9" hidden="1"/>
    <cellStyle name="Hipervínculo visitado" xfId="1018" builtinId="9" hidden="1"/>
    <cellStyle name="Hipervínculo visitado" xfId="1020" builtinId="9" hidden="1"/>
    <cellStyle name="Hipervínculo visitado" xfId="1022" builtinId="9" hidden="1"/>
    <cellStyle name="Hipervínculo visitado" xfId="1024" builtinId="9" hidden="1"/>
    <cellStyle name="Hipervínculo visitado" xfId="1026" builtinId="9" hidden="1"/>
    <cellStyle name="Hipervínculo visitado" xfId="1028" builtinId="9" hidden="1"/>
    <cellStyle name="Hipervínculo visitado" xfId="1030" builtinId="9" hidden="1"/>
    <cellStyle name="Hipervínculo visitado" xfId="1032" builtinId="9" hidden="1"/>
    <cellStyle name="Hipervínculo visitado" xfId="1034" builtinId="9" hidden="1"/>
    <cellStyle name="Hipervínculo visitado" xfId="1036" builtinId="9" hidden="1"/>
    <cellStyle name="Hipervínculo visitado" xfId="1038" builtinId="9" hidden="1"/>
    <cellStyle name="Hipervínculo visitado" xfId="1040" builtinId="9" hidden="1"/>
    <cellStyle name="Hipervínculo visitado" xfId="1042" builtinId="9" hidden="1"/>
    <cellStyle name="Hipervínculo visitado" xfId="1044" builtinId="9" hidden="1"/>
    <cellStyle name="Hipervínculo visitado" xfId="1046" builtinId="9" hidden="1"/>
    <cellStyle name="Hipervínculo visitado" xfId="1048" builtinId="9" hidden="1"/>
    <cellStyle name="Hipervínculo visitado" xfId="1050" builtinId="9" hidden="1"/>
    <cellStyle name="Hipervínculo visitado" xfId="1052" builtinId="9" hidden="1"/>
    <cellStyle name="Hipervínculo visitado" xfId="1054" builtinId="9" hidden="1"/>
    <cellStyle name="Hipervínculo visitado" xfId="1056" builtinId="9" hidden="1"/>
    <cellStyle name="Hipervínculo visitado" xfId="1058" builtinId="9" hidden="1"/>
    <cellStyle name="Hipervínculo visitado" xfId="1060" builtinId="9" hidden="1"/>
    <cellStyle name="Hipervínculo visitado" xfId="1062" builtinId="9" hidden="1"/>
    <cellStyle name="Hipervínculo visitado" xfId="1064" builtinId="9" hidden="1"/>
    <cellStyle name="Hipervínculo visitado" xfId="1066" builtinId="9" hidden="1"/>
    <cellStyle name="Hipervínculo visitado" xfId="1068" builtinId="9" hidden="1"/>
    <cellStyle name="Hipervínculo visitado" xfId="1070" builtinId="9" hidden="1"/>
    <cellStyle name="Hipervínculo visitado" xfId="1072" builtinId="9" hidden="1"/>
    <cellStyle name="Hipervínculo visitado" xfId="1074" builtinId="9" hidden="1"/>
    <cellStyle name="Hipervínculo visitado" xfId="1076" builtinId="9" hidden="1"/>
    <cellStyle name="Hipervínculo visitado" xfId="1078" builtinId="9" hidden="1"/>
    <cellStyle name="Hipervínculo visitado" xfId="1080" builtinId="9" hidden="1"/>
    <cellStyle name="Hipervínculo visitado" xfId="1082" builtinId="9" hidden="1"/>
    <cellStyle name="Hipervínculo visitado" xfId="1084" builtinId="9" hidden="1"/>
    <cellStyle name="Hipervínculo visitado" xfId="1086" builtinId="9" hidden="1"/>
    <cellStyle name="Hipervínculo visitado" xfId="1088" builtinId="9" hidden="1"/>
    <cellStyle name="Hipervínculo visitado" xfId="1090" builtinId="9" hidden="1"/>
    <cellStyle name="Hipervínculo visitado" xfId="1092" builtinId="9" hidden="1"/>
    <cellStyle name="Hipervínculo visitado" xfId="1094" builtinId="9" hidden="1"/>
    <cellStyle name="Hipervínculo visitado" xfId="1096" builtinId="9" hidden="1"/>
    <cellStyle name="Hipervínculo visitado" xfId="1098" builtinId="9" hidden="1"/>
    <cellStyle name="Hipervínculo visitado" xfId="1100" builtinId="9" hidden="1"/>
    <cellStyle name="Hipervínculo visitado" xfId="1102" builtinId="9" hidden="1"/>
    <cellStyle name="Hipervínculo visitado" xfId="1104" builtinId="9" hidden="1"/>
    <cellStyle name="Hipervínculo visitado" xfId="1106" builtinId="9" hidden="1"/>
    <cellStyle name="Hipervínculo visitado" xfId="1108" builtinId="9" hidden="1"/>
    <cellStyle name="Hipervínculo visitado" xfId="1110" builtinId="9" hidden="1"/>
    <cellStyle name="Hipervínculo visitado" xfId="1112" builtinId="9" hidden="1"/>
    <cellStyle name="Hipervínculo visitado" xfId="1114" builtinId="9" hidden="1"/>
    <cellStyle name="Hipervínculo visitado" xfId="1116" builtinId="9" hidden="1"/>
    <cellStyle name="Hipervínculo visitado" xfId="1118" builtinId="9" hidden="1"/>
    <cellStyle name="Hipervínculo visitado" xfId="1120" builtinId="9" hidden="1"/>
    <cellStyle name="Hipervínculo visitado" xfId="1122" builtinId="9" hidden="1"/>
    <cellStyle name="Hipervínculo visitado" xfId="1124" builtinId="9" hidden="1"/>
    <cellStyle name="Hipervínculo visitado" xfId="1126" builtinId="9" hidden="1"/>
    <cellStyle name="Hipervínculo visitado" xfId="1128" builtinId="9" hidden="1"/>
    <cellStyle name="Hipervínculo visitado" xfId="1130" builtinId="9" hidden="1"/>
    <cellStyle name="Hipervínculo visitado" xfId="1132" builtinId="9" hidden="1"/>
    <cellStyle name="Hipervínculo visitado" xfId="1134" builtinId="9" hidden="1"/>
    <cellStyle name="Hipervínculo visitado" xfId="1136" builtinId="9" hidden="1"/>
    <cellStyle name="Hipervínculo visitado" xfId="1138" builtinId="9" hidden="1"/>
    <cellStyle name="Hipervínculo visitado" xfId="1140" builtinId="9" hidden="1"/>
    <cellStyle name="Hipervínculo visitado" xfId="1142" builtinId="9" hidden="1"/>
    <cellStyle name="Hipervínculo visitado" xfId="1144" builtinId="9" hidden="1"/>
    <cellStyle name="Hipervínculo visitado" xfId="1146" builtinId="9" hidden="1"/>
    <cellStyle name="Hipervínculo visitado" xfId="1148" builtinId="9" hidden="1"/>
    <cellStyle name="Hipervínculo visitado" xfId="1150" builtinId="9" hidden="1"/>
    <cellStyle name="Hipervínculo visitado" xfId="1152" builtinId="9" hidden="1"/>
    <cellStyle name="Hipervínculo visitado" xfId="1154" builtinId="9" hidden="1"/>
    <cellStyle name="Hipervínculo visitado" xfId="1156" builtinId="9" hidden="1"/>
    <cellStyle name="Hipervínculo visitado" xfId="1158" builtinId="9" hidden="1"/>
    <cellStyle name="Hipervínculo visitado" xfId="1160" builtinId="9" hidden="1"/>
    <cellStyle name="Hipervínculo visitado" xfId="1162" builtinId="9" hidden="1"/>
    <cellStyle name="Hipervínculo visitado" xfId="1164" builtinId="9" hidden="1"/>
    <cellStyle name="Hipervínculo visitado" xfId="1166" builtinId="9" hidden="1"/>
    <cellStyle name="Hipervínculo visitado" xfId="1168" builtinId="9" hidden="1"/>
    <cellStyle name="Hipervínculo visitado" xfId="1170" builtinId="9" hidden="1"/>
    <cellStyle name="Hipervínculo visitado" xfId="1172" builtinId="9" hidden="1"/>
    <cellStyle name="Hipervínculo visitado" xfId="1174" builtinId="9" hidden="1"/>
    <cellStyle name="Hipervínculo visitado" xfId="1176" builtinId="9" hidden="1"/>
    <cellStyle name="Hipervínculo visitado" xfId="1178" builtinId="9" hidden="1"/>
    <cellStyle name="Hipervínculo visitado" xfId="1180" builtinId="9" hidden="1"/>
    <cellStyle name="Hipervínculo visitado" xfId="1182" builtinId="9" hidden="1"/>
    <cellStyle name="Hipervínculo visitado" xfId="1184" builtinId="9" hidden="1"/>
    <cellStyle name="Hipervínculo visitado" xfId="1186" builtinId="9" hidden="1"/>
    <cellStyle name="Hipervínculo visitado" xfId="1188" builtinId="9" hidden="1"/>
    <cellStyle name="Hipervínculo visitado" xfId="1190" builtinId="9" hidden="1"/>
    <cellStyle name="Hipervínculo visitado" xfId="1192" builtinId="9" hidden="1"/>
    <cellStyle name="Hipervínculo visitado" xfId="1194" builtinId="9" hidden="1"/>
    <cellStyle name="Hipervínculo visitado" xfId="1196" builtinId="9" hidden="1"/>
    <cellStyle name="Hipervínculo visitado" xfId="1198" builtinId="9" hidden="1"/>
    <cellStyle name="Hipervínculo visitado" xfId="1200" builtinId="9" hidden="1"/>
    <cellStyle name="Hipervínculo visitado" xfId="1202" builtinId="9" hidden="1"/>
    <cellStyle name="Hipervínculo visitado" xfId="1204" builtinId="9" hidden="1"/>
    <cellStyle name="Hipervínculo visitado" xfId="1207" builtinId="9" hidden="1"/>
    <cellStyle name="Hipervínculo visitado" xfId="1209" builtinId="9" hidden="1"/>
    <cellStyle name="Hipervínculo visitado" xfId="1211" builtinId="9" hidden="1"/>
    <cellStyle name="Hipervínculo visitado" xfId="1214" builtinId="9" hidden="1"/>
    <cellStyle name="Hipervínculo visitado" xfId="1216" builtinId="9" hidden="1"/>
    <cellStyle name="Hipervínculo visitado" xfId="1219" builtinId="9" hidden="1"/>
    <cellStyle name="Hipervínculo visitado" xfId="1221" builtinId="9" hidden="1"/>
    <cellStyle name="Hipervínculo visitado" xfId="1223" builtinId="9" hidden="1"/>
    <cellStyle name="Hipervínculo visitado" xfId="1225" builtinId="9" hidden="1"/>
    <cellStyle name="Hipervínculo visitado" xfId="1227" builtinId="9" hidden="1"/>
    <cellStyle name="Hipervínculo visitado" xfId="1229" builtinId="9" hidden="1"/>
    <cellStyle name="Hipervínculo visitado" xfId="1231" builtinId="9" hidden="1"/>
    <cellStyle name="Hipervínculo visitado" xfId="1233" builtinId="9" hidden="1"/>
    <cellStyle name="Hipervínculo visitado" xfId="1235" builtinId="9" hidden="1"/>
    <cellStyle name="Hipervínculo visitado" xfId="1237" builtinId="9" hidden="1"/>
    <cellStyle name="Hipervínculo visitado" xfId="1239" builtinId="9" hidden="1"/>
    <cellStyle name="Hipervínculo visitado" xfId="1241" builtinId="9" hidden="1"/>
    <cellStyle name="Hipervínculo visitado" xfId="1243" builtinId="9" hidden="1"/>
    <cellStyle name="Hipervínculo visitado" xfId="1245" builtinId="9" hidden="1"/>
    <cellStyle name="Hipervínculo visitado" xfId="1247" builtinId="9" hidden="1"/>
    <cellStyle name="Hipervínculo visitado" xfId="1249" builtinId="9" hidden="1"/>
    <cellStyle name="Hipervínculo visitado" xfId="1251" builtinId="9" hidden="1"/>
    <cellStyle name="Hipervínculo visitado" xfId="1253" builtinId="9" hidden="1"/>
    <cellStyle name="Hipervínculo visitado" xfId="1255" builtinId="9" hidden="1"/>
    <cellStyle name="Hipervínculo visitado" xfId="1257" builtinId="9" hidden="1"/>
    <cellStyle name="Hipervínculo visitado" xfId="1259" builtinId="9" hidden="1"/>
    <cellStyle name="Hipervínculo visitado" xfId="1261" builtinId="9" hidden="1"/>
    <cellStyle name="Hipervínculo visitado" xfId="1263" builtinId="9" hidden="1"/>
    <cellStyle name="Hipervínculo visitado" xfId="1265" builtinId="9" hidden="1"/>
    <cellStyle name="Hipervínculo visitado" xfId="1267" builtinId="9" hidden="1"/>
    <cellStyle name="Hipervínculo visitado" xfId="1269" builtinId="9" hidden="1"/>
    <cellStyle name="Hipervínculo visitado" xfId="1271" builtinId="9" hidden="1"/>
    <cellStyle name="Hipervínculo visitado" xfId="1273" builtinId="9" hidden="1"/>
    <cellStyle name="Hipervínculo visitado" xfId="1275" builtinId="9" hidden="1"/>
    <cellStyle name="Hipervínculo visitado" xfId="1277" builtinId="9" hidden="1"/>
    <cellStyle name="Hipervínculo visitado" xfId="1279" builtinId="9" hidden="1"/>
    <cellStyle name="Hipervínculo visitado" xfId="1281" builtinId="9" hidden="1"/>
    <cellStyle name="KPT04_Main" xfId="1288"/>
    <cellStyle name="Millares [0]" xfId="1217" builtinId="6"/>
    <cellStyle name="Millares [0] 10" xfId="85"/>
    <cellStyle name="Millares [0] 11" xfId="86"/>
    <cellStyle name="Millares [0] 12" xfId="87"/>
    <cellStyle name="Millares [0] 13" xfId="88"/>
    <cellStyle name="Millares [0] 14" xfId="89"/>
    <cellStyle name="Millares [0] 15" xfId="90"/>
    <cellStyle name="Millares [0] 16" xfId="91"/>
    <cellStyle name="Millares [0] 17" xfId="92"/>
    <cellStyle name="Millares [0] 18" xfId="93"/>
    <cellStyle name="Millares [0] 19" xfId="94"/>
    <cellStyle name="Millares [0] 2" xfId="95"/>
    <cellStyle name="Millares [0] 2 2" xfId="1285"/>
    <cellStyle name="Millares [0] 20" xfId="96"/>
    <cellStyle name="Millares [0] 21" xfId="97"/>
    <cellStyle name="Millares [0] 22" xfId="98"/>
    <cellStyle name="Millares [0] 23" xfId="99"/>
    <cellStyle name="Millares [0] 24" xfId="100"/>
    <cellStyle name="Millares [0] 25" xfId="101"/>
    <cellStyle name="Millares [0] 26" xfId="102"/>
    <cellStyle name="Millares [0] 27" xfId="103"/>
    <cellStyle name="Millares [0] 28" xfId="104"/>
    <cellStyle name="Millares [0] 29" xfId="105"/>
    <cellStyle name="Millares [0] 3" xfId="106"/>
    <cellStyle name="Millares [0] 30" xfId="107"/>
    <cellStyle name="Millares [0] 31" xfId="108"/>
    <cellStyle name="Millares [0] 4" xfId="109"/>
    <cellStyle name="Millares [0] 5" xfId="110"/>
    <cellStyle name="Millares [0] 6" xfId="111"/>
    <cellStyle name="Millares [0] 7" xfId="112"/>
    <cellStyle name="Millares [0] 8" xfId="113"/>
    <cellStyle name="Millares [0] 9" xfId="114"/>
    <cellStyle name="Millares 10" xfId="115"/>
    <cellStyle name="Millares 11" xfId="116"/>
    <cellStyle name="Millares 12" xfId="117"/>
    <cellStyle name="Millares 13" xfId="118"/>
    <cellStyle name="Millares 14" xfId="119"/>
    <cellStyle name="Millares 15" xfId="120"/>
    <cellStyle name="Millares 16" xfId="121"/>
    <cellStyle name="Millares 17" xfId="122"/>
    <cellStyle name="Millares 18" xfId="123"/>
    <cellStyle name="Millares 19" xfId="124"/>
    <cellStyle name="Millares 2" xfId="125"/>
    <cellStyle name="Millares 2 2" xfId="126"/>
    <cellStyle name="Millares 2 2 2" xfId="127"/>
    <cellStyle name="Millares 2 3" xfId="128"/>
    <cellStyle name="Millares 2 4" xfId="129"/>
    <cellStyle name="Millares 2_PG monica" xfId="130"/>
    <cellStyle name="Millares 20" xfId="131"/>
    <cellStyle name="Millares 21" xfId="132"/>
    <cellStyle name="Millares 22" xfId="133"/>
    <cellStyle name="Millares 23" xfId="134"/>
    <cellStyle name="Millares 24" xfId="135"/>
    <cellStyle name="Millares 25" xfId="136"/>
    <cellStyle name="Millares 26" xfId="137"/>
    <cellStyle name="Millares 27" xfId="138"/>
    <cellStyle name="Millares 28" xfId="139"/>
    <cellStyle name="Millares 29" xfId="140"/>
    <cellStyle name="Millares 3" xfId="141"/>
    <cellStyle name="Millares 3 2" xfId="142"/>
    <cellStyle name="Millares 30" xfId="143"/>
    <cellStyle name="Millares 31" xfId="144"/>
    <cellStyle name="Millares 32" xfId="145"/>
    <cellStyle name="Millares 33" xfId="146"/>
    <cellStyle name="Millares 34" xfId="147"/>
    <cellStyle name="Millares 35" xfId="148"/>
    <cellStyle name="Millares 36" xfId="149"/>
    <cellStyle name="Millares 37" xfId="150"/>
    <cellStyle name="Millares 38" xfId="151"/>
    <cellStyle name="Millares 39" xfId="152"/>
    <cellStyle name="Millares 4" xfId="153"/>
    <cellStyle name="Millares 4 2" xfId="154"/>
    <cellStyle name="Millares 40" xfId="155"/>
    <cellStyle name="Millares 41" xfId="156"/>
    <cellStyle name="Millares 42" xfId="419"/>
    <cellStyle name="Millares 43" xfId="423"/>
    <cellStyle name="Millares 44" xfId="420"/>
    <cellStyle name="Millares 45" xfId="1289"/>
    <cellStyle name="Millares 5" xfId="157"/>
    <cellStyle name="Millares 6" xfId="158"/>
    <cellStyle name="Millares 7" xfId="159"/>
    <cellStyle name="Millares 8" xfId="160"/>
    <cellStyle name="Millares 9" xfId="161"/>
    <cellStyle name="Moneda" xfId="1212" builtinId="4"/>
    <cellStyle name="Moneda [0] 2" xfId="422"/>
    <cellStyle name="Moneda 10" xfId="162"/>
    <cellStyle name="Moneda 11" xfId="163"/>
    <cellStyle name="Moneda 12" xfId="164"/>
    <cellStyle name="Moneda 13" xfId="165"/>
    <cellStyle name="Moneda 14" xfId="166"/>
    <cellStyle name="Moneda 15" xfId="167"/>
    <cellStyle name="Moneda 16" xfId="168"/>
    <cellStyle name="Moneda 16 2" xfId="169"/>
    <cellStyle name="Moneda 17" xfId="170"/>
    <cellStyle name="Moneda 18" xfId="171"/>
    <cellStyle name="Moneda 19" xfId="172"/>
    <cellStyle name="Moneda 19 2" xfId="173"/>
    <cellStyle name="Moneda 2" xfId="174"/>
    <cellStyle name="Moneda 2 2" xfId="175"/>
    <cellStyle name="Moneda 2 2 2" xfId="176"/>
    <cellStyle name="Moneda 20" xfId="177"/>
    <cellStyle name="Moneda 3" xfId="178"/>
    <cellStyle name="Moneda 3 2" xfId="179"/>
    <cellStyle name="Moneda 4" xfId="180"/>
    <cellStyle name="Moneda 5" xfId="181"/>
    <cellStyle name="Moneda 6" xfId="182"/>
    <cellStyle name="Moneda 7" xfId="183"/>
    <cellStyle name="Moneda 8" xfId="184"/>
    <cellStyle name="Moneda 9" xfId="185"/>
    <cellStyle name="Moneta - Modelo2" xfId="186"/>
    <cellStyle name="Moneta - Modelo2 2" xfId="187"/>
    <cellStyle name="Moneta - Modelo5" xfId="188"/>
    <cellStyle name="Moneta - Modelo5 2" xfId="189"/>
    <cellStyle name="Monetario" xfId="190"/>
    <cellStyle name="Monetario 2" xfId="191"/>
    <cellStyle name="Monetario 3" xfId="192"/>
    <cellStyle name="Monetario_Historico" xfId="193"/>
    <cellStyle name="Monetario0" xfId="194"/>
    <cellStyle name="Monetario0 2" xfId="195"/>
    <cellStyle name="Monetario0 3" xfId="196"/>
    <cellStyle name="Monetario0_Historico" xfId="197"/>
    <cellStyle name="Normal" xfId="0" builtinId="0"/>
    <cellStyle name="Normal 10" xfId="198"/>
    <cellStyle name="Normal 11" xfId="199"/>
    <cellStyle name="Normal 12" xfId="200"/>
    <cellStyle name="Normal 13" xfId="201"/>
    <cellStyle name="Normal 14" xfId="202"/>
    <cellStyle name="Normal 15" xfId="203"/>
    <cellStyle name="Normal 16" xfId="204"/>
    <cellStyle name="Normal 17" xfId="205"/>
    <cellStyle name="Normal 18" xfId="206"/>
    <cellStyle name="Normal 19" xfId="207"/>
    <cellStyle name="Normal 2" xfId="208"/>
    <cellStyle name="Normal 2 2" xfId="209"/>
    <cellStyle name="Normal 2 3" xfId="210"/>
    <cellStyle name="Normal 2 3 2" xfId="353"/>
    <cellStyle name="Normal 2 4" xfId="1282"/>
    <cellStyle name="Normal 2_POAI 2010" xfId="211"/>
    <cellStyle name="Normal 20" xfId="212"/>
    <cellStyle name="Normal 21" xfId="213"/>
    <cellStyle name="Normal 22" xfId="214"/>
    <cellStyle name="Normal 23" xfId="215"/>
    <cellStyle name="Normal 24" xfId="216"/>
    <cellStyle name="Normal 25" xfId="217"/>
    <cellStyle name="Normal 26" xfId="218"/>
    <cellStyle name="Normal 27" xfId="219"/>
    <cellStyle name="Normal 28" xfId="220"/>
    <cellStyle name="Normal 29" xfId="221"/>
    <cellStyle name="Normal 3" xfId="222"/>
    <cellStyle name="Normal 3 2" xfId="223"/>
    <cellStyle name="Normal 3 2 2" xfId="1284"/>
    <cellStyle name="Normal 3 3" xfId="224"/>
    <cellStyle name="Normal 3 3 2" xfId="529"/>
    <cellStyle name="Normal 30" xfId="225"/>
    <cellStyle name="Normal 31" xfId="226"/>
    <cellStyle name="Normal 32" xfId="227"/>
    <cellStyle name="Normal 33" xfId="228"/>
    <cellStyle name="Normal 34" xfId="229"/>
    <cellStyle name="Normal 35" xfId="230"/>
    <cellStyle name="Normal 36" xfId="231"/>
    <cellStyle name="Normal 37" xfId="232"/>
    <cellStyle name="Normal 4" xfId="233"/>
    <cellStyle name="Normal 4 2" xfId="234"/>
    <cellStyle name="Normal 5" xfId="235"/>
    <cellStyle name="Normal 5 2" xfId="354"/>
    <cellStyle name="Normal 6" xfId="236"/>
    <cellStyle name="Normal 7" xfId="237"/>
    <cellStyle name="Normal 7 2" xfId="352"/>
    <cellStyle name="Normal 8" xfId="238"/>
    <cellStyle name="Normal 8 2" xfId="421"/>
    <cellStyle name="Normal 9" xfId="239"/>
    <cellStyle name="Normal_CERTIFICACION PPTO PLAN DE DLLO 2008" xfId="1286"/>
    <cellStyle name="Normal_CERTIFICACION PPTO PLAN DE DLLO 2008_rentas e ingresos nov 28" xfId="1283"/>
    <cellStyle name="Normal_POAI PPTO 2010" xfId="1287"/>
    <cellStyle name="Percent" xfId="240"/>
    <cellStyle name="Percent 2" xfId="241"/>
    <cellStyle name="Percent 3" xfId="242"/>
    <cellStyle name="Percent_Historico" xfId="243"/>
    <cellStyle name="Piloto de Datos Ángulo" xfId="244"/>
    <cellStyle name="Piloto de Datos Campo" xfId="245"/>
    <cellStyle name="Piloto de Datos Resultado" xfId="246"/>
    <cellStyle name="Piloto de Datos Título" xfId="247"/>
    <cellStyle name="Piloto de Datos Valor" xfId="248"/>
    <cellStyle name="Porcen - Modelo3" xfId="249"/>
    <cellStyle name="Porcen - Modelo3 2" xfId="250"/>
    <cellStyle name="Porcen - Modelo3 2 2" xfId="251"/>
    <cellStyle name="Porcen - Modelo3 2 3" xfId="252"/>
    <cellStyle name="Porcen - Modelo3 2 4" xfId="253"/>
    <cellStyle name="Porcen - Modelo3 2 5" xfId="254"/>
    <cellStyle name="Porcen - Modelo3 2 6" xfId="255"/>
    <cellStyle name="Porcen - Modelo3 3" xfId="256"/>
    <cellStyle name="Porcen - Modelo3 4" xfId="257"/>
    <cellStyle name="Porcen - Modelo3 5" xfId="258"/>
    <cellStyle name="Porcen - Modelo3 6" xfId="259"/>
    <cellStyle name="Porcen - Modelo3 7" xfId="260"/>
    <cellStyle name="Porcentaje" xfId="1205" builtinId="5"/>
    <cellStyle name="Porcentaje 2" xfId="261"/>
    <cellStyle name="Porcentaje 2 2" xfId="262"/>
    <cellStyle name="Porcentaje 3" xfId="263"/>
    <cellStyle name="Porcentaje 3 2" xfId="264"/>
    <cellStyle name="Porcentaje 4" xfId="265"/>
    <cellStyle name="Porcentual 2" xfId="266"/>
    <cellStyle name="Porcentual 2 2" xfId="267"/>
    <cellStyle name="Porcentual 3" xfId="268"/>
    <cellStyle name="Porcentual 4" xfId="269"/>
    <cellStyle name="Punto" xfId="270"/>
    <cellStyle name="Punto 2" xfId="271"/>
    <cellStyle name="Punto 3" xfId="272"/>
    <cellStyle name="Punto_Historico" xfId="273"/>
    <cellStyle name="Punto0" xfId="274"/>
    <cellStyle name="Punto1 - Modelo1" xfId="275"/>
    <cellStyle name="Punto1 - Modelo1 2" xfId="276"/>
    <cellStyle name="Resumen" xfId="277"/>
    <cellStyle name="Resumen 2" xfId="278"/>
    <cellStyle name="Resumen 2 2" xfId="279"/>
    <cellStyle name="Resumen 2 3" xfId="280"/>
    <cellStyle name="Resumen 2 4" xfId="281"/>
    <cellStyle name="Resumen 2 5" xfId="282"/>
    <cellStyle name="Resumen 2 6" xfId="283"/>
    <cellStyle name="Resumen 3" xfId="284"/>
    <cellStyle name="Resumen 3 2" xfId="285"/>
    <cellStyle name="Resumen 3 3" xfId="286"/>
    <cellStyle name="Resumen 3 4" xfId="287"/>
    <cellStyle name="Resumen 3 5" xfId="288"/>
    <cellStyle name="Resumen 3 6" xfId="289"/>
    <cellStyle name="Resumen 4" xfId="290"/>
    <cellStyle name="Resumen 5" xfId="291"/>
    <cellStyle name="Resumen 6" xfId="292"/>
    <cellStyle name="Resumen 7" xfId="293"/>
    <cellStyle name="Resumen 8" xfId="294"/>
    <cellStyle name="Resumen_Historico" xfId="295"/>
    <cellStyle name="S0" xfId="296"/>
    <cellStyle name="S0 2" xfId="297"/>
    <cellStyle name="S0 3" xfId="298"/>
    <cellStyle name="S1" xfId="299"/>
    <cellStyle name="S1 2" xfId="300"/>
    <cellStyle name="S1 3" xfId="301"/>
    <cellStyle name="S2" xfId="302"/>
    <cellStyle name="S2 2" xfId="303"/>
    <cellStyle name="S2 3" xfId="304"/>
    <cellStyle name="S3" xfId="305"/>
    <cellStyle name="S3 2" xfId="306"/>
    <cellStyle name="S3 3" xfId="307"/>
    <cellStyle name="S4" xfId="308"/>
    <cellStyle name="S4 2" xfId="309"/>
    <cellStyle name="S4 3" xfId="310"/>
    <cellStyle name="S5" xfId="311"/>
    <cellStyle name="S5 2" xfId="312"/>
    <cellStyle name="S5 3" xfId="313"/>
    <cellStyle name="S6" xfId="314"/>
    <cellStyle name="S7" xfId="315"/>
    <cellStyle name="S8" xfId="316"/>
    <cellStyle name="S9" xfId="317"/>
    <cellStyle name="Text" xfId="318"/>
    <cellStyle name="Text 2" xfId="319"/>
    <cellStyle name="Text 3" xfId="320"/>
    <cellStyle name="Text_Historico" xfId="321"/>
    <cellStyle name="Total 2" xfId="322"/>
    <cellStyle name="Total 3" xfId="323"/>
    <cellStyle name="ДАТА" xfId="324"/>
    <cellStyle name="ДАТА 2" xfId="325"/>
    <cellStyle name="ДАТА 3" xfId="326"/>
    <cellStyle name="ДАТА_Historico" xfId="327"/>
    <cellStyle name="ДЕНЕЖНЫЙ_BOPENGC" xfId="328"/>
    <cellStyle name="ЗАГОЛОВОК1" xfId="329"/>
    <cellStyle name="ЗАГОЛОВОК1 2" xfId="330"/>
    <cellStyle name="ЗАГОЛОВОК1 3" xfId="331"/>
    <cellStyle name="ЗАГОЛОВОК1_Historico" xfId="332"/>
    <cellStyle name="ЗАГОЛОВОК2" xfId="333"/>
    <cellStyle name="ЗАГОЛОВОК2 2" xfId="334"/>
    <cellStyle name="ЗАГОЛОВОК2 3" xfId="335"/>
    <cellStyle name="ЗАГОЛОВОК2_Historico" xfId="336"/>
    <cellStyle name="ИТОГОВЫЙ" xfId="337"/>
    <cellStyle name="ИТОГОВЫЙ 2" xfId="338"/>
    <cellStyle name="ИТОГОВЫЙ 3" xfId="339"/>
    <cellStyle name="ИТОГОВЫЙ_Historico" xfId="340"/>
    <cellStyle name="Обычный_BOPENGC" xfId="341"/>
    <cellStyle name="ПРОЦЕНТНЫЙ_BOPENGC" xfId="342"/>
    <cellStyle name="ТЕКСТ" xfId="343"/>
    <cellStyle name="ТЕКСТ 2" xfId="344"/>
    <cellStyle name="ТЕКСТ 3" xfId="345"/>
    <cellStyle name="ТЕКСТ_Historico" xfId="346"/>
    <cellStyle name="ФИКСИРОВАННЫЙ" xfId="347"/>
    <cellStyle name="ФИКСИРОВАННЫЙ 2" xfId="348"/>
    <cellStyle name="ФИКСИРОВАННЫЙ 3" xfId="349"/>
    <cellStyle name="ФИКСИРОВАННЫЙ_Historico" xfId="350"/>
    <cellStyle name="ФИНАНСОВЫЙ_BOPENGC" xfId="351"/>
  </cellStyles>
  <dxfs count="0"/>
  <tableStyles count="0" defaultTableStyle="TableStyleMedium2" defaultPivotStyle="PivotStyleLight16"/>
  <colors>
    <mruColors>
      <color rgb="FF0D3F6A"/>
      <color rgb="FFEBA024"/>
      <color rgb="FF289B48"/>
      <color rgb="FFFF99FF"/>
      <color rgb="FF005EA2"/>
      <color rgb="FFD82F27"/>
      <color rgb="FFFFCC99"/>
      <color rgb="FFD31E4B"/>
      <color rgb="FF7F2A92"/>
      <color rgb="FFF2C81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lang="es-ES" sz="1400" b="0"/>
            </a:pPr>
            <a:r>
              <a:rPr lang="en-US" sz="1400" b="0"/>
              <a:t>TOTAL DE RECURSOS POR FUENTE DE FINANCIACIÓN  </a:t>
            </a:r>
          </a:p>
          <a:p>
            <a:pPr>
              <a:defRPr lang="es-ES" sz="1400" b="0"/>
            </a:pPr>
            <a:r>
              <a:rPr lang="en-US" sz="1400" b="0"/>
              <a:t>CUATRIENIO 2020-2023</a:t>
            </a:r>
          </a:p>
        </c:rich>
      </c:tx>
      <c:layout>
        <c:manualLayout>
          <c:xMode val="edge"/>
          <c:yMode val="edge"/>
          <c:x val="0.17719611101130908"/>
          <c:y val="3.1537028693177822E-2"/>
        </c:manualLayout>
      </c:layout>
      <c:overlay val="0"/>
      <c:spPr>
        <a:noFill/>
        <a:ln>
          <a:noFill/>
        </a:ln>
        <a:effectLst/>
      </c:spPr>
    </c:title>
    <c:autoTitleDeleted val="0"/>
    <c:view3D>
      <c:rotX val="30"/>
      <c:rotY val="0"/>
      <c:depthPercent val="100"/>
      <c:rAngAx val="0"/>
      <c:perspective val="5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4"/>
          <c:order val="4"/>
          <c:tx>
            <c:strRef>
              <c:f>'RESUMEN PLAN FINANCIERO (2)'!$O$10</c:f>
              <c:strCache>
                <c:ptCount val="1"/>
                <c:pt idx="0">
                  <c:v>TOTAL CUATRIENIO</c:v>
                </c:pt>
              </c:strCache>
            </c:strRef>
          </c:tx>
          <c:dPt>
            <c:idx val="0"/>
            <c:bubble3D val="0"/>
            <c:spPr>
              <a:gradFill>
                <a:gsLst>
                  <a:gs pos="100000">
                    <a:schemeClr val="accent1">
                      <a:lumMod val="60000"/>
                      <a:lumOff val="40000"/>
                    </a:schemeClr>
                  </a:gs>
                  <a:gs pos="0">
                    <a:schemeClr val="accent1"/>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01-2627-4857-9925-DE4C1C7F44BA}"/>
              </c:ext>
            </c:extLst>
          </c:dPt>
          <c:dPt>
            <c:idx val="1"/>
            <c:bubble3D val="0"/>
            <c:spPr>
              <a:gradFill>
                <a:gsLst>
                  <a:gs pos="100000">
                    <a:schemeClr val="accent2">
                      <a:lumMod val="60000"/>
                      <a:lumOff val="40000"/>
                    </a:schemeClr>
                  </a:gs>
                  <a:gs pos="0">
                    <a:schemeClr val="accent2"/>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03-2627-4857-9925-DE4C1C7F44BA}"/>
              </c:ext>
            </c:extLst>
          </c:dPt>
          <c:dPt>
            <c:idx val="2"/>
            <c:bubble3D val="0"/>
            <c:spPr>
              <a:gradFill>
                <a:gsLst>
                  <a:gs pos="100000">
                    <a:schemeClr val="accent3">
                      <a:lumMod val="60000"/>
                      <a:lumOff val="40000"/>
                    </a:schemeClr>
                  </a:gs>
                  <a:gs pos="0">
                    <a:schemeClr val="accent3"/>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05-2627-4857-9925-DE4C1C7F44BA}"/>
              </c:ext>
            </c:extLst>
          </c:dPt>
          <c:dPt>
            <c:idx val="3"/>
            <c:bubble3D val="0"/>
            <c:spPr>
              <a:gradFill>
                <a:gsLst>
                  <a:gs pos="100000">
                    <a:schemeClr val="accent4">
                      <a:lumMod val="60000"/>
                      <a:lumOff val="40000"/>
                    </a:schemeClr>
                  </a:gs>
                  <a:gs pos="0">
                    <a:schemeClr val="accent4"/>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07-2627-4857-9925-DE4C1C7F44BA}"/>
              </c:ext>
            </c:extLst>
          </c:dPt>
          <c:dPt>
            <c:idx val="4"/>
            <c:bubble3D val="0"/>
            <c:spPr>
              <a:gradFill>
                <a:gsLst>
                  <a:gs pos="100000">
                    <a:schemeClr val="accent5">
                      <a:lumMod val="60000"/>
                      <a:lumOff val="40000"/>
                    </a:schemeClr>
                  </a:gs>
                  <a:gs pos="0">
                    <a:schemeClr val="accent5"/>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09-2627-4857-9925-DE4C1C7F44BA}"/>
              </c:ext>
            </c:extLst>
          </c:dPt>
          <c:dPt>
            <c:idx val="5"/>
            <c:bubble3D val="0"/>
            <c:spPr>
              <a:gradFill>
                <a:gsLst>
                  <a:gs pos="100000">
                    <a:schemeClr val="accent6">
                      <a:lumMod val="60000"/>
                      <a:lumOff val="40000"/>
                    </a:schemeClr>
                  </a:gs>
                  <a:gs pos="0">
                    <a:schemeClr val="accent6"/>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0B-2627-4857-9925-DE4C1C7F44BA}"/>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50800">
                <a:solidFill>
                  <a:schemeClr val="lt1"/>
                </a:solidFill>
              </a:ln>
              <a:effectLst/>
              <a:sp3d contourW="50800">
                <a:contourClr>
                  <a:schemeClr val="lt1"/>
                </a:contourClr>
              </a:sp3d>
            </c:spPr>
          </c:dPt>
          <c:dLbls>
            <c:spPr>
              <a:noFill/>
              <a:ln>
                <a:noFill/>
              </a:ln>
              <a:effectLst/>
            </c:spPr>
            <c:txPr>
              <a:bodyPr rot="0" vert="horz"/>
              <a:lstStyle/>
              <a:p>
                <a:pPr>
                  <a:defRPr lang="es-ES"/>
                </a:pPr>
                <a:endParaRPr lang="es-CO"/>
              </a:p>
            </c:txPr>
            <c:dLblPos val="bestFit"/>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extLst>
                <c:ext xmlns:c15="http://schemas.microsoft.com/office/drawing/2012/chart" uri="{02D57815-91ED-43cb-92C2-25804820EDAC}">
                  <c15:fullRef>
                    <c15:sqref>'RESUMEN PLAN FINANCIERO (2)'!$J$11:$J$20</c15:sqref>
                  </c15:fullRef>
                </c:ext>
              </c:extLst>
              <c:f>('RESUMEN PLAN FINANCIERO (2)'!$J$11:$J$16,'RESUMEN PLAN FINANCIERO (2)'!$J$18)</c:f>
              <c:strCache>
                <c:ptCount val="7"/>
                <c:pt idx="0">
                  <c:v> RECURSOS PROPIOS (INGRESOS CORRIENTES DE LIBRE DESTINACION - ICLD)</c:v>
                </c:pt>
                <c:pt idx="1">
                  <c:v> RECURSOS PROPIOS (INGRESOS CORRIENTES DE DESTINACION ESPECIFICA)</c:v>
                </c:pt>
                <c:pt idx="2">
                  <c:v> SISTEMA GENERAL DE PARTICIPACIONES (SGP EDUCACIÓN)</c:v>
                </c:pt>
                <c:pt idx="3">
                  <c:v> SISTEMA GENERAL DE PARTICIPACIONES (SGP AGUA POTABLE Y SANEAMIENTO BÁSICO)</c:v>
                </c:pt>
                <c:pt idx="4">
                  <c:v>SISTEMA GENERAL DE REGALÍAS (SGR)</c:v>
                </c:pt>
                <c:pt idx="5">
                  <c:v>RECURSOS  PROPIOS (OTROS- LIBRE INVERSION)</c:v>
                </c:pt>
                <c:pt idx="6">
                  <c:v> OTROS (COFINANCIACION)</c:v>
                </c:pt>
              </c:strCache>
            </c:strRef>
          </c:cat>
          <c:val>
            <c:numRef>
              <c:extLst>
                <c:ext xmlns:c15="http://schemas.microsoft.com/office/drawing/2012/chart" uri="{02D57815-91ED-43cb-92C2-25804820EDAC}">
                  <c15:fullRef>
                    <c15:sqref>'RESUMEN PLAN FINANCIERO (2)'!$O$11:$O$20</c15:sqref>
                  </c15:fullRef>
                </c:ext>
              </c:extLst>
              <c:f>('RESUMEN PLAN FINANCIERO (2)'!$O$11:$O$16,'RESUMEN PLAN FINANCIERO (2)'!$O$18)</c:f>
              <c:numCache>
                <c:formatCode>_("$"\ * #,##0.00_);_("$"\ * \(#,##0.00\);_("$"\ * "-"??_);_(@_)</c:formatCode>
                <c:ptCount val="7"/>
                <c:pt idx="0">
                  <c:v>35161496696.318298</c:v>
                </c:pt>
                <c:pt idx="1">
                  <c:v>121156123680.40001</c:v>
                </c:pt>
                <c:pt idx="2">
                  <c:v>751942854230.81787</c:v>
                </c:pt>
                <c:pt idx="3">
                  <c:v>11835000000</c:v>
                </c:pt>
                <c:pt idx="4">
                  <c:v>287626759570.97998</c:v>
                </c:pt>
                <c:pt idx="5">
                  <c:v>13838866201.389999</c:v>
                </c:pt>
                <c:pt idx="6">
                  <c:v>217546304145.9285</c:v>
                </c:pt>
              </c:numCache>
            </c:numRef>
          </c:val>
          <c:extLst xmlns:c16r2="http://schemas.microsoft.com/office/drawing/2015/06/chart">
            <c:ext xmlns:c16="http://schemas.microsoft.com/office/drawing/2014/chart" uri="{C3380CC4-5D6E-409C-BE32-E72D297353CC}">
              <c16:uniqueId val="{0000000E-2627-4857-9925-DE4C1C7F44BA}"/>
            </c:ext>
            <c:ext xmlns:c15="http://schemas.microsoft.com/office/drawing/2012/chart" uri="{02D57815-91ED-43cb-92C2-25804820EDAC}">
              <c15:categoryFilterExceptions>
                <c15:categoryFilterException>
                  <c15:sqref>'RESUMEN PLAN FINANCIERO (2)'!$O$19</c15:sqref>
                  <c15:spPr xmlns:c15="http://schemas.microsoft.com/office/drawing/2012/chart">
                    <a:gradFill>
                      <a:gsLst>
                        <a:gs pos="100000">
                          <a:schemeClr val="accent2">
                            <a:lumMod val="60000"/>
                            <a:lumMod val="60000"/>
                            <a:lumOff val="40000"/>
                          </a:schemeClr>
                        </a:gs>
                        <a:gs pos="0">
                          <a:schemeClr val="accent2">
                            <a:lumMod val="60000"/>
                          </a:schemeClr>
                        </a:gs>
                      </a:gsLst>
                      <a:lin ang="5400000" scaled="0"/>
                    </a:gradFill>
                    <a:ln w="50800">
                      <a:solidFill>
                        <a:schemeClr val="lt1"/>
                      </a:solidFill>
                    </a:ln>
                    <a:effectLst/>
                    <a:sp3d contourW="50800">
                      <a:contourClr>
                        <a:schemeClr val="lt1"/>
                      </a:contourClr>
                    </a:sp3d>
                  </c15:spPr>
                  <c15:bubble3D val="0"/>
                </c15:categoryFilterException>
              </c15:categoryFilterExceptions>
            </c:ext>
          </c:extLst>
        </c:ser>
        <c:dLbls>
          <c:showLegendKey val="0"/>
          <c:showVal val="1"/>
          <c:showCatName val="0"/>
          <c:showSerName val="0"/>
          <c:showPercent val="0"/>
          <c:showBubbleSize val="0"/>
          <c:showLeaderLines val="1"/>
        </c:dLbls>
        <c:extLst xmlns:c16r2="http://schemas.microsoft.com/office/drawing/2015/06/chart">
          <c:ext xmlns:c15="http://schemas.microsoft.com/office/drawing/2012/chart" uri="{02D57815-91ED-43cb-92C2-25804820EDAC}">
            <c15:filteredPieSeries>
              <c15:ser>
                <c:idx val="0"/>
                <c:order val="0"/>
                <c:tx>
                  <c:strRef>
                    <c:extLst xmlns:c16r2="http://schemas.microsoft.com/office/drawing/2015/06/chart">
                      <c:ext uri="{02D57815-91ED-43cb-92C2-25804820EDAC}">
                        <c15:formulaRef>
                          <c15:sqref>'RESUMEN PLAN FINANCIERO (2)'!$K$10</c15:sqref>
                        </c15:formulaRef>
                      </c:ext>
                    </c:extLst>
                    <c:strCache>
                      <c:ptCount val="1"/>
                      <c:pt idx="0">
                        <c:v>2020</c:v>
                      </c:pt>
                    </c:strCache>
                  </c:strRef>
                </c:tx>
                <c:dPt>
                  <c:idx val="0"/>
                  <c:bubble3D val="0"/>
                  <c:spPr>
                    <a:gradFill>
                      <a:gsLst>
                        <a:gs pos="100000">
                          <a:schemeClr val="accent1">
                            <a:lumMod val="60000"/>
                            <a:lumOff val="40000"/>
                          </a:schemeClr>
                        </a:gs>
                        <a:gs pos="0">
                          <a:schemeClr val="accent1"/>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10-2627-4857-9925-DE4C1C7F44BA}"/>
                    </c:ext>
                  </c:extLst>
                </c:dPt>
                <c:dPt>
                  <c:idx val="1"/>
                  <c:bubble3D val="0"/>
                  <c:spPr>
                    <a:gradFill>
                      <a:gsLst>
                        <a:gs pos="100000">
                          <a:schemeClr val="accent2">
                            <a:lumMod val="60000"/>
                            <a:lumOff val="40000"/>
                          </a:schemeClr>
                        </a:gs>
                        <a:gs pos="0">
                          <a:schemeClr val="accent2"/>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12-2627-4857-9925-DE4C1C7F44BA}"/>
                    </c:ext>
                  </c:extLst>
                </c:dPt>
                <c:dPt>
                  <c:idx val="2"/>
                  <c:bubble3D val="0"/>
                  <c:spPr>
                    <a:gradFill>
                      <a:gsLst>
                        <a:gs pos="100000">
                          <a:schemeClr val="accent3">
                            <a:lumMod val="60000"/>
                            <a:lumOff val="40000"/>
                          </a:schemeClr>
                        </a:gs>
                        <a:gs pos="0">
                          <a:schemeClr val="accent3"/>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14-2627-4857-9925-DE4C1C7F44BA}"/>
                    </c:ext>
                  </c:extLst>
                </c:dPt>
                <c:dPt>
                  <c:idx val="3"/>
                  <c:bubble3D val="0"/>
                  <c:spPr>
                    <a:gradFill>
                      <a:gsLst>
                        <a:gs pos="100000">
                          <a:schemeClr val="accent4">
                            <a:lumMod val="60000"/>
                            <a:lumOff val="40000"/>
                          </a:schemeClr>
                        </a:gs>
                        <a:gs pos="0">
                          <a:schemeClr val="accent4"/>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16-2627-4857-9925-DE4C1C7F44BA}"/>
                    </c:ext>
                  </c:extLst>
                </c:dPt>
                <c:dPt>
                  <c:idx val="4"/>
                  <c:bubble3D val="0"/>
                  <c:spPr>
                    <a:gradFill>
                      <a:gsLst>
                        <a:gs pos="100000">
                          <a:schemeClr val="accent5">
                            <a:lumMod val="60000"/>
                            <a:lumOff val="40000"/>
                          </a:schemeClr>
                        </a:gs>
                        <a:gs pos="0">
                          <a:schemeClr val="accent5"/>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18-2627-4857-9925-DE4C1C7F44BA}"/>
                    </c:ext>
                  </c:extLst>
                </c:dPt>
                <c:dPt>
                  <c:idx val="5"/>
                  <c:bubble3D val="0"/>
                  <c:spPr>
                    <a:gradFill>
                      <a:gsLst>
                        <a:gs pos="100000">
                          <a:schemeClr val="accent6">
                            <a:lumMod val="60000"/>
                            <a:lumOff val="40000"/>
                          </a:schemeClr>
                        </a:gs>
                        <a:gs pos="0">
                          <a:schemeClr val="accent6"/>
                        </a:gs>
                      </a:gsLst>
                      <a:lin ang="5400000" scaled="0"/>
                    </a:gradFill>
                    <a:ln w="50800">
                      <a:solidFill>
                        <a:schemeClr val="lt1"/>
                      </a:solidFill>
                    </a:ln>
                    <a:effectLst/>
                    <a:sp3d contourW="50800">
                      <a:contourClr>
                        <a:schemeClr val="lt1"/>
                      </a:contourClr>
                    </a:sp3d>
                  </c:spPr>
                  <c:extLst xmlns:c16r2="http://schemas.microsoft.com/office/drawing/2015/06/chart">
                    <c:ext xmlns:c16="http://schemas.microsoft.com/office/drawing/2014/chart" uri="{C3380CC4-5D6E-409C-BE32-E72D297353CC}">
                      <c16:uniqueId val="{0000001A-2627-4857-9925-DE4C1C7F44BA}"/>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50800">
                      <a:solidFill>
                        <a:schemeClr val="lt1"/>
                      </a:solidFill>
                    </a:ln>
                    <a:effectLst/>
                    <a:sp3d contourW="50800">
                      <a:contourClr>
                        <a:schemeClr val="lt1"/>
                      </a:contourClr>
                    </a:sp3d>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xmlns:c16r2="http://schemas.microsoft.com/office/drawing/2015/06/chart">
                    <c:ext uri="{CE6537A1-D6FC-4f65-9D91-7224C49458BB}"/>
                  </c:extLst>
                </c:dLbls>
                <c:cat>
                  <c:strRef>
                    <c:extLst>
                      <c:ext uri="{02D57815-91ED-43cb-92C2-25804820EDAC}">
                        <c15:fullRef>
                          <c15:sqref>'RESUMEN PLAN FINANCIERO (2)'!$J$11:$J$20</c15:sqref>
                        </c15:fullRef>
                        <c15:formulaRef>
                          <c15:sqref>('RESUMEN PLAN FINANCIERO (2)'!$J$11:$J$16,'RESUMEN PLAN FINANCIERO (2)'!$J$18)</c15:sqref>
                        </c15:formulaRef>
                      </c:ext>
                    </c:extLst>
                    <c:strCache>
                      <c:ptCount val="7"/>
                      <c:pt idx="0">
                        <c:v> RECURSOS PROPIOS (INGRESOS CORRIENTES DE LIBRE DESTINACION - ICLD)</c:v>
                      </c:pt>
                      <c:pt idx="1">
                        <c:v> RECURSOS PROPIOS (INGRESOS CORRIENTES DE DESTINACION ESPECIFICA)</c:v>
                      </c:pt>
                      <c:pt idx="2">
                        <c:v> SISTEMA GENERAL DE PARTICIPACIONES (SGP EDUCACIÓN)</c:v>
                      </c:pt>
                      <c:pt idx="3">
                        <c:v> SISTEMA GENERAL DE PARTICIPACIONES (SGP AGUA POTABLE Y SANEAMIENTO BÁSICO)</c:v>
                      </c:pt>
                      <c:pt idx="4">
                        <c:v>SISTEMA GENERAL DE REGALÍAS (SGR)</c:v>
                      </c:pt>
                      <c:pt idx="5">
                        <c:v>RECURSOS  PROPIOS (OTROS- LIBRE INVERSION)</c:v>
                      </c:pt>
                      <c:pt idx="6">
                        <c:v> OTROS (COFINANCIACION)</c:v>
                      </c:pt>
                    </c:strCache>
                  </c:strRef>
                </c:cat>
                <c:val>
                  <c:numRef>
                    <c:extLst>
                      <c:ext uri="{02D57815-91ED-43cb-92C2-25804820EDAC}">
                        <c15:fullRef>
                          <c15:sqref>'RESUMEN PLAN FINANCIERO (2)'!$K$11:$K$20</c15:sqref>
                        </c15:fullRef>
                        <c15:formulaRef>
                          <c15:sqref>('RESUMEN PLAN FINANCIERO (2)'!$K$11:$K$16,'RESUMEN PLAN FINANCIERO (2)'!$K$18)</c15:sqref>
                        </c15:formulaRef>
                      </c:ext>
                    </c:extLst>
                    <c:numCache>
                      <c:formatCode>_("$"\ * #,##0.00_);_("$"\ * \(#,##0.00\);_("$"\ * "-"??_);_(@_)</c:formatCode>
                      <c:ptCount val="7"/>
                      <c:pt idx="0">
                        <c:v>11063852712.559999</c:v>
                      </c:pt>
                      <c:pt idx="1">
                        <c:v>40002012821.379997</c:v>
                      </c:pt>
                      <c:pt idx="2">
                        <c:v>185189380379</c:v>
                      </c:pt>
                      <c:pt idx="3">
                        <c:v>2851000000</c:v>
                      </c:pt>
                      <c:pt idx="4">
                        <c:v>69795245962.980011</c:v>
                      </c:pt>
                      <c:pt idx="5">
                        <c:v>11514376768.389999</c:v>
                      </c:pt>
                      <c:pt idx="6">
                        <c:v>36873071310.555298</c:v>
                      </c:pt>
                    </c:numCache>
                  </c:numRef>
                </c:val>
                <c:extLst xmlns:c16r2="http://schemas.microsoft.com/office/drawing/2015/06/chart">
                  <c:ext xmlns:c16="http://schemas.microsoft.com/office/drawing/2014/chart" uri="{C3380CC4-5D6E-409C-BE32-E72D297353CC}">
                    <c16:uniqueId val="{0000001D-2627-4857-9925-DE4C1C7F44BA}"/>
                  </c:ext>
                  <c:ext uri="{02D57815-91ED-43cb-92C2-25804820EDAC}">
                    <c15:categoryFilterExceptions>
                      <c15:categoryFilterException>
                        <c15:sqref>'RESUMEN PLAN FINANCIERO (2)'!$K$19</c15:sqref>
                        <c15:spPr xmlns:c15="http://schemas.microsoft.com/office/drawing/2012/chart">
                          <a:gradFill>
                            <a:gsLst>
                              <a:gs pos="100000">
                                <a:schemeClr val="accent2">
                                  <a:lumMod val="60000"/>
                                  <a:lumMod val="60000"/>
                                  <a:lumOff val="40000"/>
                                </a:schemeClr>
                              </a:gs>
                              <a:gs pos="0">
                                <a:schemeClr val="accent2">
                                  <a:lumMod val="60000"/>
                                </a:schemeClr>
                              </a:gs>
                            </a:gsLst>
                            <a:lin ang="5400000" scaled="0"/>
                          </a:gradFill>
                          <a:ln w="50800">
                            <a:solidFill>
                              <a:schemeClr val="lt1"/>
                            </a:solidFill>
                          </a:ln>
                          <a:effectLst/>
                          <a:sp3d contourW="50800">
                            <a:contourClr>
                              <a:schemeClr val="lt1"/>
                            </a:contourClr>
                          </a:sp3d>
                        </c15:spPr>
                        <c15:bubble3D val="0"/>
                      </c15:categoryFilterException>
                    </c15:categoryFilterExceptions>
                  </c:ext>
                </c:extLst>
              </c15:ser>
            </c15:filteredPieSeries>
            <c15:filteredPieSeries>
              <c15:ser>
                <c:idx val="1"/>
                <c:order val="1"/>
                <c:tx>
                  <c:strRef>
                    <c:extLst xmlns:c16r2="http://schemas.microsoft.com/office/drawing/2015/06/chart" xmlns:c15="http://schemas.microsoft.com/office/drawing/2012/chart">
                      <c:ext xmlns:c15="http://schemas.microsoft.com/office/drawing/2012/chart" uri="{02D57815-91ED-43cb-92C2-25804820EDAC}">
                        <c15:formulaRef>
                          <c15:sqref>'RESUMEN PLAN FINANCIERO (2)'!$L$10</c15:sqref>
                        </c15:formulaRef>
                      </c:ext>
                    </c:extLst>
                    <c:strCache>
                      <c:ptCount val="1"/>
                      <c:pt idx="0">
                        <c:v>2021</c:v>
                      </c:pt>
                    </c:strCache>
                  </c:strRef>
                </c:tx>
                <c:dPt>
                  <c:idx val="0"/>
                  <c:bubble3D val="0"/>
                  <c:spPr>
                    <a:gradFill>
                      <a:gsLst>
                        <a:gs pos="100000">
                          <a:schemeClr val="accent1">
                            <a:lumMod val="60000"/>
                            <a:lumOff val="40000"/>
                          </a:schemeClr>
                        </a:gs>
                        <a:gs pos="0">
                          <a:schemeClr val="accent1"/>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1F-2627-4857-9925-DE4C1C7F44BA}"/>
                    </c:ext>
                  </c:extLst>
                </c:dPt>
                <c:dPt>
                  <c:idx val="1"/>
                  <c:bubble3D val="0"/>
                  <c:spPr>
                    <a:gradFill>
                      <a:gsLst>
                        <a:gs pos="100000">
                          <a:schemeClr val="accent2">
                            <a:lumMod val="60000"/>
                            <a:lumOff val="40000"/>
                          </a:schemeClr>
                        </a:gs>
                        <a:gs pos="0">
                          <a:schemeClr val="accent2"/>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21-2627-4857-9925-DE4C1C7F44BA}"/>
                    </c:ext>
                  </c:extLst>
                </c:dPt>
                <c:dPt>
                  <c:idx val="2"/>
                  <c:bubble3D val="0"/>
                  <c:spPr>
                    <a:gradFill>
                      <a:gsLst>
                        <a:gs pos="100000">
                          <a:schemeClr val="accent3">
                            <a:lumMod val="60000"/>
                            <a:lumOff val="40000"/>
                          </a:schemeClr>
                        </a:gs>
                        <a:gs pos="0">
                          <a:schemeClr val="accent3"/>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23-2627-4857-9925-DE4C1C7F44BA}"/>
                    </c:ext>
                  </c:extLst>
                </c:dPt>
                <c:dPt>
                  <c:idx val="3"/>
                  <c:bubble3D val="0"/>
                  <c:spPr>
                    <a:gradFill>
                      <a:gsLst>
                        <a:gs pos="100000">
                          <a:schemeClr val="accent4">
                            <a:lumMod val="60000"/>
                            <a:lumOff val="40000"/>
                          </a:schemeClr>
                        </a:gs>
                        <a:gs pos="0">
                          <a:schemeClr val="accent4"/>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25-2627-4857-9925-DE4C1C7F44BA}"/>
                    </c:ext>
                  </c:extLst>
                </c:dPt>
                <c:dPt>
                  <c:idx val="4"/>
                  <c:bubble3D val="0"/>
                  <c:spPr>
                    <a:gradFill>
                      <a:gsLst>
                        <a:gs pos="100000">
                          <a:schemeClr val="accent5">
                            <a:lumMod val="60000"/>
                            <a:lumOff val="40000"/>
                          </a:schemeClr>
                        </a:gs>
                        <a:gs pos="0">
                          <a:schemeClr val="accent5"/>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27-2627-4857-9925-DE4C1C7F44BA}"/>
                    </c:ext>
                  </c:extLst>
                </c:dPt>
                <c:dPt>
                  <c:idx val="5"/>
                  <c:bubble3D val="0"/>
                  <c:spPr>
                    <a:gradFill>
                      <a:gsLst>
                        <a:gs pos="100000">
                          <a:schemeClr val="accent6">
                            <a:lumMod val="60000"/>
                            <a:lumOff val="40000"/>
                          </a:schemeClr>
                        </a:gs>
                        <a:gs pos="0">
                          <a:schemeClr val="accent6"/>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29-2627-4857-9925-DE4C1C7F44BA}"/>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50800">
                      <a:solidFill>
                        <a:schemeClr val="lt1"/>
                      </a:solidFill>
                    </a:ln>
                    <a:effectLst/>
                    <a:sp3d contourW="50800">
                      <a:contourClr>
                        <a:schemeClr val="lt1"/>
                      </a:contourClr>
                    </a:sp3d>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xmlns:c16r2="http://schemas.microsoft.com/office/drawing/2015/06/char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ullRef>
                          <c15:sqref>'RESUMEN PLAN FINANCIERO (2)'!$J$11:$J$20</c15:sqref>
                        </c15:fullRef>
                        <c15:formulaRef>
                          <c15:sqref>('RESUMEN PLAN FINANCIERO (2)'!$J$11:$J$16,'RESUMEN PLAN FINANCIERO (2)'!$J$18)</c15:sqref>
                        </c15:formulaRef>
                      </c:ext>
                    </c:extLst>
                    <c:strCache>
                      <c:ptCount val="7"/>
                      <c:pt idx="0">
                        <c:v> RECURSOS PROPIOS (INGRESOS CORRIENTES DE LIBRE DESTINACION - ICLD)</c:v>
                      </c:pt>
                      <c:pt idx="1">
                        <c:v> RECURSOS PROPIOS (INGRESOS CORRIENTES DE DESTINACION ESPECIFICA)</c:v>
                      </c:pt>
                      <c:pt idx="2">
                        <c:v> SISTEMA GENERAL DE PARTICIPACIONES (SGP EDUCACIÓN)</c:v>
                      </c:pt>
                      <c:pt idx="3">
                        <c:v> SISTEMA GENERAL DE PARTICIPACIONES (SGP AGUA POTABLE Y SANEAMIENTO BÁSICO)</c:v>
                      </c:pt>
                      <c:pt idx="4">
                        <c:v>SISTEMA GENERAL DE REGALÍAS (SGR)</c:v>
                      </c:pt>
                      <c:pt idx="5">
                        <c:v>RECURSOS  PROPIOS (OTROS- LIBRE INVERSION)</c:v>
                      </c:pt>
                      <c:pt idx="6">
                        <c:v> OTROS (COFINANCIACION)</c:v>
                      </c:pt>
                    </c:strCache>
                  </c:strRef>
                </c:cat>
                <c:val>
                  <c:numRef>
                    <c:extLst>
                      <c:ext xmlns:c15="http://schemas.microsoft.com/office/drawing/2012/chart" uri="{02D57815-91ED-43cb-92C2-25804820EDAC}">
                        <c15:fullRef>
                          <c15:sqref>'RESUMEN PLAN FINANCIERO (2)'!$L$11:$L$20</c15:sqref>
                        </c15:fullRef>
                        <c15:formulaRef>
                          <c15:sqref>('RESUMEN PLAN FINANCIERO (2)'!$L$11:$L$16,'RESUMEN PLAN FINANCIERO (2)'!$L$18)</c15:sqref>
                        </c15:formulaRef>
                      </c:ext>
                    </c:extLst>
                    <c:numCache>
                      <c:formatCode>_("$"\ * #,##0.00_);_("$"\ * \(#,##0.00\);_("$"\ * "-"??_);_(@_)</c:formatCode>
                      <c:ptCount val="7"/>
                      <c:pt idx="0">
                        <c:v>7733581683.71</c:v>
                      </c:pt>
                      <c:pt idx="1">
                        <c:v>30830087800</c:v>
                      </c:pt>
                      <c:pt idx="2">
                        <c:v>187041300600.41428</c:v>
                      </c:pt>
                      <c:pt idx="3">
                        <c:v>2921000000</c:v>
                      </c:pt>
                      <c:pt idx="4">
                        <c:v>74167306604</c:v>
                      </c:pt>
                      <c:pt idx="5">
                        <c:v>1061410700</c:v>
                      </c:pt>
                      <c:pt idx="6">
                        <c:v>65132511125.323196</c:v>
                      </c:pt>
                    </c:numCache>
                  </c:numRef>
                </c:val>
                <c:extLst xmlns:c16r2="http://schemas.microsoft.com/office/drawing/2015/06/chart" xmlns:c15="http://schemas.microsoft.com/office/drawing/2012/chart">
                  <c:ext xmlns:c16="http://schemas.microsoft.com/office/drawing/2014/chart" uri="{C3380CC4-5D6E-409C-BE32-E72D297353CC}">
                    <c16:uniqueId val="{0000002C-2627-4857-9925-DE4C1C7F44BA}"/>
                  </c:ext>
                  <c:ext xmlns:c15="http://schemas.microsoft.com/office/drawing/2012/chart" uri="{02D57815-91ED-43cb-92C2-25804820EDAC}">
                    <c15:categoryFilterExceptions>
                      <c15:categoryFilterException>
                        <c15:sqref>'RESUMEN PLAN FINANCIERO (2)'!$L$19</c15:sqref>
                        <c15:spPr xmlns:c15="http://schemas.microsoft.com/office/drawing/2012/chart">
                          <a:gradFill>
                            <a:gsLst>
                              <a:gs pos="100000">
                                <a:schemeClr val="accent2">
                                  <a:lumMod val="60000"/>
                                  <a:lumMod val="60000"/>
                                  <a:lumOff val="40000"/>
                                </a:schemeClr>
                              </a:gs>
                              <a:gs pos="0">
                                <a:schemeClr val="accent2">
                                  <a:lumMod val="60000"/>
                                </a:schemeClr>
                              </a:gs>
                            </a:gsLst>
                            <a:lin ang="5400000" scaled="0"/>
                          </a:gradFill>
                          <a:ln w="50800">
                            <a:solidFill>
                              <a:schemeClr val="lt1"/>
                            </a:solidFill>
                          </a:ln>
                          <a:effectLst/>
                          <a:sp3d contourW="50800">
                            <a:contourClr>
                              <a:schemeClr val="lt1"/>
                            </a:contourClr>
                          </a:sp3d>
                        </c15:spPr>
                        <c15:bubble3D val="0"/>
                      </c15:categoryFilterException>
                    </c15:categoryFilterExceptions>
                  </c:ext>
                </c:extLst>
              </c15:ser>
            </c15:filteredPieSeries>
            <c15:filteredPieSeries>
              <c15:ser>
                <c:idx val="2"/>
                <c:order val="2"/>
                <c:tx>
                  <c:strRef>
                    <c:extLst xmlns:c16r2="http://schemas.microsoft.com/office/drawing/2015/06/chart" xmlns:c15="http://schemas.microsoft.com/office/drawing/2012/chart">
                      <c:ext xmlns:c15="http://schemas.microsoft.com/office/drawing/2012/chart" uri="{02D57815-91ED-43cb-92C2-25804820EDAC}">
                        <c15:formulaRef>
                          <c15:sqref>'RESUMEN PLAN FINANCIERO (2)'!$M$10</c15:sqref>
                        </c15:formulaRef>
                      </c:ext>
                    </c:extLst>
                    <c:strCache>
                      <c:ptCount val="1"/>
                      <c:pt idx="0">
                        <c:v>2022</c:v>
                      </c:pt>
                    </c:strCache>
                  </c:strRef>
                </c:tx>
                <c:dPt>
                  <c:idx val="0"/>
                  <c:bubble3D val="0"/>
                  <c:spPr>
                    <a:gradFill>
                      <a:gsLst>
                        <a:gs pos="100000">
                          <a:schemeClr val="accent1">
                            <a:lumMod val="60000"/>
                            <a:lumOff val="40000"/>
                          </a:schemeClr>
                        </a:gs>
                        <a:gs pos="0">
                          <a:schemeClr val="accent1"/>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2E-2627-4857-9925-DE4C1C7F44BA}"/>
                    </c:ext>
                  </c:extLst>
                </c:dPt>
                <c:dPt>
                  <c:idx val="1"/>
                  <c:bubble3D val="0"/>
                  <c:spPr>
                    <a:gradFill>
                      <a:gsLst>
                        <a:gs pos="100000">
                          <a:schemeClr val="accent2">
                            <a:lumMod val="60000"/>
                            <a:lumOff val="40000"/>
                          </a:schemeClr>
                        </a:gs>
                        <a:gs pos="0">
                          <a:schemeClr val="accent2"/>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30-2627-4857-9925-DE4C1C7F44BA}"/>
                    </c:ext>
                  </c:extLst>
                </c:dPt>
                <c:dPt>
                  <c:idx val="2"/>
                  <c:bubble3D val="0"/>
                  <c:spPr>
                    <a:gradFill>
                      <a:gsLst>
                        <a:gs pos="100000">
                          <a:schemeClr val="accent3">
                            <a:lumMod val="60000"/>
                            <a:lumOff val="40000"/>
                          </a:schemeClr>
                        </a:gs>
                        <a:gs pos="0">
                          <a:schemeClr val="accent3"/>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32-2627-4857-9925-DE4C1C7F44BA}"/>
                    </c:ext>
                  </c:extLst>
                </c:dPt>
                <c:dPt>
                  <c:idx val="3"/>
                  <c:bubble3D val="0"/>
                  <c:spPr>
                    <a:gradFill>
                      <a:gsLst>
                        <a:gs pos="100000">
                          <a:schemeClr val="accent4">
                            <a:lumMod val="60000"/>
                            <a:lumOff val="40000"/>
                          </a:schemeClr>
                        </a:gs>
                        <a:gs pos="0">
                          <a:schemeClr val="accent4"/>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34-2627-4857-9925-DE4C1C7F44BA}"/>
                    </c:ext>
                  </c:extLst>
                </c:dPt>
                <c:dPt>
                  <c:idx val="4"/>
                  <c:bubble3D val="0"/>
                  <c:spPr>
                    <a:gradFill>
                      <a:gsLst>
                        <a:gs pos="100000">
                          <a:schemeClr val="accent5">
                            <a:lumMod val="60000"/>
                            <a:lumOff val="40000"/>
                          </a:schemeClr>
                        </a:gs>
                        <a:gs pos="0">
                          <a:schemeClr val="accent5"/>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36-2627-4857-9925-DE4C1C7F44BA}"/>
                    </c:ext>
                  </c:extLst>
                </c:dPt>
                <c:dPt>
                  <c:idx val="5"/>
                  <c:bubble3D val="0"/>
                  <c:spPr>
                    <a:gradFill>
                      <a:gsLst>
                        <a:gs pos="100000">
                          <a:schemeClr val="accent6">
                            <a:lumMod val="60000"/>
                            <a:lumOff val="40000"/>
                          </a:schemeClr>
                        </a:gs>
                        <a:gs pos="0">
                          <a:schemeClr val="accent6"/>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38-2627-4857-9925-DE4C1C7F44BA}"/>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50800">
                      <a:solidFill>
                        <a:schemeClr val="lt1"/>
                      </a:solidFill>
                    </a:ln>
                    <a:effectLst/>
                    <a:sp3d contourW="50800">
                      <a:contourClr>
                        <a:schemeClr val="lt1"/>
                      </a:contourClr>
                    </a:sp3d>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xmlns:c16r2="http://schemas.microsoft.com/office/drawing/2015/06/char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ullRef>
                          <c15:sqref>'RESUMEN PLAN FINANCIERO (2)'!$J$11:$J$20</c15:sqref>
                        </c15:fullRef>
                        <c15:formulaRef>
                          <c15:sqref>('RESUMEN PLAN FINANCIERO (2)'!$J$11:$J$16,'RESUMEN PLAN FINANCIERO (2)'!$J$18)</c15:sqref>
                        </c15:formulaRef>
                      </c:ext>
                    </c:extLst>
                    <c:strCache>
                      <c:ptCount val="7"/>
                      <c:pt idx="0">
                        <c:v> RECURSOS PROPIOS (INGRESOS CORRIENTES DE LIBRE DESTINACION - ICLD)</c:v>
                      </c:pt>
                      <c:pt idx="1">
                        <c:v> RECURSOS PROPIOS (INGRESOS CORRIENTES DE DESTINACION ESPECIFICA)</c:v>
                      </c:pt>
                      <c:pt idx="2">
                        <c:v> SISTEMA GENERAL DE PARTICIPACIONES (SGP EDUCACIÓN)</c:v>
                      </c:pt>
                      <c:pt idx="3">
                        <c:v> SISTEMA GENERAL DE PARTICIPACIONES (SGP AGUA POTABLE Y SANEAMIENTO BÁSICO)</c:v>
                      </c:pt>
                      <c:pt idx="4">
                        <c:v>SISTEMA GENERAL DE REGALÍAS (SGR)</c:v>
                      </c:pt>
                      <c:pt idx="5">
                        <c:v>RECURSOS  PROPIOS (OTROS- LIBRE INVERSION)</c:v>
                      </c:pt>
                      <c:pt idx="6">
                        <c:v> OTROS (COFINANCIACION)</c:v>
                      </c:pt>
                    </c:strCache>
                  </c:strRef>
                </c:cat>
                <c:val>
                  <c:numRef>
                    <c:extLst>
                      <c:ext xmlns:c15="http://schemas.microsoft.com/office/drawing/2012/chart" uri="{02D57815-91ED-43cb-92C2-25804820EDAC}">
                        <c15:fullRef>
                          <c15:sqref>'RESUMEN PLAN FINANCIERO (2)'!$M$11:$M$20</c15:sqref>
                        </c15:fullRef>
                        <c15:formulaRef>
                          <c15:sqref>('RESUMEN PLAN FINANCIERO (2)'!$M$11:$M$16,'RESUMEN PLAN FINANCIERO (2)'!$M$18)</c15:sqref>
                        </c15:formulaRef>
                      </c:ext>
                    </c:extLst>
                    <c:numCache>
                      <c:formatCode>_("$"\ * #,##0.00_);_("$"\ * \(#,##0.00\);_("$"\ * "-"??_);_(@_)</c:formatCode>
                      <c:ptCount val="7"/>
                      <c:pt idx="0">
                        <c:v>8030397890</c:v>
                      </c:pt>
                      <c:pt idx="1">
                        <c:v>29404285074</c:v>
                      </c:pt>
                      <c:pt idx="2">
                        <c:v>188911583677.31885</c:v>
                      </c:pt>
                      <c:pt idx="3">
                        <c:v>2994000000</c:v>
                      </c:pt>
                      <c:pt idx="4">
                        <c:v>71300840834</c:v>
                      </c:pt>
                      <c:pt idx="5">
                        <c:v>742987490</c:v>
                      </c:pt>
                      <c:pt idx="6">
                        <c:v>56979832216.93</c:v>
                      </c:pt>
                    </c:numCache>
                  </c:numRef>
                </c:val>
                <c:extLst xmlns:c16r2="http://schemas.microsoft.com/office/drawing/2015/06/chart" xmlns:c15="http://schemas.microsoft.com/office/drawing/2012/chart">
                  <c:ext xmlns:c16="http://schemas.microsoft.com/office/drawing/2014/chart" uri="{C3380CC4-5D6E-409C-BE32-E72D297353CC}">
                    <c16:uniqueId val="{0000003B-2627-4857-9925-DE4C1C7F44BA}"/>
                  </c:ext>
                  <c:ext xmlns:c15="http://schemas.microsoft.com/office/drawing/2012/chart" uri="{02D57815-91ED-43cb-92C2-25804820EDAC}">
                    <c15:categoryFilterExceptions>
                      <c15:categoryFilterException>
                        <c15:sqref>'RESUMEN PLAN FINANCIERO (2)'!$M$19</c15:sqref>
                        <c15:spPr xmlns:c15="http://schemas.microsoft.com/office/drawing/2012/chart">
                          <a:gradFill>
                            <a:gsLst>
                              <a:gs pos="100000">
                                <a:schemeClr val="accent2">
                                  <a:lumMod val="60000"/>
                                  <a:lumMod val="60000"/>
                                  <a:lumOff val="40000"/>
                                </a:schemeClr>
                              </a:gs>
                              <a:gs pos="0">
                                <a:schemeClr val="accent2">
                                  <a:lumMod val="60000"/>
                                </a:schemeClr>
                              </a:gs>
                            </a:gsLst>
                            <a:lin ang="5400000" scaled="0"/>
                          </a:gradFill>
                          <a:ln w="50800">
                            <a:solidFill>
                              <a:schemeClr val="lt1"/>
                            </a:solidFill>
                          </a:ln>
                          <a:effectLst/>
                          <a:sp3d contourW="50800">
                            <a:contourClr>
                              <a:schemeClr val="lt1"/>
                            </a:contourClr>
                          </a:sp3d>
                        </c15:spPr>
                        <c15:bubble3D val="0"/>
                      </c15:categoryFilterException>
                    </c15:categoryFilterExceptions>
                  </c:ext>
                </c:extLst>
              </c15:ser>
            </c15:filteredPieSeries>
            <c15:filteredPieSeries>
              <c15:ser>
                <c:idx val="3"/>
                <c:order val="3"/>
                <c:tx>
                  <c:strRef>
                    <c:extLst xmlns:c16r2="http://schemas.microsoft.com/office/drawing/2015/06/chart" xmlns:c15="http://schemas.microsoft.com/office/drawing/2012/chart">
                      <c:ext xmlns:c15="http://schemas.microsoft.com/office/drawing/2012/chart" uri="{02D57815-91ED-43cb-92C2-25804820EDAC}">
                        <c15:formulaRef>
                          <c15:sqref>'RESUMEN PLAN FINANCIERO (2)'!$N$10</c15:sqref>
                        </c15:formulaRef>
                      </c:ext>
                    </c:extLst>
                    <c:strCache>
                      <c:ptCount val="1"/>
                      <c:pt idx="0">
                        <c:v>2023</c:v>
                      </c:pt>
                    </c:strCache>
                  </c:strRef>
                </c:tx>
                <c:dPt>
                  <c:idx val="0"/>
                  <c:bubble3D val="0"/>
                  <c:spPr>
                    <a:gradFill>
                      <a:gsLst>
                        <a:gs pos="100000">
                          <a:schemeClr val="accent1">
                            <a:lumMod val="60000"/>
                            <a:lumOff val="40000"/>
                          </a:schemeClr>
                        </a:gs>
                        <a:gs pos="0">
                          <a:schemeClr val="accent1"/>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3D-2627-4857-9925-DE4C1C7F44BA}"/>
                    </c:ext>
                  </c:extLst>
                </c:dPt>
                <c:dPt>
                  <c:idx val="1"/>
                  <c:bubble3D val="0"/>
                  <c:spPr>
                    <a:gradFill>
                      <a:gsLst>
                        <a:gs pos="100000">
                          <a:schemeClr val="accent2">
                            <a:lumMod val="60000"/>
                            <a:lumOff val="40000"/>
                          </a:schemeClr>
                        </a:gs>
                        <a:gs pos="0">
                          <a:schemeClr val="accent2"/>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3F-2627-4857-9925-DE4C1C7F44BA}"/>
                    </c:ext>
                  </c:extLst>
                </c:dPt>
                <c:dPt>
                  <c:idx val="2"/>
                  <c:bubble3D val="0"/>
                  <c:spPr>
                    <a:gradFill>
                      <a:gsLst>
                        <a:gs pos="100000">
                          <a:schemeClr val="accent3">
                            <a:lumMod val="60000"/>
                            <a:lumOff val="40000"/>
                          </a:schemeClr>
                        </a:gs>
                        <a:gs pos="0">
                          <a:schemeClr val="accent3"/>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41-2627-4857-9925-DE4C1C7F44BA}"/>
                    </c:ext>
                  </c:extLst>
                </c:dPt>
                <c:dPt>
                  <c:idx val="3"/>
                  <c:bubble3D val="0"/>
                  <c:spPr>
                    <a:gradFill>
                      <a:gsLst>
                        <a:gs pos="100000">
                          <a:schemeClr val="accent4">
                            <a:lumMod val="60000"/>
                            <a:lumOff val="40000"/>
                          </a:schemeClr>
                        </a:gs>
                        <a:gs pos="0">
                          <a:schemeClr val="accent4"/>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43-2627-4857-9925-DE4C1C7F44BA}"/>
                    </c:ext>
                  </c:extLst>
                </c:dPt>
                <c:dPt>
                  <c:idx val="4"/>
                  <c:bubble3D val="0"/>
                  <c:spPr>
                    <a:gradFill>
                      <a:gsLst>
                        <a:gs pos="100000">
                          <a:schemeClr val="accent5">
                            <a:lumMod val="60000"/>
                            <a:lumOff val="40000"/>
                          </a:schemeClr>
                        </a:gs>
                        <a:gs pos="0">
                          <a:schemeClr val="accent5"/>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45-2627-4857-9925-DE4C1C7F44BA}"/>
                    </c:ext>
                  </c:extLst>
                </c:dPt>
                <c:dPt>
                  <c:idx val="5"/>
                  <c:bubble3D val="0"/>
                  <c:spPr>
                    <a:gradFill>
                      <a:gsLst>
                        <a:gs pos="100000">
                          <a:schemeClr val="accent6">
                            <a:lumMod val="60000"/>
                            <a:lumOff val="40000"/>
                          </a:schemeClr>
                        </a:gs>
                        <a:gs pos="0">
                          <a:schemeClr val="accent6"/>
                        </a:gs>
                      </a:gsLst>
                      <a:lin ang="5400000" scaled="0"/>
                    </a:gradFill>
                    <a:ln w="50800">
                      <a:solidFill>
                        <a:schemeClr val="lt1"/>
                      </a:solidFill>
                    </a:ln>
                    <a:effectLst/>
                    <a:sp3d contourW="50800">
                      <a:contourClr>
                        <a:schemeClr val="lt1"/>
                      </a:contourClr>
                    </a:sp3d>
                  </c:spPr>
                  <c:extLst xmlns:c16r2="http://schemas.microsoft.com/office/drawing/2015/06/chart" xmlns:c15="http://schemas.microsoft.com/office/drawing/2012/chart">
                    <c:ext xmlns:c16="http://schemas.microsoft.com/office/drawing/2014/chart" uri="{C3380CC4-5D6E-409C-BE32-E72D297353CC}">
                      <c16:uniqueId val="{00000047-2627-4857-9925-DE4C1C7F44BA}"/>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50800">
                      <a:solidFill>
                        <a:schemeClr val="lt1"/>
                      </a:solidFill>
                    </a:ln>
                    <a:effectLst/>
                    <a:sp3d contourW="50800">
                      <a:contourClr>
                        <a:schemeClr val="lt1"/>
                      </a:contourClr>
                    </a:sp3d>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xmlns:c16r2="http://schemas.microsoft.com/office/drawing/2015/06/char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ullRef>
                          <c15:sqref>'RESUMEN PLAN FINANCIERO (2)'!$J$11:$J$20</c15:sqref>
                        </c15:fullRef>
                        <c15:formulaRef>
                          <c15:sqref>('RESUMEN PLAN FINANCIERO (2)'!$J$11:$J$16,'RESUMEN PLAN FINANCIERO (2)'!$J$18)</c15:sqref>
                        </c15:formulaRef>
                      </c:ext>
                    </c:extLst>
                    <c:strCache>
                      <c:ptCount val="7"/>
                      <c:pt idx="0">
                        <c:v> RECURSOS PROPIOS (INGRESOS CORRIENTES DE LIBRE DESTINACION - ICLD)</c:v>
                      </c:pt>
                      <c:pt idx="1">
                        <c:v> RECURSOS PROPIOS (INGRESOS CORRIENTES DE DESTINACION ESPECIFICA)</c:v>
                      </c:pt>
                      <c:pt idx="2">
                        <c:v> SISTEMA GENERAL DE PARTICIPACIONES (SGP EDUCACIÓN)</c:v>
                      </c:pt>
                      <c:pt idx="3">
                        <c:v> SISTEMA GENERAL DE PARTICIPACIONES (SGP AGUA POTABLE Y SANEAMIENTO BÁSICO)</c:v>
                      </c:pt>
                      <c:pt idx="4">
                        <c:v>SISTEMA GENERAL DE REGALÍAS (SGR)</c:v>
                      </c:pt>
                      <c:pt idx="5">
                        <c:v>RECURSOS  PROPIOS (OTROS- LIBRE INVERSION)</c:v>
                      </c:pt>
                      <c:pt idx="6">
                        <c:v> OTROS (COFINANCIACION)</c:v>
                      </c:pt>
                    </c:strCache>
                  </c:strRef>
                </c:cat>
                <c:val>
                  <c:numRef>
                    <c:extLst>
                      <c:ext xmlns:c15="http://schemas.microsoft.com/office/drawing/2012/chart" uri="{02D57815-91ED-43cb-92C2-25804820EDAC}">
                        <c15:fullRef>
                          <c15:sqref>'RESUMEN PLAN FINANCIERO (2)'!$N$11:$N$20</c15:sqref>
                        </c15:fullRef>
                        <c15:formulaRef>
                          <c15:sqref>('RESUMEN PLAN FINANCIERO (2)'!$N$11:$N$16,'RESUMEN PLAN FINANCIERO (2)'!$N$18)</c15:sqref>
                        </c15:formulaRef>
                      </c:ext>
                    </c:extLst>
                    <c:numCache>
                      <c:formatCode>_("$"\ * #,##0.00_);_("$"\ * \(#,##0.00\);_("$"\ * "-"??_);_(@_)</c:formatCode>
                      <c:ptCount val="7"/>
                      <c:pt idx="0">
                        <c:v>8333664410.0482998</c:v>
                      </c:pt>
                      <c:pt idx="1">
                        <c:v>20919737985.02</c:v>
                      </c:pt>
                      <c:pt idx="2">
                        <c:v>190800589574.08466</c:v>
                      </c:pt>
                      <c:pt idx="3">
                        <c:v>3069000000</c:v>
                      </c:pt>
                      <c:pt idx="4">
                        <c:v>72363366170</c:v>
                      </c:pt>
                      <c:pt idx="5">
                        <c:v>520091243</c:v>
                      </c:pt>
                      <c:pt idx="6">
                        <c:v>58560889493.119995</c:v>
                      </c:pt>
                    </c:numCache>
                  </c:numRef>
                </c:val>
                <c:extLst xmlns:c16r2="http://schemas.microsoft.com/office/drawing/2015/06/chart" xmlns:c15="http://schemas.microsoft.com/office/drawing/2012/chart">
                  <c:ext xmlns:c16="http://schemas.microsoft.com/office/drawing/2014/chart" uri="{C3380CC4-5D6E-409C-BE32-E72D297353CC}">
                    <c16:uniqueId val="{0000004A-2627-4857-9925-DE4C1C7F44BA}"/>
                  </c:ext>
                  <c:ext xmlns:c15="http://schemas.microsoft.com/office/drawing/2012/chart" uri="{02D57815-91ED-43cb-92C2-25804820EDAC}">
                    <c15:categoryFilterExceptions>
                      <c15:categoryFilterException>
                        <c15:sqref>'RESUMEN PLAN FINANCIERO (2)'!$N$19</c15:sqref>
                        <c15:spPr xmlns:c15="http://schemas.microsoft.com/office/drawing/2012/chart">
                          <a:gradFill>
                            <a:gsLst>
                              <a:gs pos="100000">
                                <a:schemeClr val="accent2">
                                  <a:lumMod val="60000"/>
                                  <a:lumMod val="60000"/>
                                  <a:lumOff val="40000"/>
                                </a:schemeClr>
                              </a:gs>
                              <a:gs pos="0">
                                <a:schemeClr val="accent2">
                                  <a:lumMod val="60000"/>
                                </a:schemeClr>
                              </a:gs>
                            </a:gsLst>
                            <a:lin ang="5400000" scaled="0"/>
                          </a:gradFill>
                          <a:ln w="50800">
                            <a:solidFill>
                              <a:schemeClr val="lt1"/>
                            </a:solidFill>
                          </a:ln>
                          <a:effectLst/>
                          <a:sp3d contourW="50800">
                            <a:contourClr>
                              <a:schemeClr val="lt1"/>
                            </a:contourClr>
                          </a:sp3d>
                        </c15:spPr>
                        <c15:bubble3D val="0"/>
                      </c15:categoryFilterException>
                    </c15:categoryFilterExceptions>
                  </c:ext>
                </c:extLst>
              </c15:ser>
            </c15:filteredPieSeries>
          </c:ext>
        </c:extLst>
      </c:pie3DChart>
      <c:spPr>
        <a:noFill/>
        <a:ln>
          <a:noFill/>
        </a:ln>
        <a:effectLst/>
      </c:spPr>
    </c:plotArea>
    <c:legend>
      <c:legendPos val="r"/>
      <c:overlay val="0"/>
      <c:spPr>
        <a:solidFill>
          <a:schemeClr val="lt1">
            <a:alpha val="50000"/>
          </a:schemeClr>
        </a:solidFill>
        <a:ln>
          <a:noFill/>
        </a:ln>
        <a:effectLst/>
      </c:spPr>
      <c:txPr>
        <a:bodyPr rot="0" vert="horz"/>
        <a:lstStyle/>
        <a:p>
          <a:pPr>
            <a:defRPr lang="es-ES"/>
          </a:pPr>
          <a:endParaRPr lang="es-CO"/>
        </a:p>
      </c:txPr>
    </c:legend>
    <c:plotVisOnly val="1"/>
    <c:dispBlanksAs val="zero"/>
    <c:showDLblsOverMax val="0"/>
  </c:chart>
  <c:spPr>
    <a:solidFill>
      <a:sysClr val="window" lastClr="FFFFFF"/>
    </a:solidFill>
    <a:ln w="9525" cap="flat" cmpd="sng" algn="ctr">
      <a:noFill/>
      <a:round/>
    </a:ln>
    <a:effectLst/>
  </c:spPr>
  <c:txPr>
    <a:bodyPr/>
    <a:lstStyle/>
    <a:p>
      <a:pPr>
        <a:defRPr>
          <a:solidFill>
            <a:sysClr val="windowText" lastClr="000000"/>
          </a:solidFill>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400" b="0" i="0" u="none" strike="noStrike" kern="1200" spc="0" baseline="0">
                <a:solidFill>
                  <a:sysClr val="windowText" lastClr="000000"/>
                </a:solidFill>
                <a:latin typeface="+mn-lt"/>
                <a:ea typeface="+mn-ea"/>
                <a:cs typeface="+mn-cs"/>
              </a:defRPr>
            </a:pPr>
            <a:r>
              <a:rPr lang="es-CO" sz="1400"/>
              <a:t>% DE PARTICIPACIÓN POR FUENTES DE INVERSIÓN DEL PLAN FINANCIERO 2020-2023 </a:t>
            </a:r>
          </a:p>
        </c:rich>
      </c:tx>
      <c:overlay val="0"/>
      <c:spPr>
        <a:noFill/>
        <a:ln>
          <a:noFill/>
        </a:ln>
        <a:effectLst/>
      </c:spPr>
    </c:title>
    <c:autoTitleDeleted val="0"/>
    <c:plotArea>
      <c:layout/>
      <c:barChart>
        <c:barDir val="col"/>
        <c:grouping val="clustered"/>
        <c:varyColors val="0"/>
        <c:ser>
          <c:idx val="0"/>
          <c:order val="0"/>
          <c:tx>
            <c:strRef>
              <c:f>'RESUMEN PLAN FINANCIERO (2)'!$K$24</c:f>
              <c:strCache>
                <c:ptCount val="1"/>
                <c:pt idx="0">
                  <c:v>VALOR</c:v>
                </c:pt>
              </c:strCache>
            </c:strRef>
          </c:tx>
          <c:spPr>
            <a:solidFill>
              <a:schemeClr val="accent1"/>
            </a:solidFill>
            <a:ln>
              <a:noFill/>
            </a:ln>
            <a:effectLst/>
          </c:spPr>
          <c:invertIfNegative val="0"/>
          <c:dPt>
            <c:idx val="0"/>
            <c:invertIfNegative val="0"/>
            <c:bubble3D val="0"/>
            <c:spPr>
              <a:solidFill>
                <a:srgbClr val="C00000"/>
              </a:solidFill>
              <a:ln>
                <a:noFill/>
              </a:ln>
              <a:effectLst/>
            </c:spPr>
            <c:extLst xmlns:c16r2="http://schemas.microsoft.com/office/drawing/2015/06/chart">
              <c:ext xmlns:c16="http://schemas.microsoft.com/office/drawing/2014/chart" uri="{C3380CC4-5D6E-409C-BE32-E72D297353CC}">
                <c16:uniqueId val="{00000001-8B12-499F-A1EB-D434A903D201}"/>
              </c:ext>
            </c:extLst>
          </c:dPt>
          <c:dPt>
            <c:idx val="1"/>
            <c:invertIfNegative val="0"/>
            <c:bubble3D val="0"/>
            <c:spPr>
              <a:solidFill>
                <a:srgbClr val="FF99FF"/>
              </a:solidFill>
              <a:ln>
                <a:noFill/>
              </a:ln>
              <a:effectLst/>
            </c:spPr>
            <c:extLst xmlns:c16r2="http://schemas.microsoft.com/office/drawing/2015/06/chart">
              <c:ext xmlns:c16="http://schemas.microsoft.com/office/drawing/2014/chart" uri="{C3380CC4-5D6E-409C-BE32-E72D297353CC}">
                <c16:uniqueId val="{00000003-8B12-499F-A1EB-D434A903D201}"/>
              </c:ext>
            </c:extLst>
          </c:dPt>
          <c:dPt>
            <c:idx val="2"/>
            <c:invertIfNegative val="0"/>
            <c:bubble3D val="0"/>
            <c:spPr>
              <a:solidFill>
                <a:srgbClr val="289B48"/>
              </a:solidFill>
              <a:ln>
                <a:noFill/>
              </a:ln>
              <a:effectLst/>
            </c:spPr>
            <c:extLst xmlns:c16r2="http://schemas.microsoft.com/office/drawing/2015/06/chart">
              <c:ext xmlns:c16="http://schemas.microsoft.com/office/drawing/2014/chart" uri="{C3380CC4-5D6E-409C-BE32-E72D297353CC}">
                <c16:uniqueId val="{00000005-8B12-499F-A1EB-D434A903D201}"/>
              </c:ext>
            </c:extLst>
          </c:dPt>
          <c:dPt>
            <c:idx val="3"/>
            <c:invertIfNegative val="0"/>
            <c:bubble3D val="0"/>
            <c:spPr>
              <a:solidFill>
                <a:srgbClr val="7030A0"/>
              </a:solidFill>
              <a:ln>
                <a:noFill/>
              </a:ln>
              <a:effectLst/>
            </c:spPr>
            <c:extLst xmlns:c16r2="http://schemas.microsoft.com/office/drawing/2015/06/chart">
              <c:ext xmlns:c16="http://schemas.microsoft.com/office/drawing/2014/chart" uri="{C3380CC4-5D6E-409C-BE32-E72D297353CC}">
                <c16:uniqueId val="{00000007-8B12-499F-A1EB-D434A903D201}"/>
              </c:ext>
            </c:extLst>
          </c:dPt>
          <c:dPt>
            <c:idx val="4"/>
            <c:invertIfNegative val="0"/>
            <c:bubble3D val="0"/>
            <c:spPr>
              <a:solidFill>
                <a:srgbClr val="00B0F0"/>
              </a:solidFill>
              <a:ln>
                <a:noFill/>
              </a:ln>
              <a:effectLst/>
            </c:spPr>
            <c:extLst xmlns:c16r2="http://schemas.microsoft.com/office/drawing/2015/06/chart">
              <c:ext xmlns:c16="http://schemas.microsoft.com/office/drawing/2014/chart" uri="{C3380CC4-5D6E-409C-BE32-E72D297353CC}">
                <c16:uniqueId val="{00000009-8B12-499F-A1EB-D434A903D201}"/>
              </c:ext>
            </c:extLst>
          </c:dPt>
          <c:dPt>
            <c:idx val="5"/>
            <c:invertIfNegative val="0"/>
            <c:bubble3D val="0"/>
            <c:spPr>
              <a:solidFill>
                <a:srgbClr val="FFC000"/>
              </a:solidFill>
              <a:ln>
                <a:noFill/>
              </a:ln>
              <a:effectLst/>
            </c:spPr>
            <c:extLst xmlns:c16r2="http://schemas.microsoft.com/office/drawing/2015/06/chart">
              <c:ext xmlns:c16="http://schemas.microsoft.com/office/drawing/2014/chart" uri="{C3380CC4-5D6E-409C-BE32-E72D297353CC}">
                <c16:uniqueId val="{0000000B-8B12-499F-A1EB-D434A903D201}"/>
              </c:ext>
            </c:extLst>
          </c:dPt>
          <c:cat>
            <c:strRef>
              <c:f>'RESUMEN PLAN FINANCIERO (2)'!$J$25:$J$30</c:f>
              <c:strCache>
                <c:ptCount val="6"/>
                <c:pt idx="0">
                  <c:v>RECURSOS PROPIOS (LIBRE INVERSIÓN)</c:v>
                </c:pt>
                <c:pt idx="1">
                  <c:v>RECURSOS PROPIOS (DESTINACIÓN ESPECÍFICA)</c:v>
                </c:pt>
                <c:pt idx="2">
                  <c:v>SISTEMA GENERAL DE PARTICIPACIONES</c:v>
                </c:pt>
                <c:pt idx="3">
                  <c:v>SISTEMA GENERAL DE REGALÍAS </c:v>
                </c:pt>
                <c:pt idx="4">
                  <c:v>OTROS RECURSOS DE COFINANCIACIÓN</c:v>
                </c:pt>
                <c:pt idx="5">
                  <c:v>TOTAL</c:v>
                </c:pt>
              </c:strCache>
            </c:strRef>
          </c:cat>
          <c:val>
            <c:numRef>
              <c:f>'RESUMEN PLAN FINANCIERO (2)'!$K$25:$K$30</c:f>
              <c:numCache>
                <c:formatCode>_("$"* #,##0.00_);_("$"* \(#,##0.00\);_("$"* "-"??_);_(@_)</c:formatCode>
                <c:ptCount val="6"/>
                <c:pt idx="0">
                  <c:v>49000362897.708298</c:v>
                </c:pt>
                <c:pt idx="1">
                  <c:v>121156123680.40001</c:v>
                </c:pt>
                <c:pt idx="2">
                  <c:v>763777854230.81787</c:v>
                </c:pt>
                <c:pt idx="3" formatCode="_(&quot;$&quot;\ * #,##0.00_);_(&quot;$&quot;\ * \(#,##0.00\);_(&quot;$&quot;\ * &quot;-&quot;??_);_(@_)">
                  <c:v>287626759570.97998</c:v>
                </c:pt>
                <c:pt idx="4" formatCode="_(&quot;$&quot;\ * #,##0.00_);_(&quot;$&quot;\ * \(#,##0.00\);_(&quot;$&quot;\ * &quot;-&quot;??_);_(@_)">
                  <c:v>217546304145.9285</c:v>
                </c:pt>
                <c:pt idx="5">
                  <c:v>1439107404525.8347</c:v>
                </c:pt>
              </c:numCache>
            </c:numRef>
          </c:val>
          <c:extLst xmlns:c16r2="http://schemas.microsoft.com/office/drawing/2015/06/chart">
            <c:ext xmlns:c16="http://schemas.microsoft.com/office/drawing/2014/chart" uri="{C3380CC4-5D6E-409C-BE32-E72D297353CC}">
              <c16:uniqueId val="{0000000C-8B12-499F-A1EB-D434A903D201}"/>
            </c:ext>
          </c:extLst>
        </c:ser>
        <c:dLbls>
          <c:showLegendKey val="0"/>
          <c:showVal val="0"/>
          <c:showCatName val="0"/>
          <c:showSerName val="0"/>
          <c:showPercent val="0"/>
          <c:showBubbleSize val="0"/>
        </c:dLbls>
        <c:gapWidth val="219"/>
        <c:overlap val="-27"/>
        <c:axId val="322430608"/>
        <c:axId val="322429824"/>
      </c:barChart>
      <c:lineChart>
        <c:grouping val="standard"/>
        <c:varyColors val="0"/>
        <c:ser>
          <c:idx val="1"/>
          <c:order val="1"/>
          <c:tx>
            <c:strRef>
              <c:f>'RESUMEN PLAN FINANCIERO (2)'!$L$24</c:f>
              <c:strCache>
                <c:ptCount val="1"/>
                <c:pt idx="0">
                  <c:v>PORCENTAJE</c:v>
                </c:pt>
              </c:strCache>
            </c:strRef>
          </c:tx>
          <c:spPr>
            <a:ln w="28575" cap="rnd">
              <a:solidFill>
                <a:srgbClr val="002060"/>
              </a:solidFill>
              <a:round/>
            </a:ln>
            <a:effectLst/>
          </c:spPr>
          <c:marker>
            <c:symbol val="none"/>
          </c:marker>
          <c:cat>
            <c:strRef>
              <c:f>'RESUMEN PLAN FINANCIERO (2)'!$J$25:$J$30</c:f>
              <c:strCache>
                <c:ptCount val="6"/>
                <c:pt idx="0">
                  <c:v>RECURSOS PROPIOS (LIBRE INVERSIÓN)</c:v>
                </c:pt>
                <c:pt idx="1">
                  <c:v>RECURSOS PROPIOS (DESTINACIÓN ESPECÍFICA)</c:v>
                </c:pt>
                <c:pt idx="2">
                  <c:v>SISTEMA GENERAL DE PARTICIPACIONES</c:v>
                </c:pt>
                <c:pt idx="3">
                  <c:v>SISTEMA GENERAL DE REGALÍAS </c:v>
                </c:pt>
                <c:pt idx="4">
                  <c:v>OTROS RECURSOS DE COFINANCIACIÓN</c:v>
                </c:pt>
                <c:pt idx="5">
                  <c:v>TOTAL</c:v>
                </c:pt>
              </c:strCache>
            </c:strRef>
          </c:cat>
          <c:val>
            <c:numRef>
              <c:f>'RESUMEN PLAN FINANCIERO (2)'!$L$25:$L$30</c:f>
              <c:numCache>
                <c:formatCode>0%</c:formatCode>
                <c:ptCount val="6"/>
                <c:pt idx="0">
                  <c:v>3.4049135417973352E-2</c:v>
                </c:pt>
                <c:pt idx="1">
                  <c:v>8.4188381839588419E-2</c:v>
                </c:pt>
                <c:pt idx="2">
                  <c:v>0.53073026504402687</c:v>
                </c:pt>
                <c:pt idx="3">
                  <c:v>0.19986469298012463</c:v>
                </c:pt>
                <c:pt idx="4">
                  <c:v>0.15116752471828668</c:v>
                </c:pt>
                <c:pt idx="5">
                  <c:v>1</c:v>
                </c:pt>
              </c:numCache>
            </c:numRef>
          </c:val>
          <c:smooth val="0"/>
          <c:extLst xmlns:c16r2="http://schemas.microsoft.com/office/drawing/2015/06/chart">
            <c:ext xmlns:c16="http://schemas.microsoft.com/office/drawing/2014/chart" uri="{C3380CC4-5D6E-409C-BE32-E72D297353CC}">
              <c16:uniqueId val="{0000000D-8B12-499F-A1EB-D434A903D201}"/>
            </c:ext>
          </c:extLst>
        </c:ser>
        <c:dLbls>
          <c:showLegendKey val="0"/>
          <c:showVal val="0"/>
          <c:showCatName val="0"/>
          <c:showSerName val="0"/>
          <c:showPercent val="0"/>
          <c:showBubbleSize val="0"/>
        </c:dLbls>
        <c:marker val="1"/>
        <c:smooth val="0"/>
        <c:axId val="322431000"/>
        <c:axId val="322430216"/>
      </c:lineChart>
      <c:catAx>
        <c:axId val="322430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crossAx val="322429824"/>
        <c:crosses val="autoZero"/>
        <c:auto val="1"/>
        <c:lblAlgn val="ctr"/>
        <c:lblOffset val="100"/>
        <c:noMultiLvlLbl val="0"/>
      </c:catAx>
      <c:valAx>
        <c:axId val="32242982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crossAx val="322430608"/>
        <c:crosses val="autoZero"/>
        <c:crossBetween val="between"/>
      </c:valAx>
      <c:valAx>
        <c:axId val="322430216"/>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crossAx val="322431000"/>
        <c:crosses val="max"/>
        <c:crossBetween val="between"/>
      </c:valAx>
      <c:catAx>
        <c:axId val="322431000"/>
        <c:scaling>
          <c:orientation val="minMax"/>
        </c:scaling>
        <c:delete val="1"/>
        <c:axPos val="b"/>
        <c:numFmt formatCode="General" sourceLinked="1"/>
        <c:majorTickMark val="none"/>
        <c:minorTickMark val="none"/>
        <c:tickLblPos val="nextTo"/>
        <c:crossAx val="322430216"/>
        <c:crosses val="autoZero"/>
        <c:auto val="1"/>
        <c:lblAlgn val="ctr"/>
        <c:lblOffset val="100"/>
        <c:noMultiLvlLbl val="0"/>
      </c:cat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lang="es-ES" sz="900" b="0"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400" b="0" i="0" u="none" strike="noStrike" kern="1200" spc="0" baseline="0">
                <a:solidFill>
                  <a:sysClr val="windowText" lastClr="000000"/>
                </a:solidFill>
                <a:latin typeface="+mn-lt"/>
                <a:ea typeface="+mn-ea"/>
                <a:cs typeface="+mn-cs"/>
              </a:defRPr>
            </a:pPr>
            <a:r>
              <a:rPr lang="es-CO" sz="1400"/>
              <a:t>RECURSOS PROPIOS VS RECURSOS DE LA NACIÓN, COFINANCIACIÓN Y SGR</a:t>
            </a:r>
          </a:p>
        </c:rich>
      </c:tx>
      <c:overlay val="0"/>
      <c:spPr>
        <a:noFill/>
        <a:ln>
          <a:noFill/>
        </a:ln>
        <a:effectLst/>
      </c:spPr>
    </c:title>
    <c:autoTitleDeleted val="0"/>
    <c:plotArea>
      <c:layout/>
      <c:ofPieChart>
        <c:ofPieType val="bar"/>
        <c:varyColors val="1"/>
        <c:ser>
          <c:idx val="0"/>
          <c:order val="0"/>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0935-4E83-8FCE-E964344F09ED}"/>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0935-4E83-8FCE-E964344F09ED}"/>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0935-4E83-8FCE-E964344F09ED}"/>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0935-4E83-8FCE-E964344F09ED}"/>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9-0935-4E83-8FCE-E964344F09ED}"/>
              </c:ext>
            </c:extLst>
          </c:dPt>
          <c:dPt>
            <c:idx val="5"/>
            <c:bubble3D val="0"/>
            <c:spPr>
              <a:solidFill>
                <a:schemeClr val="accent6"/>
              </a:solidFill>
              <a:ln w="19050">
                <a:solidFill>
                  <a:schemeClr val="lt1"/>
                </a:solidFill>
              </a:ln>
              <a:effectLst/>
            </c:spPr>
            <c:extLst xmlns:c16r2="http://schemas.microsoft.com/office/drawing/2015/06/chart">
              <c:ext xmlns:c16="http://schemas.microsoft.com/office/drawing/2014/chart" uri="{C3380CC4-5D6E-409C-BE32-E72D297353CC}">
                <c16:uniqueId val="{0000000B-0935-4E83-8FCE-E964344F09ED}"/>
              </c:ext>
            </c:extLst>
          </c:dPt>
          <c:dLbls>
            <c:spPr>
              <a:noFill/>
              <a:ln>
                <a:noFill/>
              </a:ln>
              <a:effectLst/>
            </c:spPr>
            <c:txPr>
              <a:bodyPr rot="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'RESUMEN PLAN FINANCIERO (2)'!$J$35:$J$39</c:f>
              <c:strCache>
                <c:ptCount val="5"/>
                <c:pt idx="0">
                  <c:v>RECURSOS DE LA ENTIDAD</c:v>
                </c:pt>
                <c:pt idx="1">
                  <c:v>RECURSOS DE LA NACIÓN, COFINANCIACIÓN Y SGR</c:v>
                </c:pt>
                <c:pt idx="2">
                  <c:v>SISTEMA GENERAL DE PARTICIPACIONES</c:v>
                </c:pt>
                <c:pt idx="3">
                  <c:v>SISTEMA GENERAL DE REGALIAS</c:v>
                </c:pt>
                <c:pt idx="4">
                  <c:v>OTROS RECURSOS DE COFINANCIACIÓN</c:v>
                </c:pt>
              </c:strCache>
            </c:strRef>
          </c:cat>
          <c:val>
            <c:numRef>
              <c:f>'RESUMEN PLAN FINANCIERO (2)'!$K$35:$K$39</c:f>
              <c:numCache>
                <c:formatCode>_("$"* #,##0.00_);_("$"* \(#,##0.00\);_("$"* "-"??_);_(@_)</c:formatCode>
                <c:ptCount val="5"/>
                <c:pt idx="0">
                  <c:v>170156486578.10834</c:v>
                </c:pt>
                <c:pt idx="1">
                  <c:v>1268950917947.7263</c:v>
                </c:pt>
                <c:pt idx="2">
                  <c:v>763777854230.81787</c:v>
                </c:pt>
                <c:pt idx="3" formatCode="_(&quot;$&quot;\ * #,##0.00_);_(&quot;$&quot;\ * \(#,##0.00\);_(&quot;$&quot;\ * &quot;-&quot;??_);_(@_)">
                  <c:v>287626759570.97998</c:v>
                </c:pt>
                <c:pt idx="4" formatCode="_(&quot;$&quot;\ * #,##0.00_);_(&quot;$&quot;\ * \(#,##0.00\);_(&quot;$&quot;\ * &quot;-&quot;??_);_(@_)">
                  <c:v>217546304145.9285</c:v>
                </c:pt>
              </c:numCache>
            </c:numRef>
          </c:val>
          <c:extLst xmlns:c16r2="http://schemas.microsoft.com/office/drawing/2015/06/chart">
            <c:ext xmlns:c16="http://schemas.microsoft.com/office/drawing/2014/chart" uri="{C3380CC4-5D6E-409C-BE32-E72D297353CC}">
              <c16:uniqueId val="{0000000C-0935-4E83-8FCE-E964344F09ED}"/>
            </c:ext>
          </c:extLst>
        </c:ser>
        <c:dLbls>
          <c:showLegendKey val="0"/>
          <c:showVal val="0"/>
          <c:showCatName val="0"/>
          <c:showSerName val="0"/>
          <c:showPercent val="0"/>
          <c:showBubbleSize val="0"/>
          <c:showLeaderLines val="1"/>
        </c:dLbls>
        <c:gapWidth val="100"/>
        <c:splitType val="pos"/>
        <c:splitPos val="4"/>
        <c:secondPieSize val="75"/>
        <c:serLines>
          <c:spPr>
            <a:ln w="9525" cap="flat" cmpd="sng" algn="ctr">
              <a:solidFill>
                <a:schemeClr val="tx1">
                  <a:lumMod val="35000"/>
                  <a:lumOff val="65000"/>
                </a:schemeClr>
              </a:solidFill>
              <a:round/>
            </a:ln>
            <a:effectLst/>
          </c:spPr>
        </c:serLines>
      </c:ofPieChart>
      <c:spPr>
        <a:noFill/>
        <a:ln>
          <a:noFill/>
        </a:ln>
        <a:effectLst/>
      </c:spPr>
    </c:plotArea>
    <c:legend>
      <c:legendPos val="b"/>
      <c:overlay val="0"/>
      <c:spPr>
        <a:noFill/>
        <a:ln>
          <a:noFill/>
        </a:ln>
        <a:effectLst/>
      </c:spPr>
      <c:txPr>
        <a:bodyPr rot="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legend>
    <c:plotVisOnly val="1"/>
    <c:dispBlanksAs val="zero"/>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400" b="0" i="0" u="none" strike="noStrike" kern="1200" spc="0" baseline="0">
                <a:solidFill>
                  <a:sysClr val="windowText" lastClr="000000"/>
                </a:solidFill>
                <a:latin typeface="+mn-lt"/>
                <a:ea typeface="+mn-ea"/>
                <a:cs typeface="+mn-cs"/>
              </a:defRPr>
            </a:pPr>
            <a:r>
              <a:rPr lang="es-CO" sz="1400"/>
              <a:t>% DE PARTICIPACIÓN POR FUENTES DE INVERSIÓN DEL PLAN FINANCIERO 2020-2023 </a:t>
            </a:r>
          </a:p>
        </c:rich>
      </c:tx>
      <c:overlay val="0"/>
      <c:spPr>
        <a:noFill/>
        <a:ln>
          <a:noFill/>
        </a:ln>
        <a:effectLst/>
      </c:spPr>
    </c:title>
    <c:autoTitleDeleted val="0"/>
    <c:plotArea>
      <c:layout>
        <c:manualLayout>
          <c:layoutTarget val="inner"/>
          <c:xMode val="edge"/>
          <c:yMode val="edge"/>
          <c:x val="0.18976310134596208"/>
          <c:y val="0.26512161223248382"/>
          <c:w val="0.73016726702748069"/>
          <c:h val="0.47345692785084637"/>
        </c:manualLayout>
      </c:layout>
      <c:barChart>
        <c:barDir val="col"/>
        <c:grouping val="clustered"/>
        <c:varyColors val="0"/>
        <c:ser>
          <c:idx val="0"/>
          <c:order val="0"/>
          <c:tx>
            <c:strRef>
              <c:f>'RESUMEN PLAN FINANCIERO'!$L$24</c:f>
              <c:strCache>
                <c:ptCount val="1"/>
                <c:pt idx="0">
                  <c:v>VALOR</c:v>
                </c:pt>
              </c:strCache>
            </c:strRef>
          </c:tx>
          <c:spPr>
            <a:solidFill>
              <a:schemeClr val="accent1"/>
            </a:solidFill>
            <a:ln>
              <a:noFill/>
            </a:ln>
            <a:effectLst/>
          </c:spPr>
          <c:invertIfNegative val="0"/>
          <c:dPt>
            <c:idx val="0"/>
            <c:invertIfNegative val="0"/>
            <c:bubble3D val="0"/>
            <c:spPr>
              <a:solidFill>
                <a:srgbClr val="C00000"/>
              </a:solidFill>
              <a:ln>
                <a:noFill/>
              </a:ln>
              <a:effectLst/>
            </c:spPr>
            <c:extLst xmlns:c16r2="http://schemas.microsoft.com/office/drawing/2015/06/chart">
              <c:ext xmlns:c16="http://schemas.microsoft.com/office/drawing/2014/chart" uri="{C3380CC4-5D6E-409C-BE32-E72D297353CC}">
                <c16:uniqueId val="{00000001-6A2B-4311-AAA4-F43BC0FB627D}"/>
              </c:ext>
            </c:extLst>
          </c:dPt>
          <c:dPt>
            <c:idx val="1"/>
            <c:invertIfNegative val="0"/>
            <c:bubble3D val="0"/>
            <c:spPr>
              <a:solidFill>
                <a:srgbClr val="FF99FF"/>
              </a:solidFill>
              <a:ln>
                <a:noFill/>
              </a:ln>
              <a:effectLst/>
            </c:spPr>
            <c:extLst xmlns:c16r2="http://schemas.microsoft.com/office/drawing/2015/06/chart">
              <c:ext xmlns:c16="http://schemas.microsoft.com/office/drawing/2014/chart" uri="{C3380CC4-5D6E-409C-BE32-E72D297353CC}">
                <c16:uniqueId val="{00000003-6A2B-4311-AAA4-F43BC0FB627D}"/>
              </c:ext>
            </c:extLst>
          </c:dPt>
          <c:dPt>
            <c:idx val="2"/>
            <c:invertIfNegative val="0"/>
            <c:bubble3D val="0"/>
            <c:spPr>
              <a:solidFill>
                <a:srgbClr val="289B48"/>
              </a:solidFill>
              <a:ln>
                <a:noFill/>
              </a:ln>
              <a:effectLst/>
            </c:spPr>
            <c:extLst xmlns:c16r2="http://schemas.microsoft.com/office/drawing/2015/06/chart">
              <c:ext xmlns:c16="http://schemas.microsoft.com/office/drawing/2014/chart" uri="{C3380CC4-5D6E-409C-BE32-E72D297353CC}">
                <c16:uniqueId val="{00000005-6A2B-4311-AAA4-F43BC0FB627D}"/>
              </c:ext>
            </c:extLst>
          </c:dPt>
          <c:dPt>
            <c:idx val="3"/>
            <c:invertIfNegative val="0"/>
            <c:bubble3D val="0"/>
            <c:spPr>
              <a:solidFill>
                <a:srgbClr val="7030A0"/>
              </a:solidFill>
              <a:ln>
                <a:noFill/>
              </a:ln>
              <a:effectLst/>
            </c:spPr>
            <c:extLst xmlns:c16r2="http://schemas.microsoft.com/office/drawing/2015/06/chart">
              <c:ext xmlns:c16="http://schemas.microsoft.com/office/drawing/2014/chart" uri="{C3380CC4-5D6E-409C-BE32-E72D297353CC}">
                <c16:uniqueId val="{00000007-6A2B-4311-AAA4-F43BC0FB627D}"/>
              </c:ext>
            </c:extLst>
          </c:dPt>
          <c:dPt>
            <c:idx val="4"/>
            <c:invertIfNegative val="0"/>
            <c:bubble3D val="0"/>
            <c:spPr>
              <a:solidFill>
                <a:srgbClr val="00B0F0"/>
              </a:solidFill>
              <a:ln>
                <a:noFill/>
              </a:ln>
              <a:effectLst/>
            </c:spPr>
            <c:extLst xmlns:c16r2="http://schemas.microsoft.com/office/drawing/2015/06/chart">
              <c:ext xmlns:c16="http://schemas.microsoft.com/office/drawing/2014/chart" uri="{C3380CC4-5D6E-409C-BE32-E72D297353CC}">
                <c16:uniqueId val="{00000009-6A2B-4311-AAA4-F43BC0FB627D}"/>
              </c:ext>
            </c:extLst>
          </c:dPt>
          <c:dPt>
            <c:idx val="5"/>
            <c:invertIfNegative val="0"/>
            <c:bubble3D val="0"/>
            <c:spPr>
              <a:solidFill>
                <a:srgbClr val="FFC000"/>
              </a:solidFill>
              <a:ln>
                <a:noFill/>
              </a:ln>
              <a:effectLst/>
            </c:spPr>
            <c:extLst xmlns:c16r2="http://schemas.microsoft.com/office/drawing/2015/06/chart">
              <c:ext xmlns:c16="http://schemas.microsoft.com/office/drawing/2014/chart" uri="{C3380CC4-5D6E-409C-BE32-E72D297353CC}">
                <c16:uniqueId val="{0000000B-6A2B-4311-AAA4-F43BC0FB627D}"/>
              </c:ext>
            </c:extLst>
          </c:dPt>
          <c:cat>
            <c:strRef>
              <c:f>'RESUMEN PLAN FINANCIERO'!$K$25:$K$30</c:f>
              <c:strCache>
                <c:ptCount val="6"/>
                <c:pt idx="0">
                  <c:v>RECURSOS PROPIOS (LIBRE INVERSIÓN)</c:v>
                </c:pt>
                <c:pt idx="1">
                  <c:v>RECURSOS PROPIOS (DESTINACIÓN ESPECÍFICA)</c:v>
                </c:pt>
                <c:pt idx="2">
                  <c:v>SISTEMA GENERAL DE PARTICIPACIONES</c:v>
                </c:pt>
                <c:pt idx="3">
                  <c:v>SISTEMA GENERAL DE REGALÍAS </c:v>
                </c:pt>
                <c:pt idx="4">
                  <c:v>OTROS RECURSOS DE COFINANCIACIÓN</c:v>
                </c:pt>
                <c:pt idx="5">
                  <c:v>TOTAL</c:v>
                </c:pt>
              </c:strCache>
            </c:strRef>
          </c:cat>
          <c:val>
            <c:numRef>
              <c:f>'RESUMEN PLAN FINANCIERO'!$L$25:$L$30</c:f>
              <c:numCache>
                <c:formatCode>_("$"* #,##0.00_);_("$"* \(#,##0.00\);_("$"* "-"??_);_(@_)</c:formatCode>
                <c:ptCount val="6"/>
                <c:pt idx="0">
                  <c:v>49000362897.708298</c:v>
                </c:pt>
                <c:pt idx="1">
                  <c:v>121156123680.40001</c:v>
                </c:pt>
                <c:pt idx="2">
                  <c:v>763777854230.81787</c:v>
                </c:pt>
                <c:pt idx="3" formatCode="_(&quot;$&quot;\ * #,##0.00_);_(&quot;$&quot;\ * \(#,##0.00\);_(&quot;$&quot;\ * &quot;-&quot;??_);_(@_)">
                  <c:v>287626759570.97998</c:v>
                </c:pt>
                <c:pt idx="4" formatCode="_(&quot;$&quot;\ * #,##0.00_);_(&quot;$&quot;\ * \(#,##0.00\);_(&quot;$&quot;\ * &quot;-&quot;??_);_(@_)">
                  <c:v>217546304145.9285</c:v>
                </c:pt>
                <c:pt idx="5">
                  <c:v>1439107404525.8347</c:v>
                </c:pt>
              </c:numCache>
            </c:numRef>
          </c:val>
          <c:extLst xmlns:c16r2="http://schemas.microsoft.com/office/drawing/2015/06/chart">
            <c:ext xmlns:c16="http://schemas.microsoft.com/office/drawing/2014/chart" uri="{C3380CC4-5D6E-409C-BE32-E72D297353CC}">
              <c16:uniqueId val="{0000000C-6A2B-4311-AAA4-F43BC0FB627D}"/>
            </c:ext>
          </c:extLst>
        </c:ser>
        <c:dLbls>
          <c:showLegendKey val="0"/>
          <c:showVal val="0"/>
          <c:showCatName val="0"/>
          <c:showSerName val="0"/>
          <c:showPercent val="0"/>
          <c:showBubbleSize val="0"/>
        </c:dLbls>
        <c:gapWidth val="219"/>
        <c:overlap val="-27"/>
        <c:axId val="317805984"/>
        <c:axId val="317803240"/>
      </c:barChart>
      <c:lineChart>
        <c:grouping val="standard"/>
        <c:varyColors val="0"/>
        <c:ser>
          <c:idx val="1"/>
          <c:order val="1"/>
          <c:tx>
            <c:strRef>
              <c:f>'RESUMEN PLAN FINANCIERO'!$M$24</c:f>
              <c:strCache>
                <c:ptCount val="1"/>
                <c:pt idx="0">
                  <c:v>PORCENTAJE</c:v>
                </c:pt>
              </c:strCache>
            </c:strRef>
          </c:tx>
          <c:spPr>
            <a:ln w="28575" cap="rnd">
              <a:solidFill>
                <a:srgbClr val="002060"/>
              </a:solidFill>
              <a:round/>
            </a:ln>
            <a:effectLst/>
          </c:spPr>
          <c:marker>
            <c:symbol val="none"/>
          </c:marker>
          <c:cat>
            <c:strRef>
              <c:f>'RESUMEN PLAN FINANCIERO'!$K$25:$K$30</c:f>
              <c:strCache>
                <c:ptCount val="6"/>
                <c:pt idx="0">
                  <c:v>RECURSOS PROPIOS (LIBRE INVERSIÓN)</c:v>
                </c:pt>
                <c:pt idx="1">
                  <c:v>RECURSOS PROPIOS (DESTINACIÓN ESPECÍFICA)</c:v>
                </c:pt>
                <c:pt idx="2">
                  <c:v>SISTEMA GENERAL DE PARTICIPACIONES</c:v>
                </c:pt>
                <c:pt idx="3">
                  <c:v>SISTEMA GENERAL DE REGALÍAS </c:v>
                </c:pt>
                <c:pt idx="4">
                  <c:v>OTROS RECURSOS DE COFINANCIACIÓN</c:v>
                </c:pt>
                <c:pt idx="5">
                  <c:v>TOTAL</c:v>
                </c:pt>
              </c:strCache>
            </c:strRef>
          </c:cat>
          <c:val>
            <c:numRef>
              <c:f>'RESUMEN PLAN FINANCIERO'!$M$25:$M$30</c:f>
              <c:numCache>
                <c:formatCode>0%</c:formatCode>
                <c:ptCount val="6"/>
                <c:pt idx="0">
                  <c:v>3.4049135417973352E-2</c:v>
                </c:pt>
                <c:pt idx="1">
                  <c:v>8.4188381839588419E-2</c:v>
                </c:pt>
                <c:pt idx="2">
                  <c:v>0.53073026504402687</c:v>
                </c:pt>
                <c:pt idx="3">
                  <c:v>0.19986469298012463</c:v>
                </c:pt>
                <c:pt idx="4">
                  <c:v>0.15116752471828668</c:v>
                </c:pt>
                <c:pt idx="5">
                  <c:v>1</c:v>
                </c:pt>
              </c:numCache>
            </c:numRef>
          </c:val>
          <c:smooth val="0"/>
          <c:extLst xmlns:c16r2="http://schemas.microsoft.com/office/drawing/2015/06/chart">
            <c:ext xmlns:c16="http://schemas.microsoft.com/office/drawing/2014/chart" uri="{C3380CC4-5D6E-409C-BE32-E72D297353CC}">
              <c16:uniqueId val="{0000000D-6A2B-4311-AAA4-F43BC0FB627D}"/>
            </c:ext>
          </c:extLst>
        </c:ser>
        <c:dLbls>
          <c:showLegendKey val="0"/>
          <c:showVal val="0"/>
          <c:showCatName val="0"/>
          <c:showSerName val="0"/>
          <c:showPercent val="0"/>
          <c:showBubbleSize val="0"/>
        </c:dLbls>
        <c:marker val="1"/>
        <c:smooth val="0"/>
        <c:axId val="317803632"/>
        <c:axId val="317802456"/>
      </c:lineChart>
      <c:catAx>
        <c:axId val="317805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crossAx val="317803240"/>
        <c:crosses val="autoZero"/>
        <c:auto val="1"/>
        <c:lblAlgn val="ctr"/>
        <c:lblOffset val="100"/>
        <c:noMultiLvlLbl val="0"/>
      </c:catAx>
      <c:valAx>
        <c:axId val="31780324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crossAx val="317805984"/>
        <c:crosses val="autoZero"/>
        <c:crossBetween val="between"/>
      </c:valAx>
      <c:valAx>
        <c:axId val="317802456"/>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crossAx val="317803632"/>
        <c:crosses val="max"/>
        <c:crossBetween val="between"/>
      </c:valAx>
      <c:catAx>
        <c:axId val="317803632"/>
        <c:scaling>
          <c:orientation val="minMax"/>
        </c:scaling>
        <c:delete val="1"/>
        <c:axPos val="b"/>
        <c:numFmt formatCode="General" sourceLinked="1"/>
        <c:majorTickMark val="none"/>
        <c:minorTickMark val="none"/>
        <c:tickLblPos val="nextTo"/>
        <c:crossAx val="317802456"/>
        <c:crosses val="autoZero"/>
        <c:auto val="1"/>
        <c:lblAlgn val="ctr"/>
        <c:lblOffset val="100"/>
        <c:noMultiLvlLbl val="0"/>
      </c:cat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lang="es-ES" sz="900" b="0"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400" b="0" i="0" u="none" strike="noStrike" kern="1200" spc="0" baseline="0">
                <a:solidFill>
                  <a:sysClr val="windowText" lastClr="000000"/>
                </a:solidFill>
                <a:latin typeface="+mn-lt"/>
                <a:ea typeface="+mn-ea"/>
                <a:cs typeface="+mn-cs"/>
              </a:defRPr>
            </a:pPr>
            <a:r>
              <a:rPr lang="es-CO" sz="1400"/>
              <a:t>% DE PARTICIPACIÓN POR FUENTES DE INVERSIÓN DEL PLAN FINANCIERO 2020-2023 </a:t>
            </a:r>
          </a:p>
        </c:rich>
      </c:tx>
      <c:overlay val="0"/>
      <c:spPr>
        <a:noFill/>
        <a:ln>
          <a:noFill/>
        </a:ln>
        <a:effectLst/>
      </c:spPr>
    </c:title>
    <c:autoTitleDeleted val="0"/>
    <c:plotArea>
      <c:layout/>
      <c:barChart>
        <c:barDir val="col"/>
        <c:grouping val="clustered"/>
        <c:varyColors val="0"/>
        <c:ser>
          <c:idx val="0"/>
          <c:order val="0"/>
          <c:tx>
            <c:strRef>
              <c:f>'RESUMEN PLAN FINANCIERO'!$L$24</c:f>
              <c:strCache>
                <c:ptCount val="1"/>
                <c:pt idx="0">
                  <c:v>VALOR</c:v>
                </c:pt>
              </c:strCache>
            </c:strRef>
          </c:tx>
          <c:spPr>
            <a:solidFill>
              <a:schemeClr val="accent1"/>
            </a:solidFill>
            <a:ln>
              <a:noFill/>
            </a:ln>
            <a:effectLst/>
          </c:spPr>
          <c:invertIfNegative val="0"/>
          <c:dPt>
            <c:idx val="0"/>
            <c:invertIfNegative val="0"/>
            <c:bubble3D val="0"/>
            <c:spPr>
              <a:solidFill>
                <a:srgbClr val="C00000"/>
              </a:solidFill>
              <a:ln>
                <a:noFill/>
              </a:ln>
              <a:effectLst/>
            </c:spPr>
            <c:extLst xmlns:c16r2="http://schemas.microsoft.com/office/drawing/2015/06/chart">
              <c:ext xmlns:c16="http://schemas.microsoft.com/office/drawing/2014/chart" uri="{C3380CC4-5D6E-409C-BE32-E72D297353CC}">
                <c16:uniqueId val="{00000001-5CDC-4F73-B3EE-68892D0247CC}"/>
              </c:ext>
            </c:extLst>
          </c:dPt>
          <c:dPt>
            <c:idx val="1"/>
            <c:invertIfNegative val="0"/>
            <c:bubble3D val="0"/>
            <c:spPr>
              <a:solidFill>
                <a:srgbClr val="FF99FF"/>
              </a:solidFill>
              <a:ln>
                <a:noFill/>
              </a:ln>
              <a:effectLst/>
            </c:spPr>
            <c:extLst xmlns:c16r2="http://schemas.microsoft.com/office/drawing/2015/06/chart">
              <c:ext xmlns:c16="http://schemas.microsoft.com/office/drawing/2014/chart" uri="{C3380CC4-5D6E-409C-BE32-E72D297353CC}">
                <c16:uniqueId val="{00000003-5CDC-4F73-B3EE-68892D0247CC}"/>
              </c:ext>
            </c:extLst>
          </c:dPt>
          <c:dPt>
            <c:idx val="2"/>
            <c:invertIfNegative val="0"/>
            <c:bubble3D val="0"/>
            <c:spPr>
              <a:solidFill>
                <a:srgbClr val="289B48"/>
              </a:solidFill>
              <a:ln>
                <a:noFill/>
              </a:ln>
              <a:effectLst/>
            </c:spPr>
            <c:extLst xmlns:c16r2="http://schemas.microsoft.com/office/drawing/2015/06/chart">
              <c:ext xmlns:c16="http://schemas.microsoft.com/office/drawing/2014/chart" uri="{C3380CC4-5D6E-409C-BE32-E72D297353CC}">
                <c16:uniqueId val="{00000005-5CDC-4F73-B3EE-68892D0247CC}"/>
              </c:ext>
            </c:extLst>
          </c:dPt>
          <c:dPt>
            <c:idx val="3"/>
            <c:invertIfNegative val="0"/>
            <c:bubble3D val="0"/>
            <c:spPr>
              <a:solidFill>
                <a:srgbClr val="7030A0"/>
              </a:solidFill>
              <a:ln>
                <a:noFill/>
              </a:ln>
              <a:effectLst/>
            </c:spPr>
            <c:extLst xmlns:c16r2="http://schemas.microsoft.com/office/drawing/2015/06/chart">
              <c:ext xmlns:c16="http://schemas.microsoft.com/office/drawing/2014/chart" uri="{C3380CC4-5D6E-409C-BE32-E72D297353CC}">
                <c16:uniqueId val="{00000007-5CDC-4F73-B3EE-68892D0247CC}"/>
              </c:ext>
            </c:extLst>
          </c:dPt>
          <c:dPt>
            <c:idx val="4"/>
            <c:invertIfNegative val="0"/>
            <c:bubble3D val="0"/>
            <c:spPr>
              <a:solidFill>
                <a:srgbClr val="00B0F0"/>
              </a:solidFill>
              <a:ln>
                <a:noFill/>
              </a:ln>
              <a:effectLst/>
            </c:spPr>
            <c:extLst xmlns:c16r2="http://schemas.microsoft.com/office/drawing/2015/06/chart">
              <c:ext xmlns:c16="http://schemas.microsoft.com/office/drawing/2014/chart" uri="{C3380CC4-5D6E-409C-BE32-E72D297353CC}">
                <c16:uniqueId val="{00000009-5CDC-4F73-B3EE-68892D0247CC}"/>
              </c:ext>
            </c:extLst>
          </c:dPt>
          <c:dPt>
            <c:idx val="5"/>
            <c:invertIfNegative val="0"/>
            <c:bubble3D val="0"/>
            <c:spPr>
              <a:solidFill>
                <a:srgbClr val="FFC000"/>
              </a:solidFill>
              <a:ln>
                <a:noFill/>
              </a:ln>
              <a:effectLst/>
            </c:spPr>
            <c:extLst xmlns:c16r2="http://schemas.microsoft.com/office/drawing/2015/06/chart">
              <c:ext xmlns:c16="http://schemas.microsoft.com/office/drawing/2014/chart" uri="{C3380CC4-5D6E-409C-BE32-E72D297353CC}">
                <c16:uniqueId val="{0000000B-5CDC-4F73-B3EE-68892D0247CC}"/>
              </c:ext>
            </c:extLst>
          </c:dPt>
          <c:cat>
            <c:strRef>
              <c:f>'RESUMEN PLAN FINANCIERO'!$K$45:$K$50</c:f>
              <c:strCache>
                <c:ptCount val="6"/>
                <c:pt idx="0">
                  <c:v>RECURSOS PROPIOS (LIBRE INVERSIÓN)</c:v>
                </c:pt>
                <c:pt idx="1">
                  <c:v>RECURSOS PROPIOS (DESTINACIÓN ESPECÍFICA)</c:v>
                </c:pt>
                <c:pt idx="2">
                  <c:v>SISTEMA GENERAL DE PARTICIPACIONES</c:v>
                </c:pt>
                <c:pt idx="3">
                  <c:v>SISTEMA GENERAL DE REGALÍAS </c:v>
                </c:pt>
                <c:pt idx="4">
                  <c:v>OTROS RECURSOS DE COFINANCIACIÓN</c:v>
                </c:pt>
                <c:pt idx="5">
                  <c:v>TOTAL</c:v>
                </c:pt>
              </c:strCache>
            </c:strRef>
          </c:cat>
          <c:val>
            <c:numRef>
              <c:f>'RESUMEN PLAN FINANCIERO'!$L$45:$L$50</c:f>
              <c:numCache>
                <c:formatCode>_("$"* #,##0.00_);_("$"* \(#,##0.00\);_("$"* "-"??_);_(@_)</c:formatCode>
                <c:ptCount val="6"/>
                <c:pt idx="0">
                  <c:v>53410967804.618301</c:v>
                </c:pt>
                <c:pt idx="1">
                  <c:v>128624569189.75</c:v>
                </c:pt>
                <c:pt idx="2">
                  <c:v>765534169336.56787</c:v>
                </c:pt>
                <c:pt idx="3" formatCode="_(&quot;$&quot;\ * #,##0.00_);_(&quot;$&quot;\ * \(#,##0.00\);_(&quot;$&quot;\ * &quot;-&quot;??_);_(@_)">
                  <c:v>287626759570.97998</c:v>
                </c:pt>
                <c:pt idx="4" formatCode="_(&quot;$&quot;\ * #,##0.00_);_(&quot;$&quot;\ * \(#,##0.00\);_(&quot;$&quot;\ * &quot;-&quot;??_);_(@_)">
                  <c:v>217546304145.9285</c:v>
                </c:pt>
                <c:pt idx="5">
                  <c:v>1452742770047.8445</c:v>
                </c:pt>
              </c:numCache>
            </c:numRef>
          </c:val>
          <c:extLst xmlns:c16r2="http://schemas.microsoft.com/office/drawing/2015/06/chart">
            <c:ext xmlns:c16="http://schemas.microsoft.com/office/drawing/2014/chart" uri="{C3380CC4-5D6E-409C-BE32-E72D297353CC}">
              <c16:uniqueId val="{0000000C-5CDC-4F73-B3EE-68892D0247CC}"/>
            </c:ext>
          </c:extLst>
        </c:ser>
        <c:dLbls>
          <c:showLegendKey val="0"/>
          <c:showVal val="0"/>
          <c:showCatName val="0"/>
          <c:showSerName val="0"/>
          <c:showPercent val="0"/>
          <c:showBubbleSize val="0"/>
        </c:dLbls>
        <c:gapWidth val="219"/>
        <c:overlap val="-27"/>
        <c:axId val="317804808"/>
        <c:axId val="317805200"/>
      </c:barChart>
      <c:lineChart>
        <c:grouping val="standard"/>
        <c:varyColors val="0"/>
        <c:ser>
          <c:idx val="1"/>
          <c:order val="1"/>
          <c:tx>
            <c:strRef>
              <c:f>'RESUMEN PLAN FINANCIERO'!$M$24</c:f>
              <c:strCache>
                <c:ptCount val="1"/>
                <c:pt idx="0">
                  <c:v>PORCENTAJE</c:v>
                </c:pt>
              </c:strCache>
            </c:strRef>
          </c:tx>
          <c:spPr>
            <a:ln w="28575" cap="rnd">
              <a:solidFill>
                <a:srgbClr val="002060"/>
              </a:solidFill>
              <a:round/>
            </a:ln>
            <a:effectLst/>
          </c:spPr>
          <c:marker>
            <c:symbol val="none"/>
          </c:marker>
          <c:cat>
            <c:strRef>
              <c:f>'RESUMEN PLAN FINANCIERO'!$K$45:$K$50</c:f>
              <c:strCache>
                <c:ptCount val="6"/>
                <c:pt idx="0">
                  <c:v>RECURSOS PROPIOS (LIBRE INVERSIÓN)</c:v>
                </c:pt>
                <c:pt idx="1">
                  <c:v>RECURSOS PROPIOS (DESTINACIÓN ESPECÍFICA)</c:v>
                </c:pt>
                <c:pt idx="2">
                  <c:v>SISTEMA GENERAL DE PARTICIPACIONES</c:v>
                </c:pt>
                <c:pt idx="3">
                  <c:v>SISTEMA GENERAL DE REGALÍAS </c:v>
                </c:pt>
                <c:pt idx="4">
                  <c:v>OTROS RECURSOS DE COFINANCIACIÓN</c:v>
                </c:pt>
                <c:pt idx="5">
                  <c:v>TOTAL</c:v>
                </c:pt>
              </c:strCache>
            </c:strRef>
          </c:cat>
          <c:val>
            <c:numRef>
              <c:f>'RESUMEN PLAN FINANCIERO'!$M$45:$M$50</c:f>
              <c:numCache>
                <c:formatCode>0%</c:formatCode>
                <c:ptCount val="6"/>
                <c:pt idx="0">
                  <c:v>3.6765605656987208E-2</c:v>
                </c:pt>
                <c:pt idx="1">
                  <c:v>8.8539121888394523E-2</c:v>
                </c:pt>
                <c:pt idx="2">
                  <c:v>0.52695782427563265</c:v>
                </c:pt>
                <c:pt idx="3">
                  <c:v>0.19798877371904408</c:v>
                </c:pt>
                <c:pt idx="4">
                  <c:v>0.14974867445994161</c:v>
                </c:pt>
                <c:pt idx="5">
                  <c:v>1</c:v>
                </c:pt>
              </c:numCache>
            </c:numRef>
          </c:val>
          <c:smooth val="0"/>
          <c:extLst xmlns:c16r2="http://schemas.microsoft.com/office/drawing/2015/06/chart">
            <c:ext xmlns:c16="http://schemas.microsoft.com/office/drawing/2014/chart" uri="{C3380CC4-5D6E-409C-BE32-E72D297353CC}">
              <c16:uniqueId val="{0000000D-5CDC-4F73-B3EE-68892D0247CC}"/>
            </c:ext>
          </c:extLst>
        </c:ser>
        <c:dLbls>
          <c:showLegendKey val="0"/>
          <c:showVal val="0"/>
          <c:showCatName val="0"/>
          <c:showSerName val="0"/>
          <c:showPercent val="0"/>
          <c:showBubbleSize val="0"/>
        </c:dLbls>
        <c:marker val="1"/>
        <c:smooth val="0"/>
        <c:axId val="317605416"/>
        <c:axId val="317605024"/>
      </c:lineChart>
      <c:catAx>
        <c:axId val="317804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crossAx val="317805200"/>
        <c:crosses val="autoZero"/>
        <c:auto val="1"/>
        <c:lblAlgn val="ctr"/>
        <c:lblOffset val="100"/>
        <c:noMultiLvlLbl val="0"/>
      </c:catAx>
      <c:valAx>
        <c:axId val="31780520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crossAx val="317804808"/>
        <c:crosses val="autoZero"/>
        <c:crossBetween val="between"/>
      </c:valAx>
      <c:valAx>
        <c:axId val="317605024"/>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crossAx val="317605416"/>
        <c:crosses val="max"/>
        <c:crossBetween val="between"/>
      </c:valAx>
      <c:catAx>
        <c:axId val="317605416"/>
        <c:scaling>
          <c:orientation val="minMax"/>
        </c:scaling>
        <c:delete val="1"/>
        <c:axPos val="b"/>
        <c:numFmt formatCode="General" sourceLinked="1"/>
        <c:majorTickMark val="none"/>
        <c:minorTickMark val="none"/>
        <c:tickLblPos val="nextTo"/>
        <c:crossAx val="317605024"/>
        <c:crosses val="autoZero"/>
        <c:auto val="1"/>
        <c:lblAlgn val="ctr"/>
        <c:lblOffset val="100"/>
        <c:noMultiLvlLbl val="0"/>
      </c:cat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lang="es-ES" sz="900" b="0"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lang="es-ES"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000000000000056" l="0.70000000000000051" r="0.70000000000000051" t="0.75000000000000056" header="0.30000000000000027" footer="0.30000000000000027"/>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chart" Target="../charts/chart1.xml"/><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3236724</xdr:colOff>
      <xdr:row>2</xdr:row>
      <xdr:rowOff>30858</xdr:rowOff>
    </xdr:from>
    <xdr:to>
      <xdr:col>2</xdr:col>
      <xdr:colOff>127000</xdr:colOff>
      <xdr:row>5</xdr:row>
      <xdr:rowOff>1689881</xdr:rowOff>
    </xdr:to>
    <xdr:pic>
      <xdr:nvPicPr>
        <xdr:cNvPr id="3" name="image4.png">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srcRect/>
        <a:stretch>
          <a:fillRect/>
        </a:stretch>
      </xdr:blipFill>
      <xdr:spPr>
        <a:xfrm>
          <a:off x="3490724" y="386458"/>
          <a:ext cx="10123676" cy="2192423"/>
        </a:xfrm>
        <a:prstGeom prst="rect">
          <a:avLst/>
        </a:prstGeom>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3162300</xdr:colOff>
      <xdr:row>3</xdr:row>
      <xdr:rowOff>681037</xdr:rowOff>
    </xdr:from>
    <xdr:to>
      <xdr:col>3</xdr:col>
      <xdr:colOff>14630400</xdr:colOff>
      <xdr:row>4</xdr:row>
      <xdr:rowOff>4000500</xdr:rowOff>
    </xdr:to>
    <xdr:pic>
      <xdr:nvPicPr>
        <xdr:cNvPr id="2" name="image4.png">
          <a:extLst>
            <a:ext uri="{FF2B5EF4-FFF2-40B4-BE49-F238E27FC236}">
              <a16:creationId xmlns:a16="http://schemas.microsoft.com/office/drawing/2014/main" xmlns="" id="{00000000-0008-0000-0A00-000002000000}"/>
            </a:ext>
          </a:extLst>
        </xdr:cNvPr>
        <xdr:cNvPicPr>
          <a:picLocks noChangeAspect="1"/>
        </xdr:cNvPicPr>
      </xdr:nvPicPr>
      <xdr:blipFill>
        <a:blip xmlns:r="http://schemas.openxmlformats.org/officeDocument/2006/relationships" r:embed="rId1"/>
        <a:srcRect/>
        <a:stretch>
          <a:fillRect/>
        </a:stretch>
      </xdr:blipFill>
      <xdr:spPr>
        <a:xfrm>
          <a:off x="3162300" y="681037"/>
          <a:ext cx="38214300" cy="7434263"/>
        </a:xfrm>
        <a:prstGeom prst="rect">
          <a:avLst/>
        </a:prstGeom>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2933700</xdr:colOff>
      <xdr:row>2</xdr:row>
      <xdr:rowOff>1138237</xdr:rowOff>
    </xdr:from>
    <xdr:to>
      <xdr:col>2</xdr:col>
      <xdr:colOff>13422574</xdr:colOff>
      <xdr:row>3</xdr:row>
      <xdr:rowOff>4267200</xdr:rowOff>
    </xdr:to>
    <xdr:pic>
      <xdr:nvPicPr>
        <xdr:cNvPr id="2" name="image4.png">
          <a:extLst>
            <a:ext uri="{FF2B5EF4-FFF2-40B4-BE49-F238E27FC236}">
              <a16:creationId xmlns:a16="http://schemas.microsoft.com/office/drawing/2014/main" xmlns="" id="{00000000-0008-0000-0B00-000002000000}"/>
            </a:ext>
          </a:extLst>
        </xdr:cNvPr>
        <xdr:cNvPicPr>
          <a:picLocks noChangeAspect="1"/>
        </xdr:cNvPicPr>
      </xdr:nvPicPr>
      <xdr:blipFill>
        <a:blip xmlns:r="http://schemas.openxmlformats.org/officeDocument/2006/relationships" r:embed="rId1"/>
        <a:srcRect/>
        <a:stretch>
          <a:fillRect/>
        </a:stretch>
      </xdr:blipFill>
      <xdr:spPr>
        <a:xfrm>
          <a:off x="2933700" y="1138237"/>
          <a:ext cx="37235074" cy="7243763"/>
        </a:xfrm>
        <a:prstGeom prst="rect">
          <a:avLst/>
        </a:prstGeom>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2933700</xdr:colOff>
      <xdr:row>2</xdr:row>
      <xdr:rowOff>1138237</xdr:rowOff>
    </xdr:from>
    <xdr:to>
      <xdr:col>2</xdr:col>
      <xdr:colOff>13422574</xdr:colOff>
      <xdr:row>3</xdr:row>
      <xdr:rowOff>4267200</xdr:rowOff>
    </xdr:to>
    <xdr:pic>
      <xdr:nvPicPr>
        <xdr:cNvPr id="2" name="image4.png">
          <a:extLst>
            <a:ext uri="{FF2B5EF4-FFF2-40B4-BE49-F238E27FC236}">
              <a16:creationId xmlns:a16="http://schemas.microsoft.com/office/drawing/2014/main" xmlns="" id="{00000000-0008-0000-0C00-000002000000}"/>
            </a:ext>
          </a:extLst>
        </xdr:cNvPr>
        <xdr:cNvPicPr>
          <a:picLocks noChangeAspect="1"/>
        </xdr:cNvPicPr>
      </xdr:nvPicPr>
      <xdr:blipFill>
        <a:blip xmlns:r="http://schemas.openxmlformats.org/officeDocument/2006/relationships" r:embed="rId1"/>
        <a:srcRect/>
        <a:stretch>
          <a:fillRect/>
        </a:stretch>
      </xdr:blipFill>
      <xdr:spPr>
        <a:xfrm>
          <a:off x="2933700" y="1138237"/>
          <a:ext cx="37250314" cy="7228523"/>
        </a:xfrm>
        <a:prstGeom prst="rect">
          <a:avLst/>
        </a:prstGeom>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4</xdr:col>
      <xdr:colOff>422910</xdr:colOff>
      <xdr:row>0</xdr:row>
      <xdr:rowOff>0</xdr:rowOff>
    </xdr:from>
    <xdr:ext cx="185326" cy="319305"/>
    <xdr:sp macro="" textlink="">
      <xdr:nvSpPr>
        <xdr:cNvPr id="2" name="3 CuadroTexto">
          <a:extLst>
            <a:ext uri="{FF2B5EF4-FFF2-40B4-BE49-F238E27FC236}">
              <a16:creationId xmlns:a16="http://schemas.microsoft.com/office/drawing/2014/main" xmlns="" id="{00000000-0008-0000-0D00-000002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3" name="4 CuadroTexto">
          <a:extLst>
            <a:ext uri="{FF2B5EF4-FFF2-40B4-BE49-F238E27FC236}">
              <a16:creationId xmlns:a16="http://schemas.microsoft.com/office/drawing/2014/main" xmlns="" id="{00000000-0008-0000-0D00-000003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4" name="11 CuadroTexto">
          <a:extLst>
            <a:ext uri="{FF2B5EF4-FFF2-40B4-BE49-F238E27FC236}">
              <a16:creationId xmlns:a16="http://schemas.microsoft.com/office/drawing/2014/main" xmlns="" id="{00000000-0008-0000-0D00-000004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5" name="12 CuadroTexto">
          <a:extLst>
            <a:ext uri="{FF2B5EF4-FFF2-40B4-BE49-F238E27FC236}">
              <a16:creationId xmlns:a16="http://schemas.microsoft.com/office/drawing/2014/main" xmlns="" id="{00000000-0008-0000-0D00-000005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6" name="11 CuadroTexto">
          <a:extLst>
            <a:ext uri="{FF2B5EF4-FFF2-40B4-BE49-F238E27FC236}">
              <a16:creationId xmlns:a16="http://schemas.microsoft.com/office/drawing/2014/main" xmlns="" id="{00000000-0008-0000-0D00-000006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7" name="12 CuadroTexto">
          <a:extLst>
            <a:ext uri="{FF2B5EF4-FFF2-40B4-BE49-F238E27FC236}">
              <a16:creationId xmlns:a16="http://schemas.microsoft.com/office/drawing/2014/main" xmlns="" id="{00000000-0008-0000-0D00-000007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8" name="1 CuadroTexto">
          <a:extLst>
            <a:ext uri="{FF2B5EF4-FFF2-40B4-BE49-F238E27FC236}">
              <a16:creationId xmlns:a16="http://schemas.microsoft.com/office/drawing/2014/main" xmlns="" id="{00000000-0008-0000-0D00-000008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9" name="2 CuadroTexto">
          <a:extLst>
            <a:ext uri="{FF2B5EF4-FFF2-40B4-BE49-F238E27FC236}">
              <a16:creationId xmlns:a16="http://schemas.microsoft.com/office/drawing/2014/main" xmlns="" id="{00000000-0008-0000-0D00-000009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0" name="3 CuadroTexto">
          <a:extLst>
            <a:ext uri="{FF2B5EF4-FFF2-40B4-BE49-F238E27FC236}">
              <a16:creationId xmlns:a16="http://schemas.microsoft.com/office/drawing/2014/main" xmlns="" id="{00000000-0008-0000-0D00-00000A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1" name="4 CuadroTexto">
          <a:extLst>
            <a:ext uri="{FF2B5EF4-FFF2-40B4-BE49-F238E27FC236}">
              <a16:creationId xmlns:a16="http://schemas.microsoft.com/office/drawing/2014/main" xmlns="" id="{00000000-0008-0000-0D00-00000B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2" name="11 CuadroTexto">
          <a:extLst>
            <a:ext uri="{FF2B5EF4-FFF2-40B4-BE49-F238E27FC236}">
              <a16:creationId xmlns:a16="http://schemas.microsoft.com/office/drawing/2014/main" xmlns="" id="{00000000-0008-0000-0D00-00000C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3" name="12 CuadroTexto">
          <a:extLst>
            <a:ext uri="{FF2B5EF4-FFF2-40B4-BE49-F238E27FC236}">
              <a16:creationId xmlns:a16="http://schemas.microsoft.com/office/drawing/2014/main" xmlns="" id="{00000000-0008-0000-0D00-00000D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4" name="11 CuadroTexto">
          <a:extLst>
            <a:ext uri="{FF2B5EF4-FFF2-40B4-BE49-F238E27FC236}">
              <a16:creationId xmlns:a16="http://schemas.microsoft.com/office/drawing/2014/main" xmlns="" id="{00000000-0008-0000-0D00-00000E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5" name="12 CuadroTexto">
          <a:extLst>
            <a:ext uri="{FF2B5EF4-FFF2-40B4-BE49-F238E27FC236}">
              <a16:creationId xmlns:a16="http://schemas.microsoft.com/office/drawing/2014/main" xmlns="" id="{00000000-0008-0000-0D00-00000F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6" name="1 CuadroTexto">
          <a:extLst>
            <a:ext uri="{FF2B5EF4-FFF2-40B4-BE49-F238E27FC236}">
              <a16:creationId xmlns:a16="http://schemas.microsoft.com/office/drawing/2014/main" xmlns="" id="{00000000-0008-0000-0D00-000010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7" name="2 CuadroTexto">
          <a:extLst>
            <a:ext uri="{FF2B5EF4-FFF2-40B4-BE49-F238E27FC236}">
              <a16:creationId xmlns:a16="http://schemas.microsoft.com/office/drawing/2014/main" xmlns="" id="{00000000-0008-0000-0D00-000011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8" name="3 CuadroTexto">
          <a:extLst>
            <a:ext uri="{FF2B5EF4-FFF2-40B4-BE49-F238E27FC236}">
              <a16:creationId xmlns:a16="http://schemas.microsoft.com/office/drawing/2014/main" xmlns="" id="{00000000-0008-0000-0D00-000012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19" name="4 CuadroTexto">
          <a:extLst>
            <a:ext uri="{FF2B5EF4-FFF2-40B4-BE49-F238E27FC236}">
              <a16:creationId xmlns:a16="http://schemas.microsoft.com/office/drawing/2014/main" xmlns="" id="{00000000-0008-0000-0D00-000013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20" name="11 CuadroTexto">
          <a:extLst>
            <a:ext uri="{FF2B5EF4-FFF2-40B4-BE49-F238E27FC236}">
              <a16:creationId xmlns:a16="http://schemas.microsoft.com/office/drawing/2014/main" xmlns="" id="{00000000-0008-0000-0D00-000014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21" name="12 CuadroTexto">
          <a:extLst>
            <a:ext uri="{FF2B5EF4-FFF2-40B4-BE49-F238E27FC236}">
              <a16:creationId xmlns:a16="http://schemas.microsoft.com/office/drawing/2014/main" xmlns="" id="{00000000-0008-0000-0D00-000015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22" name="11 CuadroTexto">
          <a:extLst>
            <a:ext uri="{FF2B5EF4-FFF2-40B4-BE49-F238E27FC236}">
              <a16:creationId xmlns:a16="http://schemas.microsoft.com/office/drawing/2014/main" xmlns="" id="{00000000-0008-0000-0D00-000016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23" name="12 CuadroTexto">
          <a:extLst>
            <a:ext uri="{FF2B5EF4-FFF2-40B4-BE49-F238E27FC236}">
              <a16:creationId xmlns:a16="http://schemas.microsoft.com/office/drawing/2014/main" xmlns="" id="{00000000-0008-0000-0D00-000017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24" name="1 CuadroTexto">
          <a:extLst>
            <a:ext uri="{FF2B5EF4-FFF2-40B4-BE49-F238E27FC236}">
              <a16:creationId xmlns:a16="http://schemas.microsoft.com/office/drawing/2014/main" xmlns="" id="{00000000-0008-0000-0D00-000018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422910</xdr:colOff>
      <xdr:row>0</xdr:row>
      <xdr:rowOff>0</xdr:rowOff>
    </xdr:from>
    <xdr:ext cx="185326" cy="319305"/>
    <xdr:sp macro="" textlink="">
      <xdr:nvSpPr>
        <xdr:cNvPr id="25" name="2 CuadroTexto">
          <a:extLst>
            <a:ext uri="{FF2B5EF4-FFF2-40B4-BE49-F238E27FC236}">
              <a16:creationId xmlns:a16="http://schemas.microsoft.com/office/drawing/2014/main" xmlns="" id="{00000000-0008-0000-0D00-000019000000}"/>
            </a:ext>
          </a:extLst>
        </xdr:cNvPr>
        <xdr:cNvSpPr txBox="1"/>
      </xdr:nvSpPr>
      <xdr:spPr>
        <a:xfrm>
          <a:off x="1177290" y="0"/>
          <a:ext cx="185326" cy="319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26" name="3 CuadroTexto">
          <a:extLst>
            <a:ext uri="{FF2B5EF4-FFF2-40B4-BE49-F238E27FC236}">
              <a16:creationId xmlns:a16="http://schemas.microsoft.com/office/drawing/2014/main" xmlns="" id="{00000000-0008-0000-0D00-00001A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27" name="4 CuadroTexto">
          <a:extLst>
            <a:ext uri="{FF2B5EF4-FFF2-40B4-BE49-F238E27FC236}">
              <a16:creationId xmlns:a16="http://schemas.microsoft.com/office/drawing/2014/main" xmlns="" id="{00000000-0008-0000-0D00-00001B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28" name="11 CuadroTexto">
          <a:extLst>
            <a:ext uri="{FF2B5EF4-FFF2-40B4-BE49-F238E27FC236}">
              <a16:creationId xmlns:a16="http://schemas.microsoft.com/office/drawing/2014/main" xmlns="" id="{00000000-0008-0000-0D00-00001C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29" name="12 CuadroTexto">
          <a:extLst>
            <a:ext uri="{FF2B5EF4-FFF2-40B4-BE49-F238E27FC236}">
              <a16:creationId xmlns:a16="http://schemas.microsoft.com/office/drawing/2014/main" xmlns="" id="{00000000-0008-0000-0D00-00001D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0" name="11 CuadroTexto">
          <a:extLst>
            <a:ext uri="{FF2B5EF4-FFF2-40B4-BE49-F238E27FC236}">
              <a16:creationId xmlns:a16="http://schemas.microsoft.com/office/drawing/2014/main" xmlns="" id="{00000000-0008-0000-0D00-00001E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1" name="12 CuadroTexto">
          <a:extLst>
            <a:ext uri="{FF2B5EF4-FFF2-40B4-BE49-F238E27FC236}">
              <a16:creationId xmlns:a16="http://schemas.microsoft.com/office/drawing/2014/main" xmlns="" id="{00000000-0008-0000-0D00-00001F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2" name="1 CuadroTexto">
          <a:extLst>
            <a:ext uri="{FF2B5EF4-FFF2-40B4-BE49-F238E27FC236}">
              <a16:creationId xmlns:a16="http://schemas.microsoft.com/office/drawing/2014/main" xmlns="" id="{00000000-0008-0000-0D00-000020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3" name="2 CuadroTexto">
          <a:extLst>
            <a:ext uri="{FF2B5EF4-FFF2-40B4-BE49-F238E27FC236}">
              <a16:creationId xmlns:a16="http://schemas.microsoft.com/office/drawing/2014/main" xmlns="" id="{00000000-0008-0000-0D00-000021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4" name="3 CuadroTexto">
          <a:extLst>
            <a:ext uri="{FF2B5EF4-FFF2-40B4-BE49-F238E27FC236}">
              <a16:creationId xmlns:a16="http://schemas.microsoft.com/office/drawing/2014/main" xmlns="" id="{00000000-0008-0000-0D00-000022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5" name="4 CuadroTexto">
          <a:extLst>
            <a:ext uri="{FF2B5EF4-FFF2-40B4-BE49-F238E27FC236}">
              <a16:creationId xmlns:a16="http://schemas.microsoft.com/office/drawing/2014/main" xmlns="" id="{00000000-0008-0000-0D00-000023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6" name="11 CuadroTexto">
          <a:extLst>
            <a:ext uri="{FF2B5EF4-FFF2-40B4-BE49-F238E27FC236}">
              <a16:creationId xmlns:a16="http://schemas.microsoft.com/office/drawing/2014/main" xmlns="" id="{00000000-0008-0000-0D00-000024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7" name="12 CuadroTexto">
          <a:extLst>
            <a:ext uri="{FF2B5EF4-FFF2-40B4-BE49-F238E27FC236}">
              <a16:creationId xmlns:a16="http://schemas.microsoft.com/office/drawing/2014/main" xmlns="" id="{00000000-0008-0000-0D00-000025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8" name="11 CuadroTexto">
          <a:extLst>
            <a:ext uri="{FF2B5EF4-FFF2-40B4-BE49-F238E27FC236}">
              <a16:creationId xmlns:a16="http://schemas.microsoft.com/office/drawing/2014/main" xmlns="" id="{00000000-0008-0000-0D00-000026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39" name="12 CuadroTexto">
          <a:extLst>
            <a:ext uri="{FF2B5EF4-FFF2-40B4-BE49-F238E27FC236}">
              <a16:creationId xmlns:a16="http://schemas.microsoft.com/office/drawing/2014/main" xmlns="" id="{00000000-0008-0000-0D00-000027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0" name="1 CuadroTexto">
          <a:extLst>
            <a:ext uri="{FF2B5EF4-FFF2-40B4-BE49-F238E27FC236}">
              <a16:creationId xmlns:a16="http://schemas.microsoft.com/office/drawing/2014/main" xmlns="" id="{00000000-0008-0000-0D00-000028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1" name="2 CuadroTexto">
          <a:extLst>
            <a:ext uri="{FF2B5EF4-FFF2-40B4-BE49-F238E27FC236}">
              <a16:creationId xmlns:a16="http://schemas.microsoft.com/office/drawing/2014/main" xmlns="" id="{00000000-0008-0000-0D00-000029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2" name="3 CuadroTexto">
          <a:extLst>
            <a:ext uri="{FF2B5EF4-FFF2-40B4-BE49-F238E27FC236}">
              <a16:creationId xmlns:a16="http://schemas.microsoft.com/office/drawing/2014/main" xmlns="" id="{00000000-0008-0000-0D00-00002A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3" name="4 CuadroTexto">
          <a:extLst>
            <a:ext uri="{FF2B5EF4-FFF2-40B4-BE49-F238E27FC236}">
              <a16:creationId xmlns:a16="http://schemas.microsoft.com/office/drawing/2014/main" xmlns="" id="{00000000-0008-0000-0D00-00002B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4" name="11 CuadroTexto">
          <a:extLst>
            <a:ext uri="{FF2B5EF4-FFF2-40B4-BE49-F238E27FC236}">
              <a16:creationId xmlns:a16="http://schemas.microsoft.com/office/drawing/2014/main" xmlns="" id="{00000000-0008-0000-0D00-00002C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5" name="12 CuadroTexto">
          <a:extLst>
            <a:ext uri="{FF2B5EF4-FFF2-40B4-BE49-F238E27FC236}">
              <a16:creationId xmlns:a16="http://schemas.microsoft.com/office/drawing/2014/main" xmlns="" id="{00000000-0008-0000-0D00-00002D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6" name="11 CuadroTexto">
          <a:extLst>
            <a:ext uri="{FF2B5EF4-FFF2-40B4-BE49-F238E27FC236}">
              <a16:creationId xmlns:a16="http://schemas.microsoft.com/office/drawing/2014/main" xmlns="" id="{00000000-0008-0000-0D00-00002E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7" name="12 CuadroTexto">
          <a:extLst>
            <a:ext uri="{FF2B5EF4-FFF2-40B4-BE49-F238E27FC236}">
              <a16:creationId xmlns:a16="http://schemas.microsoft.com/office/drawing/2014/main" xmlns="" id="{00000000-0008-0000-0D00-00002F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8" name="1 CuadroTexto">
          <a:extLst>
            <a:ext uri="{FF2B5EF4-FFF2-40B4-BE49-F238E27FC236}">
              <a16:creationId xmlns:a16="http://schemas.microsoft.com/office/drawing/2014/main" xmlns="" id="{00000000-0008-0000-0D00-000030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4</xdr:col>
      <xdr:colOff>438150</xdr:colOff>
      <xdr:row>0</xdr:row>
      <xdr:rowOff>0</xdr:rowOff>
    </xdr:from>
    <xdr:ext cx="184731" cy="264560"/>
    <xdr:sp macro="" textlink="">
      <xdr:nvSpPr>
        <xdr:cNvPr id="49" name="2 CuadroTexto">
          <a:extLst>
            <a:ext uri="{FF2B5EF4-FFF2-40B4-BE49-F238E27FC236}">
              <a16:creationId xmlns:a16="http://schemas.microsoft.com/office/drawing/2014/main" xmlns="" id="{00000000-0008-0000-0D00-000031000000}"/>
            </a:ext>
          </a:extLst>
        </xdr:cNvPr>
        <xdr:cNvSpPr txBox="1"/>
      </xdr:nvSpPr>
      <xdr:spPr>
        <a:xfrm>
          <a:off x="117729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152400</xdr:colOff>
      <xdr:row>26</xdr:row>
      <xdr:rowOff>24821</xdr:rowOff>
    </xdr:from>
    <xdr:to>
      <xdr:col>3</xdr:col>
      <xdr:colOff>524934</xdr:colOff>
      <xdr:row>46</xdr:row>
      <xdr:rowOff>50799</xdr:rowOff>
    </xdr:to>
    <xdr:graphicFrame macro="">
      <xdr:nvGraphicFramePr>
        <xdr:cNvPr id="2" name="Gráfico 1">
          <a:extLst>
            <a:ext uri="{FF2B5EF4-FFF2-40B4-BE49-F238E27FC236}">
              <a16:creationId xmlns:a16="http://schemas.microsoft.com/office/drawing/2014/main" xmlns=""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77065</xdr:colOff>
      <xdr:row>2</xdr:row>
      <xdr:rowOff>15586</xdr:rowOff>
    </xdr:from>
    <xdr:to>
      <xdr:col>1</xdr:col>
      <xdr:colOff>2807852</xdr:colOff>
      <xdr:row>5</xdr:row>
      <xdr:rowOff>123825</xdr:rowOff>
    </xdr:to>
    <xdr:pic>
      <xdr:nvPicPr>
        <xdr:cNvPr id="3" name="image4.png">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2"/>
        <a:srcRect/>
        <a:stretch>
          <a:fillRect/>
        </a:stretch>
      </xdr:blipFill>
      <xdr:spPr>
        <a:xfrm>
          <a:off x="328525" y="373726"/>
          <a:ext cx="2730787" cy="656879"/>
        </a:xfrm>
        <a:prstGeom prst="rect">
          <a:avLst/>
        </a:prstGeom>
        <a:ln/>
      </xdr:spPr>
    </xdr:pic>
    <xdr:clientData/>
  </xdr:twoCellAnchor>
  <xdr:twoCellAnchor>
    <xdr:from>
      <xdr:col>1</xdr:col>
      <xdr:colOff>1278467</xdr:colOff>
      <xdr:row>53</xdr:row>
      <xdr:rowOff>59268</xdr:rowOff>
    </xdr:from>
    <xdr:to>
      <xdr:col>6</xdr:col>
      <xdr:colOff>533400</xdr:colOff>
      <xdr:row>75</xdr:row>
      <xdr:rowOff>160868</xdr:rowOff>
    </xdr:to>
    <xdr:graphicFrame macro="">
      <xdr:nvGraphicFramePr>
        <xdr:cNvPr id="4" name="Gráfico 3">
          <a:extLst>
            <a:ext uri="{FF2B5EF4-FFF2-40B4-BE49-F238E27FC236}">
              <a16:creationId xmlns:a16="http://schemas.microsoft.com/office/drawing/2014/main" xmlns=""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905933</xdr:colOff>
      <xdr:row>26</xdr:row>
      <xdr:rowOff>33866</xdr:rowOff>
    </xdr:from>
    <xdr:to>
      <xdr:col>6</xdr:col>
      <xdr:colOff>1549399</xdr:colOff>
      <xdr:row>46</xdr:row>
      <xdr:rowOff>59266</xdr:rowOff>
    </xdr:to>
    <xdr:graphicFrame macro="">
      <xdr:nvGraphicFramePr>
        <xdr:cNvPr id="5" name="Gráfico 4">
          <a:extLst>
            <a:ext uri="{FF2B5EF4-FFF2-40B4-BE49-F238E27FC236}">
              <a16:creationId xmlns:a16="http://schemas.microsoft.com/office/drawing/2014/main" xmlns=""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77065</xdr:colOff>
      <xdr:row>2</xdr:row>
      <xdr:rowOff>15586</xdr:rowOff>
    </xdr:from>
    <xdr:to>
      <xdr:col>1</xdr:col>
      <xdr:colOff>2807852</xdr:colOff>
      <xdr:row>5</xdr:row>
      <xdr:rowOff>123825</xdr:rowOff>
    </xdr:to>
    <xdr:pic>
      <xdr:nvPicPr>
        <xdr:cNvPr id="5" name="image4.png">
          <a:extLst>
            <a:ext uri="{FF2B5EF4-FFF2-40B4-BE49-F238E27FC236}">
              <a16:creationId xmlns:a16="http://schemas.microsoft.com/office/drawing/2014/main" xmlns="" id="{00000000-0008-0000-0200-000005000000}"/>
            </a:ext>
          </a:extLst>
        </xdr:cNvPr>
        <xdr:cNvPicPr>
          <a:picLocks noChangeAspect="1"/>
        </xdr:cNvPicPr>
      </xdr:nvPicPr>
      <xdr:blipFill>
        <a:blip xmlns:r="http://schemas.openxmlformats.org/officeDocument/2006/relationships" r:embed="rId1"/>
        <a:srcRect/>
        <a:stretch>
          <a:fillRect/>
        </a:stretch>
      </xdr:blipFill>
      <xdr:spPr>
        <a:xfrm>
          <a:off x="324715" y="377536"/>
          <a:ext cx="2730787" cy="651164"/>
        </a:xfrm>
        <a:prstGeom prst="rect">
          <a:avLst/>
        </a:prstGeom>
        <a:ln/>
      </xdr:spPr>
    </xdr:pic>
    <xdr:clientData/>
  </xdr:twoCellAnchor>
  <xdr:twoCellAnchor>
    <xdr:from>
      <xdr:col>1</xdr:col>
      <xdr:colOff>74083</xdr:colOff>
      <xdr:row>25</xdr:row>
      <xdr:rowOff>154519</xdr:rowOff>
    </xdr:from>
    <xdr:to>
      <xdr:col>4</xdr:col>
      <xdr:colOff>21167</xdr:colOff>
      <xdr:row>47</xdr:row>
      <xdr:rowOff>21168</xdr:rowOff>
    </xdr:to>
    <xdr:graphicFrame macro="">
      <xdr:nvGraphicFramePr>
        <xdr:cNvPr id="3" name="Gráfico 2">
          <a:extLst>
            <a:ext uri="{FF2B5EF4-FFF2-40B4-BE49-F238E27FC236}">
              <a16:creationId xmlns:a16="http://schemas.microsoft.com/office/drawing/2014/main" xmlns=""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1005416</xdr:colOff>
      <xdr:row>26</xdr:row>
      <xdr:rowOff>63501</xdr:rowOff>
    </xdr:from>
    <xdr:to>
      <xdr:col>8</xdr:col>
      <xdr:colOff>1195916</xdr:colOff>
      <xdr:row>48</xdr:row>
      <xdr:rowOff>31751</xdr:rowOff>
    </xdr:to>
    <xdr:graphicFrame macro="">
      <xdr:nvGraphicFramePr>
        <xdr:cNvPr id="6" name="Gráfico 2">
          <a:extLst>
            <a:ext uri="{FF2B5EF4-FFF2-40B4-BE49-F238E27FC236}">
              <a16:creationId xmlns:a16="http://schemas.microsoft.com/office/drawing/2014/main" xmlns="" i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355600</xdr:colOff>
      <xdr:row>1</xdr:row>
      <xdr:rowOff>293286</xdr:rowOff>
    </xdr:from>
    <xdr:to>
      <xdr:col>0</xdr:col>
      <xdr:colOff>4110425</xdr:colOff>
      <xdr:row>2</xdr:row>
      <xdr:rowOff>1037038</xdr:rowOff>
    </xdr:to>
    <xdr:pic>
      <xdr:nvPicPr>
        <xdr:cNvPr id="2" name="Imagen 1">
          <a:extLst>
            <a:ext uri="{FF2B5EF4-FFF2-40B4-BE49-F238E27FC236}">
              <a16:creationId xmlns:a16="http://schemas.microsoft.com/office/drawing/2014/main" xmlns="" id="{00000000-0008-0000-0400-000002000000}"/>
            </a:ext>
          </a:extLst>
        </xdr:cNvPr>
        <xdr:cNvPicPr>
          <a:picLocks noChangeAspect="1"/>
        </xdr:cNvPicPr>
      </xdr:nvPicPr>
      <xdr:blipFill rotWithShape="1">
        <a:blip xmlns:r="http://schemas.openxmlformats.org/officeDocument/2006/relationships" r:embed="rId1"/>
        <a:srcRect t="9044" b="18782"/>
        <a:stretch/>
      </xdr:blipFill>
      <xdr:spPr>
        <a:xfrm>
          <a:off x="355600" y="0"/>
          <a:ext cx="3754825" cy="10370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77065</xdr:colOff>
      <xdr:row>2</xdr:row>
      <xdr:rowOff>15586</xdr:rowOff>
    </xdr:from>
    <xdr:to>
      <xdr:col>1</xdr:col>
      <xdr:colOff>2807852</xdr:colOff>
      <xdr:row>5</xdr:row>
      <xdr:rowOff>123825</xdr:rowOff>
    </xdr:to>
    <xdr:pic>
      <xdr:nvPicPr>
        <xdr:cNvPr id="2" name="image4.png">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a:srcRect/>
        <a:stretch>
          <a:fillRect/>
        </a:stretch>
      </xdr:blipFill>
      <xdr:spPr>
        <a:xfrm>
          <a:off x="324715" y="377536"/>
          <a:ext cx="2730787" cy="651164"/>
        </a:xfrm>
        <a:prstGeom prst="rect">
          <a:avLst/>
        </a:prstGeom>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6057900</xdr:colOff>
      <xdr:row>3</xdr:row>
      <xdr:rowOff>833437</xdr:rowOff>
    </xdr:from>
    <xdr:to>
      <xdr:col>4</xdr:col>
      <xdr:colOff>1524000</xdr:colOff>
      <xdr:row>4</xdr:row>
      <xdr:rowOff>4449381</xdr:rowOff>
    </xdr:to>
    <xdr:pic>
      <xdr:nvPicPr>
        <xdr:cNvPr id="3" name="image4.png">
          <a:extLst>
            <a:ext uri="{FF2B5EF4-FFF2-40B4-BE49-F238E27FC236}">
              <a16:creationId xmlns:a16="http://schemas.microsoft.com/office/drawing/2014/main" xmlns="" id="{00000000-0008-0000-0600-000003000000}"/>
            </a:ext>
          </a:extLst>
        </xdr:cNvPr>
        <xdr:cNvPicPr>
          <a:picLocks noChangeAspect="1"/>
        </xdr:cNvPicPr>
      </xdr:nvPicPr>
      <xdr:blipFill>
        <a:blip xmlns:r="http://schemas.openxmlformats.org/officeDocument/2006/relationships" r:embed="rId1"/>
        <a:srcRect/>
        <a:stretch>
          <a:fillRect/>
        </a:stretch>
      </xdr:blipFill>
      <xdr:spPr>
        <a:xfrm>
          <a:off x="6896100" y="1976437"/>
          <a:ext cx="39738300" cy="7730744"/>
        </a:xfrm>
        <a:prstGeom prst="rect">
          <a:avLst/>
        </a:prstGeom>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6057900</xdr:colOff>
      <xdr:row>3</xdr:row>
      <xdr:rowOff>1881187</xdr:rowOff>
    </xdr:from>
    <xdr:to>
      <xdr:col>3</xdr:col>
      <xdr:colOff>11556690</xdr:colOff>
      <xdr:row>4</xdr:row>
      <xdr:rowOff>4095750</xdr:rowOff>
    </xdr:to>
    <xdr:pic>
      <xdr:nvPicPr>
        <xdr:cNvPr id="2" name="image4.png">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a:srcRect/>
        <a:stretch>
          <a:fillRect/>
        </a:stretch>
      </xdr:blipFill>
      <xdr:spPr>
        <a:xfrm>
          <a:off x="6819900" y="3024187"/>
          <a:ext cx="31597290" cy="6310313"/>
        </a:xfrm>
        <a:prstGeom prst="rect">
          <a:avLst/>
        </a:prstGeom>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2305050</xdr:colOff>
      <xdr:row>3</xdr:row>
      <xdr:rowOff>1728787</xdr:rowOff>
    </xdr:from>
    <xdr:to>
      <xdr:col>3</xdr:col>
      <xdr:colOff>3667125</xdr:colOff>
      <xdr:row>4</xdr:row>
      <xdr:rowOff>3095087</xdr:rowOff>
    </xdr:to>
    <xdr:pic>
      <xdr:nvPicPr>
        <xdr:cNvPr id="2" name="image4.png">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srcRect/>
        <a:stretch>
          <a:fillRect/>
        </a:stretch>
      </xdr:blipFill>
      <xdr:spPr>
        <a:xfrm>
          <a:off x="3086100" y="2519362"/>
          <a:ext cx="27384375" cy="5471575"/>
        </a:xfrm>
        <a:prstGeom prst="rect">
          <a:avLst/>
        </a:prstGeom>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10991850</xdr:colOff>
      <xdr:row>3</xdr:row>
      <xdr:rowOff>1500187</xdr:rowOff>
    </xdr:from>
    <xdr:to>
      <xdr:col>5</xdr:col>
      <xdr:colOff>6324600</xdr:colOff>
      <xdr:row>4</xdr:row>
      <xdr:rowOff>4023629</xdr:rowOff>
    </xdr:to>
    <xdr:pic>
      <xdr:nvPicPr>
        <xdr:cNvPr id="2" name="image4.png">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a:srcRect/>
        <a:stretch>
          <a:fillRect/>
        </a:stretch>
      </xdr:blipFill>
      <xdr:spPr>
        <a:xfrm>
          <a:off x="11830050" y="2262187"/>
          <a:ext cx="37623750" cy="6638242"/>
        </a:xfrm>
        <a:prstGeom prst="rect">
          <a:avLst/>
        </a:prstGeom>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superavit\superavit%20febrero%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S_HACIENDA/PPTO%202020/PPTO%202020/ANEXOS%20AL%20PROYECTO%20DE%20ORDENANZA%20PRESUPUESTO%20VIGENCIA%202020%20AJUSTES%20NOV%20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LDOS DISPONIBLES INICIAL"/>
      <sheetName val="SALDOS DISPONIBLES 2019 (3)"/>
      <sheetName val="POAI 2020"/>
      <sheetName val="Hoja1"/>
    </sheetNames>
    <sheetDataSet>
      <sheetData sheetId="0"/>
      <sheetData sheetId="1"/>
      <sheetData sheetId="2">
        <row r="14">
          <cell r="N14">
            <v>70000000</v>
          </cell>
        </row>
        <row r="20">
          <cell r="N20">
            <v>215835248</v>
          </cell>
        </row>
        <row r="21">
          <cell r="N21">
            <v>24164752</v>
          </cell>
        </row>
        <row r="27">
          <cell r="N27">
            <v>200000000</v>
          </cell>
        </row>
        <row r="32">
          <cell r="N32">
            <v>50000000</v>
          </cell>
        </row>
        <row r="35">
          <cell r="N35">
            <v>50000000</v>
          </cell>
        </row>
        <row r="41">
          <cell r="N41">
            <v>935425808</v>
          </cell>
        </row>
        <row r="47">
          <cell r="N47">
            <v>350000000</v>
          </cell>
        </row>
        <row r="48">
          <cell r="N48">
            <v>25000000</v>
          </cell>
        </row>
        <row r="49">
          <cell r="N49">
            <v>100000000</v>
          </cell>
        </row>
        <row r="55">
          <cell r="N55">
            <v>600000000</v>
          </cell>
        </row>
        <row r="56">
          <cell r="N56">
            <v>50000000</v>
          </cell>
        </row>
        <row r="58">
          <cell r="N58">
            <v>4595852175</v>
          </cell>
        </row>
        <row r="59">
          <cell r="N59">
            <v>4000000000</v>
          </cell>
        </row>
        <row r="60">
          <cell r="N60">
            <v>300000000</v>
          </cell>
        </row>
        <row r="61">
          <cell r="N61">
            <v>1400000000</v>
          </cell>
        </row>
        <row r="67">
          <cell r="N67">
            <v>350000000</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NTAS 2020"/>
      <sheetName val="ANEXO 1 FUNCIONAMIENTO"/>
      <sheetName val="ANEXO 2 INVERSION"/>
    </sheetNames>
    <sheetDataSet>
      <sheetData sheetId="0">
        <row r="126">
          <cell r="G126">
            <v>311927478041</v>
          </cell>
        </row>
      </sheetData>
      <sheetData sheetId="1">
        <row r="387">
          <cell r="I387">
            <v>41478566921</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Y188"/>
  <sheetViews>
    <sheetView view="pageBreakPreview" zoomScale="40" zoomScaleSheetLayoutView="40" workbookViewId="0">
      <pane xSplit="1" ySplit="11" topLeftCell="G64" activePane="bottomRight" state="frozen"/>
      <selection pane="topRight" activeCell="B1" sqref="B1"/>
      <selection pane="bottomLeft" activeCell="A12" sqref="A12"/>
      <selection pane="bottomRight" activeCell="J71" sqref="J71"/>
    </sheetView>
  </sheetViews>
  <sheetFormatPr baseColWidth="10" defaultColWidth="11.44140625" defaultRowHeight="13.8"/>
  <cols>
    <col min="1" max="1" width="3.5546875" style="698" customWidth="1"/>
    <col min="2" max="2" width="193.109375" style="698" customWidth="1"/>
    <col min="3" max="3" width="59.88671875" style="699" customWidth="1"/>
    <col min="4" max="4" width="52.109375" style="699" customWidth="1"/>
    <col min="5" max="7" width="69.33203125" style="699" customWidth="1"/>
    <col min="8" max="8" width="76.5546875" style="700" hidden="1" customWidth="1"/>
    <col min="9" max="9" width="76.5546875" style="700" customWidth="1"/>
    <col min="10" max="10" width="62.44140625" style="700" customWidth="1"/>
    <col min="11" max="11" width="66.33203125" style="700" customWidth="1"/>
    <col min="12" max="12" width="65.5546875" style="700" customWidth="1"/>
    <col min="13" max="13" width="58.33203125" style="700" hidden="1" customWidth="1"/>
    <col min="14" max="14" width="58.33203125" style="700" customWidth="1"/>
    <col min="15" max="15" width="54.33203125" style="701" hidden="1" customWidth="1"/>
    <col min="16" max="16" width="54.33203125" style="701" customWidth="1"/>
    <col min="17" max="17" width="36.6640625" style="698" customWidth="1"/>
    <col min="18" max="18" width="17.109375" style="698" bestFit="1" customWidth="1"/>
    <col min="19" max="19" width="11.44140625" style="726"/>
    <col min="20" max="20" width="36" style="698" customWidth="1"/>
    <col min="21" max="21" width="40.6640625" style="698" customWidth="1"/>
    <col min="22" max="22" width="14" style="698" customWidth="1"/>
    <col min="23" max="16384" width="11.44140625" style="698"/>
  </cols>
  <sheetData>
    <row r="1" spans="1:20">
      <c r="A1" s="1072"/>
      <c r="B1" s="1073"/>
      <c r="C1" s="1074"/>
      <c r="D1" s="1074"/>
      <c r="E1" s="1074"/>
      <c r="F1" s="1074"/>
      <c r="G1" s="1074"/>
      <c r="H1" s="1075"/>
      <c r="I1" s="1075"/>
      <c r="J1" s="1075"/>
      <c r="K1" s="1075"/>
      <c r="L1" s="1075"/>
      <c r="M1" s="1075"/>
      <c r="N1" s="1075"/>
      <c r="O1" s="1076"/>
      <c r="P1" s="1076"/>
      <c r="Q1" s="1077"/>
    </row>
    <row r="2" spans="1:20" ht="13.95" customHeight="1">
      <c r="A2" s="1078"/>
      <c r="B2" s="1476"/>
      <c r="C2" s="1476"/>
      <c r="D2" s="1477" t="s">
        <v>888</v>
      </c>
      <c r="E2" s="1477"/>
      <c r="F2" s="1477"/>
      <c r="G2" s="1477"/>
      <c r="H2" s="1477"/>
      <c r="I2" s="1477"/>
      <c r="J2" s="1477"/>
      <c r="K2" s="1477"/>
      <c r="L2" s="1477"/>
      <c r="M2" s="1477"/>
      <c r="N2" s="1477"/>
      <c r="O2" s="1477"/>
      <c r="P2" s="1477"/>
      <c r="Q2" s="1079"/>
    </row>
    <row r="3" spans="1:20" ht="13.95" customHeight="1">
      <c r="A3" s="1078"/>
      <c r="B3" s="1476"/>
      <c r="C3" s="1476"/>
      <c r="D3" s="1477"/>
      <c r="E3" s="1477"/>
      <c r="F3" s="1477"/>
      <c r="G3" s="1477"/>
      <c r="H3" s="1477"/>
      <c r="I3" s="1477"/>
      <c r="J3" s="1477"/>
      <c r="K3" s="1477"/>
      <c r="L3" s="1477"/>
      <c r="M3" s="1477"/>
      <c r="N3" s="1477"/>
      <c r="O3" s="1477"/>
      <c r="P3" s="1477"/>
      <c r="Q3" s="1079"/>
    </row>
    <row r="4" spans="1:20" ht="13.95" customHeight="1">
      <c r="A4" s="1078"/>
      <c r="B4" s="1476"/>
      <c r="C4" s="1476"/>
      <c r="D4" s="1477"/>
      <c r="E4" s="1477"/>
      <c r="F4" s="1477"/>
      <c r="G4" s="1477"/>
      <c r="H4" s="1477"/>
      <c r="I4" s="1477"/>
      <c r="J4" s="1477"/>
      <c r="K4" s="1477"/>
      <c r="L4" s="1477"/>
      <c r="M4" s="1477"/>
      <c r="N4" s="1477"/>
      <c r="O4" s="1477"/>
      <c r="P4" s="1477"/>
      <c r="Q4" s="1079"/>
    </row>
    <row r="5" spans="1:20" ht="13.95" customHeight="1">
      <c r="A5" s="1078"/>
      <c r="B5" s="1476"/>
      <c r="C5" s="1476"/>
      <c r="D5" s="1477"/>
      <c r="E5" s="1477"/>
      <c r="F5" s="1477"/>
      <c r="G5" s="1477"/>
      <c r="H5" s="1477"/>
      <c r="I5" s="1477"/>
      <c r="J5" s="1477"/>
      <c r="K5" s="1477"/>
      <c r="L5" s="1477"/>
      <c r="M5" s="1477"/>
      <c r="N5" s="1477"/>
      <c r="O5" s="1477"/>
      <c r="P5" s="1477"/>
      <c r="Q5" s="1079"/>
    </row>
    <row r="6" spans="1:20" ht="150.6" customHeight="1">
      <c r="A6" s="1078"/>
      <c r="B6" s="1476"/>
      <c r="C6" s="1476"/>
      <c r="D6" s="1477"/>
      <c r="E6" s="1477"/>
      <c r="F6" s="1477"/>
      <c r="G6" s="1477"/>
      <c r="H6" s="1477"/>
      <c r="I6" s="1477"/>
      <c r="J6" s="1477"/>
      <c r="K6" s="1477"/>
      <c r="L6" s="1477"/>
      <c r="M6" s="1477"/>
      <c r="N6" s="1477"/>
      <c r="O6" s="1477"/>
      <c r="P6" s="1477"/>
      <c r="Q6" s="1079"/>
    </row>
    <row r="7" spans="1:20">
      <c r="A7" s="1078"/>
      <c r="B7" s="727"/>
      <c r="C7" s="728"/>
      <c r="D7" s="728"/>
      <c r="E7" s="728"/>
      <c r="F7" s="728"/>
      <c r="G7" s="728"/>
      <c r="H7" s="729"/>
      <c r="I7" s="729"/>
      <c r="J7" s="729"/>
      <c r="K7" s="729"/>
      <c r="L7" s="729"/>
      <c r="M7" s="729"/>
      <c r="N7" s="729"/>
      <c r="O7" s="730"/>
      <c r="P7" s="730"/>
      <c r="Q7" s="1079"/>
    </row>
    <row r="8" spans="1:20" s="750" customFormat="1" ht="24.6">
      <c r="A8" s="1080"/>
      <c r="B8" s="1474" t="s">
        <v>707</v>
      </c>
      <c r="C8" s="1474"/>
      <c r="D8" s="1474"/>
      <c r="E8" s="1474"/>
      <c r="F8" s="1474"/>
      <c r="G8" s="1474"/>
      <c r="H8" s="1474"/>
      <c r="I8" s="1232"/>
      <c r="J8" s="1475" t="s">
        <v>704</v>
      </c>
      <c r="K8" s="1475"/>
      <c r="L8" s="1475" t="s">
        <v>705</v>
      </c>
      <c r="M8" s="1475"/>
      <c r="N8" s="1475"/>
      <c r="O8" s="1475"/>
      <c r="P8" s="1475"/>
      <c r="Q8" s="1081"/>
      <c r="S8" s="751"/>
    </row>
    <row r="9" spans="1:20" s="750" customFormat="1" ht="24.6">
      <c r="A9" s="1080"/>
      <c r="B9" s="752"/>
      <c r="C9" s="753"/>
      <c r="D9" s="753"/>
      <c r="E9" s="753"/>
      <c r="F9" s="753"/>
      <c r="G9" s="753"/>
      <c r="H9" s="754"/>
      <c r="I9" s="754"/>
      <c r="J9" s="754"/>
      <c r="K9" s="754"/>
      <c r="L9" s="754"/>
      <c r="M9" s="754"/>
      <c r="N9" s="754"/>
      <c r="O9" s="755"/>
      <c r="P9" s="755"/>
      <c r="Q9" s="1081"/>
      <c r="S9" s="751"/>
    </row>
    <row r="10" spans="1:20" s="750" customFormat="1" ht="66" customHeight="1" thickBot="1">
      <c r="A10" s="1080"/>
      <c r="B10" s="1467" t="s">
        <v>644</v>
      </c>
      <c r="C10" s="1468"/>
      <c r="D10" s="1468"/>
      <c r="E10" s="1468"/>
      <c r="F10" s="1468"/>
      <c r="G10" s="1468"/>
      <c r="H10" s="1468"/>
      <c r="I10" s="1468"/>
      <c r="J10" s="1468"/>
      <c r="K10" s="1468"/>
      <c r="L10" s="1468"/>
      <c r="M10" s="1468"/>
      <c r="N10" s="1468"/>
      <c r="O10" s="1468"/>
      <c r="P10" s="1468"/>
      <c r="Q10" s="1081"/>
      <c r="S10" s="751"/>
    </row>
    <row r="11" spans="1:20" s="750" customFormat="1" ht="98.25" customHeight="1" thickBot="1">
      <c r="A11" s="1080"/>
      <c r="B11" s="1016" t="s">
        <v>1</v>
      </c>
      <c r="C11" s="756" t="s">
        <v>177</v>
      </c>
      <c r="D11" s="756" t="s">
        <v>810</v>
      </c>
      <c r="E11" s="756" t="s">
        <v>896</v>
      </c>
      <c r="F11" s="756" t="s">
        <v>915</v>
      </c>
      <c r="G11" s="756" t="s">
        <v>923</v>
      </c>
      <c r="H11" s="757" t="s">
        <v>921</v>
      </c>
      <c r="I11" s="757" t="s">
        <v>922</v>
      </c>
      <c r="J11" s="757" t="s">
        <v>17</v>
      </c>
      <c r="K11" s="757" t="s">
        <v>18</v>
      </c>
      <c r="L11" s="757" t="s">
        <v>19</v>
      </c>
      <c r="M11" s="757" t="s">
        <v>959</v>
      </c>
      <c r="N11" s="757" t="s">
        <v>960</v>
      </c>
      <c r="O11" s="1260" t="s">
        <v>961</v>
      </c>
      <c r="P11" s="1247" t="s">
        <v>962</v>
      </c>
      <c r="Q11" s="1081"/>
      <c r="S11" s="751"/>
    </row>
    <row r="12" spans="1:20" s="750" customFormat="1" ht="45" customHeight="1">
      <c r="A12" s="1080"/>
      <c r="B12" s="1464" t="s">
        <v>811</v>
      </c>
      <c r="C12" s="1465"/>
      <c r="D12" s="1465"/>
      <c r="E12" s="1465"/>
      <c r="F12" s="1465"/>
      <c r="G12" s="1465"/>
      <c r="H12" s="1465"/>
      <c r="I12" s="1465"/>
      <c r="J12" s="1465"/>
      <c r="K12" s="1465"/>
      <c r="L12" s="1465"/>
      <c r="M12" s="1466"/>
      <c r="N12" s="1233"/>
      <c r="O12" s="1261">
        <f>M35/$M$162</f>
        <v>2.4432850936448008E-2</v>
      </c>
      <c r="P12" s="1248">
        <f>N35/$N$162</f>
        <v>2.477419075779878E-2</v>
      </c>
      <c r="Q12" s="1081"/>
      <c r="S12" s="751"/>
    </row>
    <row r="13" spans="1:20" s="750" customFormat="1" ht="33" customHeight="1">
      <c r="A13" s="1080"/>
      <c r="B13" s="758" t="s">
        <v>3</v>
      </c>
      <c r="C13" s="759">
        <v>372555000</v>
      </c>
      <c r="D13" s="759">
        <v>0</v>
      </c>
      <c r="E13" s="759">
        <v>200000000</v>
      </c>
      <c r="F13" s="759">
        <v>368024.32999992371</v>
      </c>
      <c r="G13" s="759"/>
      <c r="H13" s="760">
        <f>C13+D13+E13</f>
        <v>572555000</v>
      </c>
      <c r="I13" s="760">
        <f>SUM(C13:G13)</f>
        <v>572923024.32999992</v>
      </c>
      <c r="J13" s="760">
        <v>383731650</v>
      </c>
      <c r="K13" s="760">
        <v>395346600</v>
      </c>
      <c r="L13" s="760">
        <v>407180700</v>
      </c>
      <c r="M13" s="761">
        <f>H13+J13+K13+L13</f>
        <v>1758813950</v>
      </c>
      <c r="N13" s="1237">
        <f>I13+J13+K13+L13</f>
        <v>1759181974.3299999</v>
      </c>
      <c r="O13" s="1262"/>
      <c r="P13" s="1249"/>
      <c r="Q13" s="1082">
        <f>M13+M37</f>
        <v>2238941450</v>
      </c>
      <c r="R13" s="750">
        <v>3</v>
      </c>
      <c r="S13" s="751">
        <f>Q13/$M$162</f>
        <v>1.5557848170044677E-3</v>
      </c>
    </row>
    <row r="14" spans="1:20" s="750" customFormat="1" ht="42" customHeight="1">
      <c r="A14" s="1080"/>
      <c r="B14" s="758" t="s">
        <v>20</v>
      </c>
      <c r="C14" s="1036">
        <v>86535000</v>
      </c>
      <c r="D14" s="1036">
        <v>0</v>
      </c>
      <c r="E14" s="1036">
        <v>0</v>
      </c>
      <c r="F14" s="1036"/>
      <c r="G14" s="1036"/>
      <c r="H14" s="1037">
        <f t="shared" ref="H14:H33" si="0">C14+D14+E14</f>
        <v>86535000</v>
      </c>
      <c r="I14" s="760">
        <f t="shared" ref="I14:I34" si="1">SUM(C14:G14)</f>
        <v>86535000</v>
      </c>
      <c r="J14" s="1037">
        <v>89131050</v>
      </c>
      <c r="K14" s="1037">
        <v>91727100</v>
      </c>
      <c r="L14" s="1037">
        <v>94539487.5</v>
      </c>
      <c r="M14" s="761">
        <f t="shared" ref="M14:M33" si="2">H14+J14+K14+L14</f>
        <v>361932637.5</v>
      </c>
      <c r="N14" s="1237">
        <f t="shared" ref="N14:N34" si="3">I14+J14+K14+L14</f>
        <v>361932637.5</v>
      </c>
      <c r="O14" s="1262"/>
      <c r="P14" s="1249"/>
      <c r="Q14" s="1082">
        <f>M14+M38</f>
        <v>408985762.5</v>
      </c>
      <c r="S14" s="751">
        <f>Q14/$M$162</f>
        <v>2.8419405057175353E-4</v>
      </c>
    </row>
    <row r="15" spans="1:20" s="750" customFormat="1" ht="39.75" customHeight="1">
      <c r="A15" s="1080"/>
      <c r="B15" s="758" t="s">
        <v>21</v>
      </c>
      <c r="C15" s="1036">
        <v>28845000</v>
      </c>
      <c r="D15" s="1036">
        <v>0</v>
      </c>
      <c r="E15" s="1036">
        <v>0</v>
      </c>
      <c r="F15" s="1036">
        <v>5695366</v>
      </c>
      <c r="G15" s="1036"/>
      <c r="H15" s="1037">
        <f t="shared" si="0"/>
        <v>28845000</v>
      </c>
      <c r="I15" s="760">
        <f t="shared" si="1"/>
        <v>34540366</v>
      </c>
      <c r="J15" s="1037">
        <v>29710350</v>
      </c>
      <c r="K15" s="1037">
        <v>30575700</v>
      </c>
      <c r="L15" s="1037">
        <v>27763312.5</v>
      </c>
      <c r="M15" s="761">
        <f t="shared" si="2"/>
        <v>116894362.5</v>
      </c>
      <c r="N15" s="1237">
        <f t="shared" si="3"/>
        <v>122589728.5</v>
      </c>
      <c r="O15" s="1262"/>
      <c r="P15" s="1249"/>
      <c r="Q15" s="1082">
        <f>M15+M39</f>
        <v>132091237.5</v>
      </c>
      <c r="S15" s="751">
        <f>Q15/$M$162</f>
        <v>9.1786920895957857E-5</v>
      </c>
      <c r="T15" s="762">
        <f>M35+M55</f>
        <v>41521015960.068298</v>
      </c>
    </row>
    <row r="16" spans="1:20" s="750" customFormat="1" ht="49.5" customHeight="1">
      <c r="A16" s="1080"/>
      <c r="B16" s="758" t="s">
        <v>918</v>
      </c>
      <c r="C16" s="759"/>
      <c r="D16" s="759"/>
      <c r="E16" s="759"/>
      <c r="F16" s="1036">
        <v>4011147.05</v>
      </c>
      <c r="G16" s="1036"/>
      <c r="H16" s="760"/>
      <c r="I16" s="760">
        <f t="shared" si="1"/>
        <v>4011147.05</v>
      </c>
      <c r="J16" s="760"/>
      <c r="K16" s="760"/>
      <c r="L16" s="760"/>
      <c r="M16" s="761"/>
      <c r="N16" s="1237">
        <f t="shared" si="3"/>
        <v>4011147.05</v>
      </c>
      <c r="O16" s="1263"/>
      <c r="P16" s="1250"/>
      <c r="Q16" s="1081"/>
      <c r="S16" s="751"/>
    </row>
    <row r="17" spans="1:25" s="750" customFormat="1" ht="49.5" customHeight="1">
      <c r="A17" s="1080"/>
      <c r="B17" s="758" t="s">
        <v>917</v>
      </c>
      <c r="C17" s="759"/>
      <c r="D17" s="759"/>
      <c r="E17" s="759"/>
      <c r="F17" s="1036">
        <v>18784370.280000001</v>
      </c>
      <c r="G17" s="1036"/>
      <c r="H17" s="760"/>
      <c r="I17" s="760">
        <f t="shared" si="1"/>
        <v>18784370.280000001</v>
      </c>
      <c r="J17" s="760"/>
      <c r="K17" s="760"/>
      <c r="L17" s="760"/>
      <c r="M17" s="761"/>
      <c r="N17" s="1237">
        <f t="shared" si="3"/>
        <v>18784370.280000001</v>
      </c>
      <c r="O17" s="1263"/>
      <c r="P17" s="1250"/>
      <c r="Q17" s="1081"/>
      <c r="S17" s="751"/>
    </row>
    <row r="18" spans="1:25" s="750" customFormat="1" ht="34.5" customHeight="1">
      <c r="A18" s="1080"/>
      <c r="B18" s="758" t="s">
        <v>22</v>
      </c>
      <c r="C18" s="1036">
        <v>13318500</v>
      </c>
      <c r="D18" s="1036">
        <v>0</v>
      </c>
      <c r="E18" s="1036">
        <v>0</v>
      </c>
      <c r="F18" s="1036">
        <v>11008126.93</v>
      </c>
      <c r="G18" s="1036"/>
      <c r="H18" s="1037">
        <f t="shared" si="0"/>
        <v>13318500</v>
      </c>
      <c r="I18" s="760">
        <f t="shared" si="1"/>
        <v>24326626.93</v>
      </c>
      <c r="J18" s="1037">
        <v>23768400</v>
      </c>
      <c r="K18" s="1037">
        <v>24485550</v>
      </c>
      <c r="L18" s="1037">
        <v>25202700</v>
      </c>
      <c r="M18" s="761">
        <f t="shared" si="2"/>
        <v>86775150</v>
      </c>
      <c r="N18" s="1237">
        <f t="shared" si="3"/>
        <v>97783276.930000007</v>
      </c>
      <c r="O18" s="1262"/>
      <c r="P18" s="1249"/>
      <c r="Q18" s="1082">
        <f t="shared" ref="Q18:Q32" si="4">M18+M40</f>
        <v>118537650</v>
      </c>
      <c r="S18" s="751">
        <f>Q18/$M$162</f>
        <v>8.2368869500088827E-5</v>
      </c>
    </row>
    <row r="19" spans="1:25" s="750" customFormat="1" ht="32.25" customHeight="1">
      <c r="A19" s="1080"/>
      <c r="B19" s="758" t="s">
        <v>23</v>
      </c>
      <c r="C19" s="1036">
        <v>133185000</v>
      </c>
      <c r="D19" s="1036">
        <v>0</v>
      </c>
      <c r="E19" s="1036">
        <v>0</v>
      </c>
      <c r="F19" s="1036"/>
      <c r="G19" s="1036"/>
      <c r="H19" s="1037">
        <f t="shared" si="0"/>
        <v>133185000</v>
      </c>
      <c r="I19" s="760">
        <f t="shared" si="1"/>
        <v>133185000</v>
      </c>
      <c r="J19" s="1037">
        <v>237786450</v>
      </c>
      <c r="K19" s="1037">
        <v>244855500</v>
      </c>
      <c r="L19" s="1037">
        <v>252231900</v>
      </c>
      <c r="M19" s="761">
        <f t="shared" si="2"/>
        <v>868058850</v>
      </c>
      <c r="N19" s="1237">
        <f t="shared" si="3"/>
        <v>868058850</v>
      </c>
      <c r="O19" s="1262"/>
      <c r="P19" s="1249"/>
      <c r="Q19" s="1082">
        <f t="shared" si="4"/>
        <v>1185796350</v>
      </c>
      <c r="R19" s="750">
        <v>5</v>
      </c>
      <c r="S19" s="751">
        <f>Q19/$M$162</f>
        <v>8.2398043834032192E-4</v>
      </c>
    </row>
    <row r="20" spans="1:25" s="750" customFormat="1" ht="30" customHeight="1">
      <c r="A20" s="1080"/>
      <c r="B20" s="758" t="s">
        <v>24</v>
      </c>
      <c r="C20" s="1036">
        <v>2762231161</v>
      </c>
      <c r="D20" s="1036">
        <v>1013181570.62</v>
      </c>
      <c r="E20" s="1036">
        <v>400000000</v>
      </c>
      <c r="F20" s="1036">
        <v>212336297.71000016</v>
      </c>
      <c r="G20" s="1036"/>
      <c r="H20" s="1037">
        <f t="shared" si="0"/>
        <v>4175412731.6199999</v>
      </c>
      <c r="I20" s="760">
        <f t="shared" si="1"/>
        <v>4387749029.3299999</v>
      </c>
      <c r="J20" s="1037">
        <v>3110472095.8299999</v>
      </c>
      <c r="K20" s="1037">
        <v>3287291945.8299999</v>
      </c>
      <c r="L20" s="1037">
        <v>3471034595.8299999</v>
      </c>
      <c r="M20" s="761">
        <f t="shared" si="2"/>
        <v>14044211369.109999</v>
      </c>
      <c r="N20" s="1237">
        <f t="shared" si="3"/>
        <v>14256547666.82</v>
      </c>
      <c r="O20" s="1262"/>
      <c r="P20" s="1249"/>
      <c r="Q20" s="1082">
        <f t="shared" si="4"/>
        <v>16394823869.109999</v>
      </c>
      <c r="R20" s="750">
        <v>1</v>
      </c>
      <c r="S20" s="751">
        <f>Q20/$T$15</f>
        <v>0.39485603832231064</v>
      </c>
    </row>
    <row r="21" spans="1:25" s="750" customFormat="1" ht="30.75" customHeight="1">
      <c r="A21" s="1080"/>
      <c r="B21" s="758" t="s">
        <v>25</v>
      </c>
      <c r="C21" s="1036">
        <v>11538000</v>
      </c>
      <c r="D21" s="1036">
        <v>0</v>
      </c>
      <c r="E21" s="1036">
        <v>0</v>
      </c>
      <c r="F21" s="1036">
        <v>39358937.57</v>
      </c>
      <c r="G21" s="1036"/>
      <c r="H21" s="1037">
        <f t="shared" si="0"/>
        <v>11538000</v>
      </c>
      <c r="I21" s="760">
        <f t="shared" si="1"/>
        <v>50896937.57</v>
      </c>
      <c r="J21" s="1037">
        <v>12114900</v>
      </c>
      <c r="K21" s="1037">
        <v>12980250</v>
      </c>
      <c r="L21" s="1037">
        <v>13845600</v>
      </c>
      <c r="M21" s="761">
        <f t="shared" si="2"/>
        <v>50478750</v>
      </c>
      <c r="N21" s="1237">
        <f>I21+J21+K21+L21</f>
        <v>89837687.569999993</v>
      </c>
      <c r="O21" s="1262"/>
      <c r="P21" s="1249"/>
      <c r="Q21" s="1082">
        <f t="shared" si="4"/>
        <v>57041250</v>
      </c>
      <c r="S21" s="751">
        <f t="shared" ref="S21:S30" si="5">Q21/$T$15</f>
        <v>1.3737922514915786E-3</v>
      </c>
    </row>
    <row r="22" spans="1:25" s="750" customFormat="1" ht="33" customHeight="1">
      <c r="A22" s="1080"/>
      <c r="B22" s="758" t="s">
        <v>10</v>
      </c>
      <c r="C22" s="1036">
        <v>144225000</v>
      </c>
      <c r="D22" s="1036">
        <v>0</v>
      </c>
      <c r="E22" s="1036">
        <v>50000000</v>
      </c>
      <c r="F22" s="1036"/>
      <c r="G22" s="1036"/>
      <c r="H22" s="1037">
        <f t="shared" si="0"/>
        <v>194225000</v>
      </c>
      <c r="I22" s="760">
        <f t="shared" si="1"/>
        <v>194225000</v>
      </c>
      <c r="J22" s="1037">
        <v>336621150</v>
      </c>
      <c r="K22" s="1037">
        <v>346716900</v>
      </c>
      <c r="L22" s="1037">
        <v>357101100</v>
      </c>
      <c r="M22" s="761">
        <f t="shared" si="2"/>
        <v>1234664150</v>
      </c>
      <c r="N22" s="1237">
        <f t="shared" si="3"/>
        <v>1234664150</v>
      </c>
      <c r="O22" s="1262"/>
      <c r="P22" s="1249"/>
      <c r="Q22" s="1082">
        <f t="shared" si="4"/>
        <v>1388676650</v>
      </c>
      <c r="R22" s="750">
        <v>4</v>
      </c>
      <c r="S22" s="751">
        <f t="shared" si="5"/>
        <v>3.3445151037140367E-2</v>
      </c>
    </row>
    <row r="23" spans="1:25" s="750" customFormat="1" ht="32.25" customHeight="1">
      <c r="A23" s="1080"/>
      <c r="B23" s="758" t="s">
        <v>11</v>
      </c>
      <c r="C23" s="1036">
        <v>57690000</v>
      </c>
      <c r="D23" s="1036">
        <v>0</v>
      </c>
      <c r="E23" s="1036">
        <v>100000000</v>
      </c>
      <c r="F23" s="1036">
        <v>12056430.840000004</v>
      </c>
      <c r="G23" s="1036"/>
      <c r="H23" s="1037">
        <f t="shared" si="0"/>
        <v>157690000</v>
      </c>
      <c r="I23" s="760">
        <f t="shared" si="1"/>
        <v>169746430.84</v>
      </c>
      <c r="J23" s="1037">
        <v>67208850</v>
      </c>
      <c r="K23" s="1037">
        <v>69228000</v>
      </c>
      <c r="L23" s="1037">
        <v>71535600</v>
      </c>
      <c r="M23" s="761">
        <f t="shared" si="2"/>
        <v>365662450</v>
      </c>
      <c r="N23" s="1237">
        <f t="shared" si="3"/>
        <v>377718880.84000003</v>
      </c>
      <c r="O23" s="1262"/>
      <c r="P23" s="1249"/>
      <c r="Q23" s="1082">
        <f t="shared" si="4"/>
        <v>400199950</v>
      </c>
      <c r="S23" s="751">
        <f t="shared" si="5"/>
        <v>9.6384912735488302E-3</v>
      </c>
    </row>
    <row r="24" spans="1:25" s="750" customFormat="1" ht="24.6">
      <c r="A24" s="1080"/>
      <c r="B24" s="758" t="s">
        <v>863</v>
      </c>
      <c r="C24" s="1036">
        <v>1614000</v>
      </c>
      <c r="D24" s="1036">
        <v>0</v>
      </c>
      <c r="E24" s="1036">
        <v>0</v>
      </c>
      <c r="F24" s="1036">
        <v>6419920.0700000003</v>
      </c>
      <c r="G24" s="1036"/>
      <c r="H24" s="1037">
        <f t="shared" si="0"/>
        <v>1614000</v>
      </c>
      <c r="I24" s="760">
        <f t="shared" si="1"/>
        <v>8033920.0700000003</v>
      </c>
      <c r="J24" s="1037">
        <v>1371900</v>
      </c>
      <c r="K24" s="1037">
        <v>1420320</v>
      </c>
      <c r="L24" s="1037">
        <v>1452600</v>
      </c>
      <c r="M24" s="761">
        <f t="shared" si="2"/>
        <v>5858820</v>
      </c>
      <c r="N24" s="1237">
        <f t="shared" si="3"/>
        <v>12278740.07</v>
      </c>
      <c r="O24" s="1262"/>
      <c r="P24" s="1249"/>
      <c r="Q24" s="1082">
        <f t="shared" si="4"/>
        <v>131384220</v>
      </c>
      <c r="S24" s="751">
        <f t="shared" si="5"/>
        <v>3.1642823992157412E-3</v>
      </c>
    </row>
    <row r="25" spans="1:25" s="750" customFormat="1" ht="33" customHeight="1">
      <c r="A25" s="1080"/>
      <c r="B25" s="758" t="s">
        <v>864</v>
      </c>
      <c r="C25" s="1036">
        <v>2421000</v>
      </c>
      <c r="D25" s="1036">
        <v>0</v>
      </c>
      <c r="E25" s="1036">
        <v>0</v>
      </c>
      <c r="F25" s="1036">
        <v>54162640.43</v>
      </c>
      <c r="G25" s="1036"/>
      <c r="H25" s="1037">
        <f t="shared" si="0"/>
        <v>2421000</v>
      </c>
      <c r="I25" s="760">
        <f t="shared" si="1"/>
        <v>56583640.43</v>
      </c>
      <c r="J25" s="1037">
        <v>2057850</v>
      </c>
      <c r="K25" s="1037">
        <v>2130480</v>
      </c>
      <c r="L25" s="1037">
        <v>2178900</v>
      </c>
      <c r="M25" s="761">
        <f t="shared" si="2"/>
        <v>8788230</v>
      </c>
      <c r="N25" s="1237">
        <f t="shared" si="3"/>
        <v>62950870.43</v>
      </c>
      <c r="O25" s="1262"/>
      <c r="P25" s="1249"/>
      <c r="Q25" s="1082">
        <f t="shared" si="4"/>
        <v>197076330</v>
      </c>
      <c r="S25" s="751">
        <f t="shared" si="5"/>
        <v>4.7464235988236118E-3</v>
      </c>
    </row>
    <row r="26" spans="1:25" s="750" customFormat="1" ht="36" customHeight="1">
      <c r="A26" s="1080"/>
      <c r="B26" s="758" t="s">
        <v>4</v>
      </c>
      <c r="C26" s="1036">
        <v>34614000</v>
      </c>
      <c r="D26" s="1036">
        <v>0</v>
      </c>
      <c r="E26" s="1036">
        <v>0</v>
      </c>
      <c r="F26" s="1036">
        <v>46571749.950000003</v>
      </c>
      <c r="G26" s="1036"/>
      <c r="H26" s="1037">
        <f t="shared" si="0"/>
        <v>34614000</v>
      </c>
      <c r="I26" s="760">
        <f t="shared" si="1"/>
        <v>81185749.950000003</v>
      </c>
      <c r="J26" s="1037">
        <v>36921600</v>
      </c>
      <c r="K26" s="1037">
        <v>38940750</v>
      </c>
      <c r="L26" s="1037">
        <v>40959900</v>
      </c>
      <c r="M26" s="761">
        <f t="shared" si="2"/>
        <v>151436250</v>
      </c>
      <c r="N26" s="1237">
        <f t="shared" si="3"/>
        <v>198007999.94999999</v>
      </c>
      <c r="O26" s="1262"/>
      <c r="P26" s="1249"/>
      <c r="Q26" s="1082">
        <f t="shared" si="4"/>
        <v>171123750</v>
      </c>
      <c r="S26" s="751">
        <f t="shared" si="5"/>
        <v>4.1213767544747357E-3</v>
      </c>
    </row>
    <row r="27" spans="1:25" s="750" customFormat="1" ht="30" customHeight="1">
      <c r="A27" s="1080"/>
      <c r="B27" s="758" t="s">
        <v>12</v>
      </c>
      <c r="C27" s="1038">
        <v>4924500</v>
      </c>
      <c r="D27" s="797">
        <v>0</v>
      </c>
      <c r="E27" s="797">
        <v>0</v>
      </c>
      <c r="F27" s="797">
        <v>38780296.840000004</v>
      </c>
      <c r="G27" s="797"/>
      <c r="H27" s="1037">
        <f t="shared" si="0"/>
        <v>4924500</v>
      </c>
      <c r="I27" s="760">
        <f t="shared" si="1"/>
        <v>43704796.840000004</v>
      </c>
      <c r="J27" s="1037">
        <v>5072235</v>
      </c>
      <c r="K27" s="1037">
        <v>5224402.05</v>
      </c>
      <c r="L27" s="1037">
        <v>5381134.1114999996</v>
      </c>
      <c r="M27" s="761">
        <f t="shared" si="2"/>
        <v>20602271.161499999</v>
      </c>
      <c r="N27" s="1237">
        <f t="shared" si="3"/>
        <v>59382568.001500003</v>
      </c>
      <c r="O27" s="1262"/>
      <c r="P27" s="1249"/>
      <c r="Q27" s="1082">
        <f t="shared" si="4"/>
        <v>98208552.011500001</v>
      </c>
      <c r="S27" s="751">
        <f t="shared" si="5"/>
        <v>2.3652733378670067E-3</v>
      </c>
    </row>
    <row r="28" spans="1:25" s="750" customFormat="1" ht="32.25" customHeight="1">
      <c r="A28" s="1080"/>
      <c r="B28" s="758" t="s">
        <v>28</v>
      </c>
      <c r="C28" s="1038">
        <v>177742500</v>
      </c>
      <c r="D28" s="797">
        <v>53681400</v>
      </c>
      <c r="E28" s="797">
        <v>500000000</v>
      </c>
      <c r="F28" s="797"/>
      <c r="G28" s="797"/>
      <c r="H28" s="1037">
        <f t="shared" si="0"/>
        <v>731423900</v>
      </c>
      <c r="I28" s="760">
        <f t="shared" si="1"/>
        <v>731423900</v>
      </c>
      <c r="J28" s="1037">
        <v>234893550</v>
      </c>
      <c r="K28" s="1037">
        <v>251300550</v>
      </c>
      <c r="L28" s="1037">
        <v>268801350</v>
      </c>
      <c r="M28" s="761">
        <f t="shared" si="2"/>
        <v>1486419350</v>
      </c>
      <c r="N28" s="1237">
        <f t="shared" si="3"/>
        <v>1486419350</v>
      </c>
      <c r="O28" s="1262"/>
      <c r="P28" s="1249"/>
      <c r="Q28" s="1082">
        <f t="shared" si="4"/>
        <v>1614331850</v>
      </c>
      <c r="R28" s="750">
        <v>6</v>
      </c>
      <c r="S28" s="751">
        <f t="shared" si="5"/>
        <v>3.8879873545303888E-2</v>
      </c>
    </row>
    <row r="29" spans="1:25" s="750" customFormat="1" ht="31.5" customHeight="1">
      <c r="A29" s="1080"/>
      <c r="B29" s="758" t="s">
        <v>29</v>
      </c>
      <c r="C29" s="1036">
        <v>2475317496</v>
      </c>
      <c r="D29" s="1036">
        <v>1954501828.6300001</v>
      </c>
      <c r="E29" s="1036">
        <v>0</v>
      </c>
      <c r="F29" s="1036">
        <v>328564607.72999901</v>
      </c>
      <c r="G29" s="1037">
        <v>32157677.079999998</v>
      </c>
      <c r="H29" s="1037">
        <f t="shared" si="0"/>
        <v>4429819324.6300001</v>
      </c>
      <c r="I29" s="760">
        <f t="shared" si="1"/>
        <v>4790541609.4399986</v>
      </c>
      <c r="J29" s="1037">
        <v>2899289120.8800001</v>
      </c>
      <c r="K29" s="1037">
        <v>2956557020.8800001</v>
      </c>
      <c r="L29" s="1037">
        <v>3014697020.8800001</v>
      </c>
      <c r="M29" s="761">
        <f t="shared" si="2"/>
        <v>13300362487.27</v>
      </c>
      <c r="N29" s="1237">
        <f t="shared" si="3"/>
        <v>13661084772.079998</v>
      </c>
      <c r="O29" s="1262"/>
      <c r="P29" s="1249"/>
      <c r="Q29" s="1082">
        <f t="shared" si="4"/>
        <v>15680052487.27</v>
      </c>
      <c r="R29" s="750">
        <v>2</v>
      </c>
      <c r="S29" s="751">
        <f t="shared" si="5"/>
        <v>0.37764134919891801</v>
      </c>
    </row>
    <row r="30" spans="1:25" s="750" customFormat="1" ht="39.75" customHeight="1">
      <c r="A30" s="1080"/>
      <c r="B30" s="758" t="s">
        <v>30</v>
      </c>
      <c r="C30" s="1038">
        <v>288450</v>
      </c>
      <c r="D30" s="797">
        <v>0</v>
      </c>
      <c r="E30" s="797">
        <v>0</v>
      </c>
      <c r="F30" s="797"/>
      <c r="G30" s="797"/>
      <c r="H30" s="1037">
        <f t="shared" si="0"/>
        <v>288450</v>
      </c>
      <c r="I30" s="760">
        <f t="shared" si="1"/>
        <v>288450</v>
      </c>
      <c r="J30" s="1037">
        <v>308641.5</v>
      </c>
      <c r="K30" s="1037">
        <v>330246.40500000003</v>
      </c>
      <c r="L30" s="1037">
        <v>353363.65334999998</v>
      </c>
      <c r="M30" s="761">
        <f t="shared" si="2"/>
        <v>1280701.5583500001</v>
      </c>
      <c r="N30" s="1237">
        <f t="shared" si="3"/>
        <v>1280701.5583500001</v>
      </c>
      <c r="O30" s="1262"/>
      <c r="P30" s="1249"/>
      <c r="Q30" s="1082">
        <f t="shared" si="4"/>
        <v>1447199.4208500001</v>
      </c>
      <c r="S30" s="751">
        <f t="shared" si="5"/>
        <v>3.4854624516938715E-5</v>
      </c>
    </row>
    <row r="31" spans="1:25" s="750" customFormat="1" ht="37.5" customHeight="1">
      <c r="A31" s="1080"/>
      <c r="B31" s="758" t="s">
        <v>31</v>
      </c>
      <c r="C31" s="1036">
        <f>2019150</f>
        <v>2019150</v>
      </c>
      <c r="D31" s="1036">
        <v>0</v>
      </c>
      <c r="E31" s="1036">
        <v>0</v>
      </c>
      <c r="F31" s="1036">
        <v>4097925.05</v>
      </c>
      <c r="G31" s="1036"/>
      <c r="H31" s="1037">
        <f t="shared" si="0"/>
        <v>2019150</v>
      </c>
      <c r="I31" s="760">
        <f t="shared" si="1"/>
        <v>6117075.0499999998</v>
      </c>
      <c r="J31" s="1037">
        <v>2160490.5</v>
      </c>
      <c r="K31" s="1037">
        <v>2311724.835</v>
      </c>
      <c r="L31" s="1037">
        <v>2473545.57345</v>
      </c>
      <c r="M31" s="761">
        <f>H31+J31+K31+L31</f>
        <v>8964910.90845</v>
      </c>
      <c r="N31" s="1237">
        <f t="shared" si="3"/>
        <v>13062835.958450001</v>
      </c>
      <c r="O31" s="1262"/>
      <c r="P31" s="1249"/>
      <c r="Q31" s="1082">
        <f t="shared" si="4"/>
        <v>10130395.94595</v>
      </c>
      <c r="S31" s="751">
        <f>Q31/$M$162</f>
        <v>7.0393605884390693E-6</v>
      </c>
    </row>
    <row r="32" spans="1:25" s="750" customFormat="1" ht="33.75" customHeight="1">
      <c r="A32" s="1080"/>
      <c r="B32" s="758" t="s">
        <v>32</v>
      </c>
      <c r="C32" s="1038">
        <v>3461400</v>
      </c>
      <c r="D32" s="797">
        <v>0</v>
      </c>
      <c r="E32" s="797">
        <v>0</v>
      </c>
      <c r="F32" s="797"/>
      <c r="G32" s="797"/>
      <c r="H32" s="1037">
        <f t="shared" si="0"/>
        <v>3461400</v>
      </c>
      <c r="I32" s="760">
        <f t="shared" si="1"/>
        <v>3461400</v>
      </c>
      <c r="J32" s="1037">
        <v>3461400</v>
      </c>
      <c r="K32" s="1037">
        <v>3749850</v>
      </c>
      <c r="L32" s="1037">
        <v>3749850</v>
      </c>
      <c r="M32" s="761">
        <f t="shared" si="2"/>
        <v>14422500</v>
      </c>
      <c r="N32" s="1237">
        <f t="shared" si="3"/>
        <v>14422500</v>
      </c>
      <c r="O32" s="1262"/>
      <c r="P32" s="1249"/>
      <c r="Q32" s="1082">
        <f t="shared" si="4"/>
        <v>16297500</v>
      </c>
      <c r="R32" s="764"/>
      <c r="S32" s="751">
        <f>Q32/$M$162</f>
        <v>1.1324728056256368E-5</v>
      </c>
      <c r="T32" s="764"/>
      <c r="U32" s="764"/>
      <c r="V32" s="764"/>
      <c r="W32" s="764"/>
      <c r="X32" s="764"/>
      <c r="Y32" s="764"/>
    </row>
    <row r="33" spans="1:25" s="750" customFormat="1" ht="24.6">
      <c r="A33" s="1080"/>
      <c r="B33" s="758" t="s">
        <v>15</v>
      </c>
      <c r="C33" s="1038">
        <v>250000000</v>
      </c>
      <c r="D33" s="797">
        <v>224061008.75</v>
      </c>
      <c r="E33" s="797">
        <v>5901747.5599999996</v>
      </c>
      <c r="F33" s="797"/>
      <c r="G33" s="797"/>
      <c r="H33" s="1037">
        <f t="shared" si="0"/>
        <v>479962756.31</v>
      </c>
      <c r="I33" s="760">
        <f t="shared" si="1"/>
        <v>479962756.31</v>
      </c>
      <c r="J33" s="1037">
        <v>257500000</v>
      </c>
      <c r="K33" s="1037">
        <v>265225000</v>
      </c>
      <c r="L33" s="1037">
        <v>273181750</v>
      </c>
      <c r="M33" s="761">
        <f t="shared" si="2"/>
        <v>1275869506.3099999</v>
      </c>
      <c r="N33" s="1237">
        <f t="shared" si="3"/>
        <v>1275869506.3099999</v>
      </c>
      <c r="O33" s="1262"/>
      <c r="P33" s="1249"/>
      <c r="Q33" s="1082"/>
      <c r="R33" s="764"/>
      <c r="S33" s="765"/>
      <c r="T33" s="764"/>
      <c r="U33" s="764"/>
      <c r="V33" s="764"/>
      <c r="W33" s="764"/>
      <c r="X33" s="764"/>
      <c r="Y33" s="764"/>
    </row>
    <row r="34" spans="1:25" s="750" customFormat="1" ht="24.6">
      <c r="A34" s="1080"/>
      <c r="B34" s="758" t="s">
        <v>916</v>
      </c>
      <c r="C34" s="1038"/>
      <c r="D34" s="797"/>
      <c r="E34" s="797"/>
      <c r="F34" s="797">
        <v>14656293</v>
      </c>
      <c r="G34" s="797"/>
      <c r="H34" s="1037"/>
      <c r="I34" s="760">
        <f t="shared" si="1"/>
        <v>14656293</v>
      </c>
      <c r="J34" s="1037"/>
      <c r="K34" s="1037"/>
      <c r="L34" s="1037"/>
      <c r="M34" s="761"/>
      <c r="N34" s="1237">
        <f t="shared" si="3"/>
        <v>14656293</v>
      </c>
      <c r="O34" s="1262"/>
      <c r="P34" s="1249"/>
      <c r="Q34" s="1082"/>
      <c r="R34" s="764"/>
      <c r="S34" s="765"/>
      <c r="T34" s="764"/>
      <c r="U34" s="764"/>
      <c r="V34" s="764"/>
      <c r="W34" s="764"/>
      <c r="X34" s="764"/>
      <c r="Y34" s="764"/>
    </row>
    <row r="35" spans="1:25" s="750" customFormat="1" ht="37.5" customHeight="1">
      <c r="A35" s="1080"/>
      <c r="B35" s="766" t="s">
        <v>9</v>
      </c>
      <c r="C35" s="767">
        <f>SUM(C13:C34)</f>
        <v>6562525157</v>
      </c>
      <c r="D35" s="767">
        <f t="shared" ref="D35:G35" si="6">SUM(D13:D34)</f>
        <v>3245425808</v>
      </c>
      <c r="E35" s="767">
        <f t="shared" si="6"/>
        <v>1255901747.5599999</v>
      </c>
      <c r="F35" s="767">
        <f t="shared" si="6"/>
        <v>796872133.77999902</v>
      </c>
      <c r="G35" s="767">
        <f t="shared" si="6"/>
        <v>32157677.079999998</v>
      </c>
      <c r="H35" s="767">
        <f>SUM(H13:H34)</f>
        <v>11063852712.559999</v>
      </c>
      <c r="I35" s="767">
        <f t="shared" ref="I35:M35" si="7">SUM(I13:I34)</f>
        <v>11892882523.419996</v>
      </c>
      <c r="J35" s="767">
        <f t="shared" si="7"/>
        <v>7733581683.71</v>
      </c>
      <c r="K35" s="767">
        <f t="shared" si="7"/>
        <v>8030397890</v>
      </c>
      <c r="L35" s="767">
        <f t="shared" si="7"/>
        <v>8333664410.0482998</v>
      </c>
      <c r="M35" s="767">
        <f t="shared" si="7"/>
        <v>35161496696.318298</v>
      </c>
      <c r="N35" s="767">
        <f>SUM(N13:N34)</f>
        <v>35990526507.178299</v>
      </c>
      <c r="O35" s="1264"/>
      <c r="P35" s="1251"/>
      <c r="Q35" s="1083"/>
      <c r="R35" s="764"/>
      <c r="S35" s="765"/>
      <c r="T35" s="764"/>
      <c r="U35" s="764"/>
      <c r="V35" s="764"/>
      <c r="W35" s="764"/>
      <c r="X35" s="764"/>
      <c r="Y35" s="764"/>
    </row>
    <row r="36" spans="1:25" s="750" customFormat="1" ht="47.4" customHeight="1">
      <c r="A36" s="1080"/>
      <c r="B36" s="1462" t="s">
        <v>822</v>
      </c>
      <c r="C36" s="1463"/>
      <c r="D36" s="1463"/>
      <c r="E36" s="1463"/>
      <c r="F36" s="1463"/>
      <c r="G36" s="1463"/>
      <c r="H36" s="1463"/>
      <c r="I36" s="1463"/>
      <c r="J36" s="1463"/>
      <c r="K36" s="1463"/>
      <c r="L36" s="1463"/>
      <c r="M36" s="1463"/>
      <c r="N36" s="1238"/>
      <c r="O36" s="1265">
        <f>M55/$M$162</f>
        <v>4.4190720190515403E-3</v>
      </c>
      <c r="P36" s="1252">
        <f>N55/$N$162</f>
        <v>4.5087156704378467E-3</v>
      </c>
      <c r="Q36" s="1081"/>
      <c r="S36" s="751"/>
    </row>
    <row r="37" spans="1:25" s="750" customFormat="1" ht="36.75" customHeight="1">
      <c r="A37" s="1080"/>
      <c r="B37" s="758" t="s">
        <v>3</v>
      </c>
      <c r="C37" s="759">
        <v>114750000</v>
      </c>
      <c r="D37" s="759">
        <v>0</v>
      </c>
      <c r="E37" s="759">
        <v>0</v>
      </c>
      <c r="F37" s="759"/>
      <c r="G37" s="770">
        <v>39135000.009999998</v>
      </c>
      <c r="H37" s="760">
        <f>SUM(C37:E37)</f>
        <v>114750000</v>
      </c>
      <c r="I37" s="760">
        <f t="shared" ref="I37:I54" si="8">SUM(C37:G37)</f>
        <v>153885000.00999999</v>
      </c>
      <c r="J37" s="760">
        <v>118192500</v>
      </c>
      <c r="K37" s="760">
        <v>121770000</v>
      </c>
      <c r="L37" s="760">
        <v>125415000</v>
      </c>
      <c r="M37" s="761">
        <f>+H37+J37+K37+L37</f>
        <v>480127500</v>
      </c>
      <c r="N37" s="1237">
        <f t="shared" ref="N37:N54" si="9">I37+J37+K37+L37</f>
        <v>519262500.00999999</v>
      </c>
      <c r="O37" s="1263"/>
      <c r="P37" s="1250"/>
      <c r="Q37" s="1082"/>
      <c r="S37" s="751"/>
    </row>
    <row r="38" spans="1:25" s="750" customFormat="1" ht="41.25" customHeight="1">
      <c r="A38" s="1080"/>
      <c r="B38" s="758" t="s">
        <v>20</v>
      </c>
      <c r="C38" s="759">
        <v>11250000</v>
      </c>
      <c r="D38" s="759">
        <v>0</v>
      </c>
      <c r="E38" s="759">
        <v>0</v>
      </c>
      <c r="F38" s="759"/>
      <c r="G38" s="770"/>
      <c r="H38" s="760">
        <f t="shared" ref="H38:H54" si="10">SUM(C38:E38)</f>
        <v>11250000</v>
      </c>
      <c r="I38" s="760">
        <f t="shared" si="8"/>
        <v>11250000</v>
      </c>
      <c r="J38" s="760">
        <v>11587500</v>
      </c>
      <c r="K38" s="760">
        <v>11925000</v>
      </c>
      <c r="L38" s="760">
        <v>12290625</v>
      </c>
      <c r="M38" s="761">
        <f t="shared" ref="M38:M54" si="11">+H38+J38+K38+L38</f>
        <v>47053125</v>
      </c>
      <c r="N38" s="1237">
        <f t="shared" si="9"/>
        <v>47053125</v>
      </c>
      <c r="O38" s="1263"/>
      <c r="P38" s="1250"/>
      <c r="Q38" s="1081"/>
      <c r="S38" s="751"/>
    </row>
    <row r="39" spans="1:25" s="750" customFormat="1" ht="49.5" customHeight="1">
      <c r="A39" s="1080"/>
      <c r="B39" s="758" t="s">
        <v>21</v>
      </c>
      <c r="C39" s="759">
        <v>3750000</v>
      </c>
      <c r="D39" s="759">
        <v>0</v>
      </c>
      <c r="E39" s="759">
        <v>0</v>
      </c>
      <c r="F39" s="759"/>
      <c r="G39" s="770">
        <v>365496</v>
      </c>
      <c r="H39" s="760">
        <f t="shared" si="10"/>
        <v>3750000</v>
      </c>
      <c r="I39" s="760">
        <f t="shared" si="8"/>
        <v>4115496</v>
      </c>
      <c r="J39" s="760">
        <v>3862500</v>
      </c>
      <c r="K39" s="760">
        <v>3975000</v>
      </c>
      <c r="L39" s="760">
        <v>3609375</v>
      </c>
      <c r="M39" s="761">
        <f t="shared" si="11"/>
        <v>15196875</v>
      </c>
      <c r="N39" s="1237">
        <f t="shared" si="9"/>
        <v>15562371</v>
      </c>
      <c r="O39" s="1263"/>
      <c r="P39" s="1250"/>
      <c r="Q39" s="1081"/>
      <c r="S39" s="751"/>
    </row>
    <row r="40" spans="1:25" s="750" customFormat="1" ht="34.5" customHeight="1">
      <c r="A40" s="1080"/>
      <c r="B40" s="758" t="s">
        <v>22</v>
      </c>
      <c r="C40" s="759">
        <v>4875000</v>
      </c>
      <c r="D40" s="768">
        <v>0</v>
      </c>
      <c r="E40" s="768">
        <v>0</v>
      </c>
      <c r="F40" s="768"/>
      <c r="G40" s="770">
        <v>389701.31</v>
      </c>
      <c r="H40" s="760">
        <f t="shared" si="10"/>
        <v>4875000</v>
      </c>
      <c r="I40" s="760">
        <f t="shared" si="8"/>
        <v>5264701.3099999996</v>
      </c>
      <c r="J40" s="760">
        <v>8700000</v>
      </c>
      <c r="K40" s="760">
        <v>8962500</v>
      </c>
      <c r="L40" s="760">
        <v>9225000</v>
      </c>
      <c r="M40" s="761">
        <f t="shared" si="11"/>
        <v>31762500</v>
      </c>
      <c r="N40" s="1237">
        <f t="shared" si="9"/>
        <v>32152201.309999999</v>
      </c>
      <c r="O40" s="1263"/>
      <c r="P40" s="1250"/>
      <c r="Q40" s="1081"/>
      <c r="S40" s="751"/>
    </row>
    <row r="41" spans="1:25" s="750" customFormat="1" ht="37.5" customHeight="1">
      <c r="A41" s="1080"/>
      <c r="B41" s="758" t="s">
        <v>23</v>
      </c>
      <c r="C41" s="759">
        <v>48750000</v>
      </c>
      <c r="D41" s="759">
        <v>0</v>
      </c>
      <c r="E41" s="759">
        <v>0</v>
      </c>
      <c r="F41" s="759"/>
      <c r="G41" s="770">
        <v>43035592.850000009</v>
      </c>
      <c r="H41" s="760">
        <f t="shared" si="10"/>
        <v>48750000</v>
      </c>
      <c r="I41" s="760">
        <f t="shared" si="8"/>
        <v>91785592.850000009</v>
      </c>
      <c r="J41" s="760">
        <v>87037500</v>
      </c>
      <c r="K41" s="760">
        <v>89625000</v>
      </c>
      <c r="L41" s="760">
        <v>92325000</v>
      </c>
      <c r="M41" s="761">
        <f t="shared" si="11"/>
        <v>317737500</v>
      </c>
      <c r="N41" s="1237">
        <f t="shared" si="9"/>
        <v>360773092.85000002</v>
      </c>
      <c r="O41" s="1263"/>
      <c r="P41" s="1250"/>
      <c r="Q41" s="1081"/>
      <c r="S41" s="751"/>
    </row>
    <row r="42" spans="1:25" s="750" customFormat="1" ht="30.75" customHeight="1">
      <c r="A42" s="1080"/>
      <c r="B42" s="758" t="s">
        <v>24</v>
      </c>
      <c r="C42" s="759">
        <v>525000000</v>
      </c>
      <c r="D42" s="759">
        <v>30000000</v>
      </c>
      <c r="E42" s="759">
        <v>0</v>
      </c>
      <c r="F42" s="759"/>
      <c r="G42" s="770">
        <v>39527121.660000004</v>
      </c>
      <c r="H42" s="760">
        <f t="shared" si="10"/>
        <v>555000000</v>
      </c>
      <c r="I42" s="760">
        <f t="shared" si="8"/>
        <v>594527121.65999997</v>
      </c>
      <c r="J42" s="760">
        <v>575250000</v>
      </c>
      <c r="K42" s="760">
        <v>598237500</v>
      </c>
      <c r="L42" s="760">
        <v>622125000</v>
      </c>
      <c r="M42" s="761">
        <f t="shared" si="11"/>
        <v>2350612500</v>
      </c>
      <c r="N42" s="1237">
        <f t="shared" si="9"/>
        <v>2390139621.6599998</v>
      </c>
      <c r="O42" s="1263"/>
      <c r="P42" s="1250"/>
      <c r="Q42" s="1081"/>
      <c r="S42" s="751"/>
    </row>
    <row r="43" spans="1:25" s="750" customFormat="1" ht="40.5" customHeight="1">
      <c r="A43" s="1080"/>
      <c r="B43" s="758" t="s">
        <v>25</v>
      </c>
      <c r="C43" s="759">
        <v>1500000</v>
      </c>
      <c r="D43" s="759">
        <v>0</v>
      </c>
      <c r="E43" s="759">
        <v>0</v>
      </c>
      <c r="F43" s="759"/>
      <c r="G43" s="770">
        <v>1563268.25</v>
      </c>
      <c r="H43" s="760">
        <f t="shared" si="10"/>
        <v>1500000</v>
      </c>
      <c r="I43" s="760">
        <f t="shared" si="8"/>
        <v>3063268.25</v>
      </c>
      <c r="J43" s="760">
        <v>1575000</v>
      </c>
      <c r="K43" s="760">
        <v>1687500</v>
      </c>
      <c r="L43" s="760">
        <v>1800000</v>
      </c>
      <c r="M43" s="761">
        <f t="shared" si="11"/>
        <v>6562500</v>
      </c>
      <c r="N43" s="1237">
        <f t="shared" si="9"/>
        <v>8125768.25</v>
      </c>
      <c r="O43" s="1263"/>
      <c r="P43" s="1250"/>
      <c r="Q43" s="1081"/>
      <c r="S43" s="751"/>
    </row>
    <row r="44" spans="1:25" s="750" customFormat="1" ht="30.75" customHeight="1">
      <c r="A44" s="1080"/>
      <c r="B44" s="758" t="s">
        <v>10</v>
      </c>
      <c r="C44" s="759">
        <v>18750000</v>
      </c>
      <c r="D44" s="759">
        <v>0</v>
      </c>
      <c r="E44" s="759">
        <v>0</v>
      </c>
      <c r="F44" s="759"/>
      <c r="G44" s="770">
        <v>7149392.7899999619</v>
      </c>
      <c r="H44" s="760">
        <f t="shared" si="10"/>
        <v>18750000</v>
      </c>
      <c r="I44" s="760">
        <f t="shared" si="8"/>
        <v>25899392.789999962</v>
      </c>
      <c r="J44" s="760">
        <v>43762500</v>
      </c>
      <c r="K44" s="760">
        <v>45075000</v>
      </c>
      <c r="L44" s="760">
        <v>46425000</v>
      </c>
      <c r="M44" s="761">
        <f t="shared" si="11"/>
        <v>154012500</v>
      </c>
      <c r="N44" s="1237">
        <f t="shared" si="9"/>
        <v>161161892.78999996</v>
      </c>
      <c r="O44" s="1263"/>
      <c r="P44" s="1250"/>
      <c r="Q44" s="1081"/>
      <c r="S44" s="751"/>
    </row>
    <row r="45" spans="1:25" s="750" customFormat="1" ht="30" customHeight="1">
      <c r="A45" s="1080"/>
      <c r="B45" s="758" t="s">
        <v>11</v>
      </c>
      <c r="C45" s="759">
        <v>7500000</v>
      </c>
      <c r="D45" s="759">
        <v>0</v>
      </c>
      <c r="E45" s="759">
        <v>0</v>
      </c>
      <c r="F45" s="759"/>
      <c r="G45" s="770">
        <v>5874972</v>
      </c>
      <c r="H45" s="760">
        <f t="shared" si="10"/>
        <v>7500000</v>
      </c>
      <c r="I45" s="760">
        <f t="shared" si="8"/>
        <v>13374972</v>
      </c>
      <c r="J45" s="760">
        <v>8737500</v>
      </c>
      <c r="K45" s="760">
        <v>9000000</v>
      </c>
      <c r="L45" s="760">
        <v>9300000</v>
      </c>
      <c r="M45" s="761">
        <f t="shared" si="11"/>
        <v>34537500</v>
      </c>
      <c r="N45" s="1237">
        <f t="shared" si="9"/>
        <v>40412472</v>
      </c>
      <c r="O45" s="1263"/>
      <c r="P45" s="1250"/>
      <c r="Q45" s="1081"/>
      <c r="S45" s="751"/>
    </row>
    <row r="46" spans="1:25" s="750" customFormat="1" ht="33" customHeight="1">
      <c r="A46" s="1080"/>
      <c r="B46" s="758" t="s">
        <v>863</v>
      </c>
      <c r="C46" s="759">
        <v>34580000</v>
      </c>
      <c r="D46" s="759">
        <v>0</v>
      </c>
      <c r="E46" s="759">
        <v>0</v>
      </c>
      <c r="F46" s="759"/>
      <c r="G46" s="770">
        <v>900050</v>
      </c>
      <c r="H46" s="760">
        <f t="shared" si="10"/>
        <v>34580000</v>
      </c>
      <c r="I46" s="760">
        <f t="shared" si="8"/>
        <v>35480050</v>
      </c>
      <c r="J46" s="760">
        <v>29393000</v>
      </c>
      <c r="K46" s="760">
        <v>30430400</v>
      </c>
      <c r="L46" s="760">
        <v>31122000</v>
      </c>
      <c r="M46" s="761">
        <f t="shared" si="11"/>
        <v>125525400</v>
      </c>
      <c r="N46" s="1237">
        <f t="shared" si="9"/>
        <v>126425450</v>
      </c>
      <c r="O46" s="1263"/>
      <c r="P46" s="1250"/>
      <c r="Q46" s="1081"/>
      <c r="S46" s="751"/>
    </row>
    <row r="47" spans="1:25" s="750" customFormat="1" ht="42" customHeight="1">
      <c r="A47" s="1080"/>
      <c r="B47" s="758" t="s">
        <v>864</v>
      </c>
      <c r="C47" s="759">
        <v>51870000</v>
      </c>
      <c r="D47" s="759">
        <v>0</v>
      </c>
      <c r="E47" s="759">
        <v>0</v>
      </c>
      <c r="F47" s="759"/>
      <c r="G47" s="770">
        <v>22190693.670000002</v>
      </c>
      <c r="H47" s="760">
        <f t="shared" si="10"/>
        <v>51870000</v>
      </c>
      <c r="I47" s="760">
        <f t="shared" si="8"/>
        <v>74060693.670000002</v>
      </c>
      <c r="J47" s="760">
        <v>44089500</v>
      </c>
      <c r="K47" s="760">
        <v>45645600</v>
      </c>
      <c r="L47" s="760">
        <v>46683000</v>
      </c>
      <c r="M47" s="761">
        <f t="shared" si="11"/>
        <v>188288100</v>
      </c>
      <c r="N47" s="1237">
        <f t="shared" si="9"/>
        <v>210478793.67000002</v>
      </c>
      <c r="O47" s="1263"/>
      <c r="P47" s="1250"/>
      <c r="Q47" s="1081"/>
      <c r="S47" s="751"/>
    </row>
    <row r="48" spans="1:25" s="750" customFormat="1" ht="28.5" customHeight="1">
      <c r="A48" s="1080"/>
      <c r="B48" s="758" t="s">
        <v>4</v>
      </c>
      <c r="C48" s="759">
        <v>4500000</v>
      </c>
      <c r="D48" s="759">
        <v>0</v>
      </c>
      <c r="E48" s="759">
        <v>0</v>
      </c>
      <c r="F48" s="759"/>
      <c r="G48" s="770">
        <v>22222240.160000004</v>
      </c>
      <c r="H48" s="760">
        <f t="shared" si="10"/>
        <v>4500000</v>
      </c>
      <c r="I48" s="760">
        <f t="shared" si="8"/>
        <v>26722240.160000004</v>
      </c>
      <c r="J48" s="760">
        <v>4800000</v>
      </c>
      <c r="K48" s="760">
        <v>5062500</v>
      </c>
      <c r="L48" s="760">
        <v>5325000</v>
      </c>
      <c r="M48" s="761">
        <f t="shared" si="11"/>
        <v>19687500</v>
      </c>
      <c r="N48" s="1237">
        <f t="shared" si="9"/>
        <v>41909740.160000004</v>
      </c>
      <c r="O48" s="1263"/>
      <c r="P48" s="1250"/>
      <c r="Q48" s="1081"/>
      <c r="S48" s="751"/>
    </row>
    <row r="49" spans="1:25" s="750" customFormat="1" ht="40.5" customHeight="1">
      <c r="A49" s="1080"/>
      <c r="B49" s="758" t="s">
        <v>12</v>
      </c>
      <c r="C49" s="763">
        <v>18550000</v>
      </c>
      <c r="D49" s="1039">
        <v>0</v>
      </c>
      <c r="E49" s="1039">
        <v>0</v>
      </c>
      <c r="F49" s="1039"/>
      <c r="G49" s="770">
        <v>4905898.25</v>
      </c>
      <c r="H49" s="760">
        <f t="shared" si="10"/>
        <v>18550000</v>
      </c>
      <c r="I49" s="760">
        <f t="shared" si="8"/>
        <v>23455898.25</v>
      </c>
      <c r="J49" s="760">
        <v>19106500</v>
      </c>
      <c r="K49" s="760">
        <v>19679695</v>
      </c>
      <c r="L49" s="760">
        <v>20270085.850000001</v>
      </c>
      <c r="M49" s="761">
        <f t="shared" si="11"/>
        <v>77606280.849999994</v>
      </c>
      <c r="N49" s="1237">
        <f t="shared" si="9"/>
        <v>82512179.099999994</v>
      </c>
      <c r="O49" s="1263"/>
      <c r="P49" s="1250"/>
      <c r="Q49" s="1081"/>
      <c r="S49" s="751"/>
    </row>
    <row r="50" spans="1:25" s="750" customFormat="1" ht="39" customHeight="1">
      <c r="A50" s="1080"/>
      <c r="B50" s="758" t="s">
        <v>28</v>
      </c>
      <c r="C50" s="763">
        <v>24375000</v>
      </c>
      <c r="D50" s="1039">
        <v>0</v>
      </c>
      <c r="E50" s="1039">
        <v>0</v>
      </c>
      <c r="F50" s="1039"/>
      <c r="G50" s="770">
        <v>4187.7699999809265</v>
      </c>
      <c r="H50" s="760">
        <f t="shared" si="10"/>
        <v>24375000</v>
      </c>
      <c r="I50" s="760">
        <f t="shared" si="8"/>
        <v>24379187.769999981</v>
      </c>
      <c r="J50" s="760">
        <v>32212500</v>
      </c>
      <c r="K50" s="760">
        <v>34462500</v>
      </c>
      <c r="L50" s="760">
        <v>36862500</v>
      </c>
      <c r="M50" s="761">
        <f t="shared" si="11"/>
        <v>127912500</v>
      </c>
      <c r="N50" s="1237">
        <f t="shared" si="9"/>
        <v>127916687.76999998</v>
      </c>
      <c r="O50" s="1263"/>
      <c r="P50" s="1250"/>
      <c r="Q50" s="1081"/>
      <c r="S50" s="751"/>
    </row>
    <row r="51" spans="1:25" s="750" customFormat="1" ht="32.25" customHeight="1">
      <c r="A51" s="1080"/>
      <c r="B51" s="758" t="s">
        <v>29</v>
      </c>
      <c r="C51" s="759">
        <v>540000000</v>
      </c>
      <c r="D51" s="759">
        <v>45000000</v>
      </c>
      <c r="E51" s="759">
        <v>0</v>
      </c>
      <c r="F51" s="759"/>
      <c r="G51" s="770">
        <v>3221213.9600000009</v>
      </c>
      <c r="H51" s="760">
        <f t="shared" si="10"/>
        <v>585000000</v>
      </c>
      <c r="I51" s="760">
        <f t="shared" si="8"/>
        <v>588221213.96000004</v>
      </c>
      <c r="J51" s="760">
        <v>592290000</v>
      </c>
      <c r="K51" s="760">
        <v>598200000</v>
      </c>
      <c r="L51" s="760">
        <v>604200000</v>
      </c>
      <c r="M51" s="761">
        <f t="shared" si="11"/>
        <v>2379690000</v>
      </c>
      <c r="N51" s="1237">
        <f t="shared" si="9"/>
        <v>2382911213.96</v>
      </c>
      <c r="O51" s="1263"/>
      <c r="P51" s="1250"/>
      <c r="Q51" s="1081"/>
      <c r="S51" s="751"/>
    </row>
    <row r="52" spans="1:25" s="750" customFormat="1" ht="37.950000000000003" customHeight="1">
      <c r="A52" s="1080"/>
      <c r="B52" s="758" t="s">
        <v>30</v>
      </c>
      <c r="C52" s="763">
        <v>37500</v>
      </c>
      <c r="D52" s="1039">
        <v>0</v>
      </c>
      <c r="E52" s="1039">
        <v>0</v>
      </c>
      <c r="F52" s="1039"/>
      <c r="G52" s="770"/>
      <c r="H52" s="760">
        <f t="shared" si="10"/>
        <v>37500</v>
      </c>
      <c r="I52" s="760">
        <f t="shared" si="8"/>
        <v>37500</v>
      </c>
      <c r="J52" s="760">
        <v>40125</v>
      </c>
      <c r="K52" s="760">
        <v>42933.75</v>
      </c>
      <c r="L52" s="760">
        <v>45939.112500000003</v>
      </c>
      <c r="M52" s="761">
        <f t="shared" si="11"/>
        <v>166497.86249999999</v>
      </c>
      <c r="N52" s="1237">
        <f>I52+J52+K52+L52</f>
        <v>166497.86249999999</v>
      </c>
      <c r="O52" s="1263"/>
      <c r="P52" s="1250"/>
      <c r="Q52" s="1081"/>
      <c r="S52" s="751"/>
    </row>
    <row r="53" spans="1:25" s="750" customFormat="1" ht="36.75" customHeight="1">
      <c r="A53" s="1080"/>
      <c r="B53" s="758" t="s">
        <v>31</v>
      </c>
      <c r="C53" s="759">
        <v>262500</v>
      </c>
      <c r="D53" s="759">
        <v>0</v>
      </c>
      <c r="E53" s="759">
        <v>0</v>
      </c>
      <c r="F53" s="759"/>
      <c r="G53" s="770"/>
      <c r="H53" s="760">
        <f t="shared" si="10"/>
        <v>262500</v>
      </c>
      <c r="I53" s="760">
        <f t="shared" si="8"/>
        <v>262500</v>
      </c>
      <c r="J53" s="760">
        <v>280875</v>
      </c>
      <c r="K53" s="760">
        <v>300536.25</v>
      </c>
      <c r="L53" s="760">
        <v>321573.78749999998</v>
      </c>
      <c r="M53" s="761">
        <f t="shared" si="11"/>
        <v>1165485.0375000001</v>
      </c>
      <c r="N53" s="1237">
        <f t="shared" si="9"/>
        <v>1165485.0375000001</v>
      </c>
      <c r="O53" s="1263"/>
      <c r="P53" s="1250"/>
      <c r="Q53" s="1081"/>
      <c r="S53" s="751"/>
    </row>
    <row r="54" spans="1:25" s="750" customFormat="1" ht="40.5" customHeight="1">
      <c r="A54" s="1080"/>
      <c r="B54" s="758" t="s">
        <v>32</v>
      </c>
      <c r="C54" s="763">
        <v>450000</v>
      </c>
      <c r="D54" s="1039">
        <v>0</v>
      </c>
      <c r="E54" s="1039">
        <v>0</v>
      </c>
      <c r="F54" s="1039"/>
      <c r="G54" s="770"/>
      <c r="H54" s="760">
        <f t="shared" si="10"/>
        <v>450000</v>
      </c>
      <c r="I54" s="760">
        <f t="shared" si="8"/>
        <v>450000</v>
      </c>
      <c r="J54" s="760">
        <v>450000</v>
      </c>
      <c r="K54" s="760">
        <v>487500</v>
      </c>
      <c r="L54" s="760">
        <v>487500</v>
      </c>
      <c r="M54" s="761">
        <f t="shared" si="11"/>
        <v>1875000</v>
      </c>
      <c r="N54" s="1237">
        <f t="shared" si="9"/>
        <v>1875000</v>
      </c>
      <c r="O54" s="1263"/>
      <c r="P54" s="1250"/>
      <c r="Q54" s="1084">
        <f>M35+M55</f>
        <v>41521015960.068298</v>
      </c>
      <c r="R54" s="764"/>
      <c r="S54" s="765"/>
      <c r="T54" s="764"/>
      <c r="U54" s="764"/>
      <c r="V54" s="764"/>
      <c r="W54" s="764"/>
      <c r="X54" s="764"/>
      <c r="Y54" s="764"/>
    </row>
    <row r="55" spans="1:25" s="750" customFormat="1" ht="39.75" customHeight="1">
      <c r="A55" s="1080"/>
      <c r="B55" s="766" t="s">
        <v>9</v>
      </c>
      <c r="C55" s="767">
        <f>SUM(C37:C54)</f>
        <v>1410750000</v>
      </c>
      <c r="D55" s="767">
        <f t="shared" ref="D55:F55" si="12">SUM(D37:D54)</f>
        <v>75000000</v>
      </c>
      <c r="E55" s="767">
        <f t="shared" si="12"/>
        <v>0</v>
      </c>
      <c r="F55" s="767">
        <f t="shared" si="12"/>
        <v>0</v>
      </c>
      <c r="G55" s="767">
        <f>SUM(G37:G54)</f>
        <v>190484828.67999995</v>
      </c>
      <c r="H55" s="767">
        <f t="shared" ref="H55:N55" si="13">SUM(H37:H54)</f>
        <v>1485750000</v>
      </c>
      <c r="I55" s="767">
        <f t="shared" si="13"/>
        <v>1676234828.6799998</v>
      </c>
      <c r="J55" s="767">
        <f t="shared" si="13"/>
        <v>1581367500</v>
      </c>
      <c r="K55" s="767">
        <f t="shared" si="13"/>
        <v>1624569165</v>
      </c>
      <c r="L55" s="767">
        <f t="shared" si="13"/>
        <v>1667832598.7499998</v>
      </c>
      <c r="M55" s="767">
        <f t="shared" si="13"/>
        <v>6359519263.750001</v>
      </c>
      <c r="N55" s="767">
        <f t="shared" si="13"/>
        <v>6550004092.4300003</v>
      </c>
      <c r="O55" s="1264"/>
      <c r="P55" s="1251"/>
      <c r="Q55" s="1085">
        <f>M55/Q54</f>
        <v>0.1531638645322671</v>
      </c>
      <c r="R55" s="764"/>
      <c r="S55" s="765"/>
      <c r="T55" s="764"/>
      <c r="U55" s="764"/>
      <c r="V55" s="764"/>
      <c r="W55" s="764"/>
      <c r="X55" s="764"/>
      <c r="Y55" s="764"/>
    </row>
    <row r="56" spans="1:25" s="750" customFormat="1" ht="39" customHeight="1">
      <c r="A56" s="1080"/>
      <c r="B56" s="1462" t="s">
        <v>823</v>
      </c>
      <c r="C56" s="1463"/>
      <c r="D56" s="1463"/>
      <c r="E56" s="1463"/>
      <c r="F56" s="1463"/>
      <c r="G56" s="1463"/>
      <c r="H56" s="1463"/>
      <c r="I56" s="1463"/>
      <c r="J56" s="1463"/>
      <c r="K56" s="1463"/>
      <c r="L56" s="1463"/>
      <c r="M56" s="1463"/>
      <c r="N56" s="1238"/>
      <c r="O56" s="1266">
        <f>M73/$M$162</f>
        <v>2.2197029184875233E-2</v>
      </c>
      <c r="P56" s="1253">
        <f>N73/$N$162</f>
        <v>2.361279803832048E-2</v>
      </c>
      <c r="Q56" s="1083"/>
      <c r="R56" s="764"/>
      <c r="S56" s="765"/>
      <c r="T56" s="764"/>
      <c r="U56" s="764"/>
      <c r="V56" s="764"/>
      <c r="W56" s="764"/>
      <c r="X56" s="764"/>
      <c r="Y56" s="764"/>
    </row>
    <row r="57" spans="1:25" s="750" customFormat="1" ht="34.5" customHeight="1">
      <c r="A57" s="1080"/>
      <c r="B57" s="758" t="s">
        <v>34</v>
      </c>
      <c r="C57" s="763">
        <v>1200000000</v>
      </c>
      <c r="D57" s="1039">
        <v>0</v>
      </c>
      <c r="E57" s="1039">
        <v>320376644.85000002</v>
      </c>
      <c r="F57" s="1039">
        <v>158541.8599999547</v>
      </c>
      <c r="G57" s="1039"/>
      <c r="H57" s="769">
        <f>SUM(C57:E57)</f>
        <v>1520376644.8499999</v>
      </c>
      <c r="I57" s="769">
        <f t="shared" ref="I57:I72" si="14">SUM(C57:G57)</f>
        <v>1520535186.7099998</v>
      </c>
      <c r="J57" s="769">
        <v>1080000000</v>
      </c>
      <c r="K57" s="769">
        <v>972000000</v>
      </c>
      <c r="L57" s="769">
        <v>875200000</v>
      </c>
      <c r="M57" s="761">
        <f t="shared" ref="M57:M72" si="15">+H57+J57+K57+L57</f>
        <v>4447576644.8500004</v>
      </c>
      <c r="N57" s="1237">
        <f t="shared" ref="N57:N72" si="16">I57+J57+K57+L57</f>
        <v>4447735186.71</v>
      </c>
      <c r="O57" s="1263"/>
      <c r="P57" s="1250"/>
      <c r="Q57" s="1083"/>
      <c r="R57" s="764"/>
      <c r="S57" s="765"/>
      <c r="T57" s="764"/>
      <c r="U57" s="764"/>
      <c r="V57" s="764"/>
      <c r="W57" s="764"/>
      <c r="X57" s="764"/>
      <c r="Y57" s="764"/>
    </row>
    <row r="58" spans="1:25" s="750" customFormat="1" ht="42.75" customHeight="1">
      <c r="A58" s="1080"/>
      <c r="B58" s="758" t="s">
        <v>35</v>
      </c>
      <c r="C58" s="763">
        <v>8000000</v>
      </c>
      <c r="D58" s="1039">
        <v>0</v>
      </c>
      <c r="E58" s="1039">
        <v>0</v>
      </c>
      <c r="F58" s="1039"/>
      <c r="G58" s="1039"/>
      <c r="H58" s="769">
        <f t="shared" ref="H58:H72" si="17">SUM(C58:E58)</f>
        <v>8000000</v>
      </c>
      <c r="I58" s="769">
        <f t="shared" si="14"/>
        <v>8000000</v>
      </c>
      <c r="J58" s="769">
        <v>7200000</v>
      </c>
      <c r="K58" s="769">
        <v>6400000</v>
      </c>
      <c r="L58" s="769">
        <v>5600000</v>
      </c>
      <c r="M58" s="761">
        <f t="shared" si="15"/>
        <v>27200000</v>
      </c>
      <c r="N58" s="1237">
        <f t="shared" si="16"/>
        <v>27200000</v>
      </c>
      <c r="O58" s="1263"/>
      <c r="P58" s="1250"/>
      <c r="Q58" s="1083"/>
      <c r="R58" s="764"/>
      <c r="S58" s="765"/>
      <c r="T58" s="764"/>
      <c r="U58" s="764"/>
      <c r="V58" s="764"/>
      <c r="W58" s="764"/>
      <c r="X58" s="764"/>
      <c r="Y58" s="764"/>
    </row>
    <row r="59" spans="1:25" s="750" customFormat="1" ht="33" customHeight="1">
      <c r="A59" s="1080"/>
      <c r="B59" s="758" t="s">
        <v>36</v>
      </c>
      <c r="C59" s="770">
        <v>240000000</v>
      </c>
      <c r="D59" s="770">
        <v>0</v>
      </c>
      <c r="E59" s="770">
        <v>0</v>
      </c>
      <c r="F59" s="770">
        <v>292050393.60000002</v>
      </c>
      <c r="G59" s="770"/>
      <c r="H59" s="769">
        <f t="shared" si="17"/>
        <v>240000000</v>
      </c>
      <c r="I59" s="769">
        <f t="shared" si="14"/>
        <v>532050393.60000002</v>
      </c>
      <c r="J59" s="769">
        <v>216000000</v>
      </c>
      <c r="K59" s="769">
        <v>194400000</v>
      </c>
      <c r="L59" s="769">
        <v>175200000</v>
      </c>
      <c r="M59" s="761">
        <f t="shared" si="15"/>
        <v>825600000</v>
      </c>
      <c r="N59" s="1237">
        <f t="shared" si="16"/>
        <v>1117650393.5999999</v>
      </c>
      <c r="O59" s="1263"/>
      <c r="P59" s="1250"/>
      <c r="Q59" s="1083"/>
      <c r="R59" s="764"/>
      <c r="S59" s="765"/>
      <c r="T59" s="764"/>
      <c r="U59" s="764"/>
      <c r="V59" s="764"/>
      <c r="W59" s="764"/>
      <c r="X59" s="764"/>
      <c r="Y59" s="764"/>
    </row>
    <row r="60" spans="1:25" s="750" customFormat="1" ht="30.75" customHeight="1">
      <c r="A60" s="1080"/>
      <c r="B60" s="758" t="s">
        <v>37</v>
      </c>
      <c r="C60" s="770">
        <v>960000000</v>
      </c>
      <c r="D60" s="770">
        <v>0</v>
      </c>
      <c r="E60" s="770">
        <v>1000000000</v>
      </c>
      <c r="F60" s="770">
        <v>19776321.399999857</v>
      </c>
      <c r="G60" s="770"/>
      <c r="H60" s="769">
        <f t="shared" si="17"/>
        <v>1960000000</v>
      </c>
      <c r="I60" s="769">
        <f t="shared" si="14"/>
        <v>1979776321.3999999</v>
      </c>
      <c r="J60" s="769">
        <v>864000000</v>
      </c>
      <c r="K60" s="769">
        <v>777600000</v>
      </c>
      <c r="L60" s="769">
        <v>700000000</v>
      </c>
      <c r="M60" s="761">
        <f t="shared" si="15"/>
        <v>4301600000</v>
      </c>
      <c r="N60" s="1237">
        <f t="shared" si="16"/>
        <v>4321376321.3999996</v>
      </c>
      <c r="O60" s="1263"/>
      <c r="P60" s="1250"/>
      <c r="Q60" s="1083"/>
      <c r="R60" s="764"/>
      <c r="S60" s="765"/>
      <c r="T60" s="764"/>
      <c r="U60" s="764"/>
      <c r="V60" s="764"/>
      <c r="W60" s="764"/>
      <c r="X60" s="764"/>
      <c r="Y60" s="764"/>
    </row>
    <row r="61" spans="1:25" s="750" customFormat="1" ht="36.75" customHeight="1">
      <c r="A61" s="1080"/>
      <c r="B61" s="771" t="s">
        <v>38</v>
      </c>
      <c r="C61" s="770">
        <v>3500000000</v>
      </c>
      <c r="D61" s="770">
        <v>0</v>
      </c>
      <c r="E61" s="770">
        <v>1500000000</v>
      </c>
      <c r="F61" s="770">
        <v>148209238.60000038</v>
      </c>
      <c r="G61" s="770"/>
      <c r="H61" s="769">
        <f t="shared" si="17"/>
        <v>5000000000</v>
      </c>
      <c r="I61" s="769">
        <f t="shared" si="14"/>
        <v>5148209238.6000004</v>
      </c>
      <c r="J61" s="769">
        <f>2700000000+450000000</f>
        <v>3150000000</v>
      </c>
      <c r="K61" s="769">
        <v>2835000000</v>
      </c>
      <c r="L61" s="769">
        <v>2551500000</v>
      </c>
      <c r="M61" s="761">
        <f t="shared" si="15"/>
        <v>13536500000</v>
      </c>
      <c r="N61" s="1237">
        <f t="shared" si="16"/>
        <v>13684709238.6</v>
      </c>
      <c r="O61" s="1263"/>
      <c r="P61" s="1250"/>
      <c r="Q61" s="1083"/>
      <c r="R61" s="764"/>
      <c r="S61" s="765"/>
      <c r="T61" s="764"/>
      <c r="U61" s="764"/>
      <c r="V61" s="764"/>
      <c r="W61" s="764"/>
      <c r="X61" s="764"/>
      <c r="Y61" s="764"/>
    </row>
    <row r="62" spans="1:25" s="750" customFormat="1" ht="42" customHeight="1">
      <c r="A62" s="1080"/>
      <c r="B62" s="771" t="s">
        <v>39</v>
      </c>
      <c r="C62" s="770">
        <v>1800000000</v>
      </c>
      <c r="D62" s="770">
        <v>0</v>
      </c>
      <c r="E62" s="770">
        <v>2000908925.71</v>
      </c>
      <c r="F62" s="770"/>
      <c r="G62" s="770">
        <v>1100000000</v>
      </c>
      <c r="H62" s="769">
        <f t="shared" si="17"/>
        <v>3800908925.71</v>
      </c>
      <c r="I62" s="769">
        <f t="shared" si="14"/>
        <v>4900908925.71</v>
      </c>
      <c r="J62" s="769">
        <v>1620000000</v>
      </c>
      <c r="K62" s="769">
        <v>1458000000</v>
      </c>
      <c r="L62" s="769">
        <v>1312000000</v>
      </c>
      <c r="M62" s="761">
        <f t="shared" si="15"/>
        <v>8190908925.71</v>
      </c>
      <c r="N62" s="1237">
        <f t="shared" si="16"/>
        <v>9290908925.7099991</v>
      </c>
      <c r="O62" s="1263"/>
      <c r="P62" s="1250"/>
      <c r="Q62" s="1083"/>
      <c r="R62" s="764"/>
      <c r="S62" s="765"/>
      <c r="T62" s="764"/>
      <c r="U62" s="764"/>
      <c r="V62" s="764"/>
      <c r="W62" s="764"/>
      <c r="X62" s="764"/>
      <c r="Y62" s="764"/>
    </row>
    <row r="63" spans="1:25" s="750" customFormat="1" ht="42" customHeight="1">
      <c r="A63" s="1080"/>
      <c r="B63" s="771" t="s">
        <v>865</v>
      </c>
      <c r="C63" s="770">
        <v>0</v>
      </c>
      <c r="D63" s="770">
        <v>0</v>
      </c>
      <c r="E63" s="770">
        <v>38243.120000000003</v>
      </c>
      <c r="F63" s="770">
        <v>0.8</v>
      </c>
      <c r="G63" s="770"/>
      <c r="H63" s="769">
        <f t="shared" si="17"/>
        <v>38243.120000000003</v>
      </c>
      <c r="I63" s="769">
        <f t="shared" si="14"/>
        <v>38243.920000000006</v>
      </c>
      <c r="J63" s="769">
        <v>0</v>
      </c>
      <c r="K63" s="769">
        <v>0</v>
      </c>
      <c r="L63" s="769">
        <v>0</v>
      </c>
      <c r="M63" s="761">
        <f t="shared" si="15"/>
        <v>38243.120000000003</v>
      </c>
      <c r="N63" s="1237">
        <f t="shared" si="16"/>
        <v>38243.920000000006</v>
      </c>
      <c r="O63" s="1263"/>
      <c r="P63" s="1250"/>
      <c r="Q63" s="1083"/>
      <c r="R63" s="764"/>
      <c r="S63" s="765"/>
      <c r="T63" s="764"/>
      <c r="U63" s="764"/>
      <c r="V63" s="764"/>
      <c r="W63" s="764"/>
      <c r="X63" s="764"/>
      <c r="Y63" s="764"/>
    </row>
    <row r="64" spans="1:25" s="750" customFormat="1" ht="42" customHeight="1">
      <c r="A64" s="1080"/>
      <c r="B64" s="771" t="s">
        <v>866</v>
      </c>
      <c r="C64" s="770">
        <v>0</v>
      </c>
      <c r="D64" s="770">
        <v>0</v>
      </c>
      <c r="E64" s="770">
        <v>12499432.529999999</v>
      </c>
      <c r="F64" s="770"/>
      <c r="G64" s="770"/>
      <c r="H64" s="769">
        <f t="shared" si="17"/>
        <v>12499432.529999999</v>
      </c>
      <c r="I64" s="769">
        <f t="shared" si="14"/>
        <v>12499432.529999999</v>
      </c>
      <c r="J64" s="769">
        <v>0</v>
      </c>
      <c r="K64" s="769">
        <v>0</v>
      </c>
      <c r="L64" s="769">
        <v>0</v>
      </c>
      <c r="M64" s="761">
        <f t="shared" si="15"/>
        <v>12499432.529999999</v>
      </c>
      <c r="N64" s="1237">
        <f t="shared" si="16"/>
        <v>12499432.529999999</v>
      </c>
      <c r="O64" s="1263"/>
      <c r="P64" s="1250"/>
      <c r="Q64" s="1083"/>
      <c r="R64" s="764"/>
      <c r="S64" s="765"/>
      <c r="T64" s="764"/>
      <c r="U64" s="764"/>
      <c r="V64" s="764"/>
      <c r="W64" s="764"/>
      <c r="X64" s="764"/>
      <c r="Y64" s="764"/>
    </row>
    <row r="65" spans="1:25" s="750" customFormat="1" ht="42" customHeight="1">
      <c r="A65" s="1080"/>
      <c r="B65" s="771" t="s">
        <v>919</v>
      </c>
      <c r="C65" s="770">
        <v>0</v>
      </c>
      <c r="D65" s="770">
        <v>0</v>
      </c>
      <c r="E65" s="770"/>
      <c r="F65" s="770">
        <v>219000000</v>
      </c>
      <c r="G65" s="770"/>
      <c r="H65" s="769">
        <f t="shared" si="17"/>
        <v>0</v>
      </c>
      <c r="I65" s="769">
        <f t="shared" si="14"/>
        <v>219000000</v>
      </c>
      <c r="J65" s="769">
        <v>0</v>
      </c>
      <c r="K65" s="769">
        <v>0</v>
      </c>
      <c r="L65" s="769">
        <v>0</v>
      </c>
      <c r="M65" s="761">
        <f t="shared" ref="M65" si="18">+H65+J65+K65+L65</f>
        <v>0</v>
      </c>
      <c r="N65" s="1237">
        <f t="shared" si="16"/>
        <v>219000000</v>
      </c>
      <c r="O65" s="1263"/>
      <c r="P65" s="1250"/>
      <c r="Q65" s="1083"/>
      <c r="R65" s="764"/>
      <c r="S65" s="765"/>
      <c r="T65" s="764"/>
      <c r="U65" s="764"/>
      <c r="V65" s="764"/>
      <c r="W65" s="764"/>
      <c r="X65" s="764"/>
      <c r="Y65" s="764"/>
    </row>
    <row r="66" spans="1:25" s="750" customFormat="1" ht="42" customHeight="1">
      <c r="A66" s="1080"/>
      <c r="B66" s="771" t="s">
        <v>920</v>
      </c>
      <c r="C66" s="770">
        <v>0</v>
      </c>
      <c r="D66" s="770">
        <v>0</v>
      </c>
      <c r="E66" s="770"/>
      <c r="F66" s="770">
        <v>570600000</v>
      </c>
      <c r="G66" s="770"/>
      <c r="H66" s="769">
        <f t="shared" si="17"/>
        <v>0</v>
      </c>
      <c r="I66" s="769">
        <f t="shared" si="14"/>
        <v>570600000</v>
      </c>
      <c r="J66" s="769">
        <v>0</v>
      </c>
      <c r="K66" s="769">
        <v>0</v>
      </c>
      <c r="L66" s="769">
        <v>0</v>
      </c>
      <c r="M66" s="761">
        <f t="shared" ref="M66" si="19">+H66+J66+K66+L66</f>
        <v>0</v>
      </c>
      <c r="N66" s="1237">
        <f t="shared" si="16"/>
        <v>570600000</v>
      </c>
      <c r="O66" s="1263"/>
      <c r="P66" s="1250"/>
      <c r="Q66" s="1083"/>
      <c r="R66" s="764"/>
      <c r="S66" s="765"/>
      <c r="T66" s="764"/>
      <c r="U66" s="764"/>
      <c r="V66" s="764"/>
      <c r="W66" s="764"/>
      <c r="X66" s="764"/>
      <c r="Y66" s="764"/>
    </row>
    <row r="67" spans="1:25" s="750" customFormat="1" ht="29.25" customHeight="1">
      <c r="A67" s="1080"/>
      <c r="B67" s="771" t="s">
        <v>52</v>
      </c>
      <c r="C67" s="770">
        <v>60000000</v>
      </c>
      <c r="D67" s="770">
        <v>0</v>
      </c>
      <c r="E67" s="770">
        <v>16195051.15</v>
      </c>
      <c r="F67" s="770"/>
      <c r="G67" s="770"/>
      <c r="H67" s="769">
        <f t="shared" si="17"/>
        <v>76195051.150000006</v>
      </c>
      <c r="I67" s="769">
        <f t="shared" si="14"/>
        <v>76195051.150000006</v>
      </c>
      <c r="J67" s="769">
        <v>61800000</v>
      </c>
      <c r="K67" s="769">
        <v>63654000</v>
      </c>
      <c r="L67" s="769">
        <v>65563620</v>
      </c>
      <c r="M67" s="761">
        <f t="shared" si="15"/>
        <v>267212671.15000001</v>
      </c>
      <c r="N67" s="1237">
        <f t="shared" si="16"/>
        <v>267212671.15000001</v>
      </c>
      <c r="O67" s="1263"/>
      <c r="P67" s="1250"/>
      <c r="Q67" s="1083"/>
      <c r="R67" s="764"/>
      <c r="S67" s="765"/>
      <c r="T67" s="764"/>
      <c r="U67" s="764"/>
      <c r="V67" s="764"/>
      <c r="W67" s="764"/>
      <c r="X67" s="764"/>
      <c r="Y67" s="764"/>
    </row>
    <row r="68" spans="1:25" s="750" customFormat="1" ht="45" customHeight="1">
      <c r="A68" s="1080"/>
      <c r="B68" s="771" t="s">
        <v>53</v>
      </c>
      <c r="C68" s="770">
        <v>15000000</v>
      </c>
      <c r="D68" s="770">
        <v>0</v>
      </c>
      <c r="E68" s="770">
        <v>4853773.8899999997</v>
      </c>
      <c r="F68" s="770"/>
      <c r="G68" s="770"/>
      <c r="H68" s="769">
        <f t="shared" si="17"/>
        <v>19853773.890000001</v>
      </c>
      <c r="I68" s="769">
        <f t="shared" si="14"/>
        <v>19853773.890000001</v>
      </c>
      <c r="J68" s="769">
        <v>15450000</v>
      </c>
      <c r="K68" s="769">
        <v>15913500</v>
      </c>
      <c r="L68" s="769">
        <v>16390905</v>
      </c>
      <c r="M68" s="761">
        <f t="shared" si="15"/>
        <v>67608178.890000001</v>
      </c>
      <c r="N68" s="1237">
        <f t="shared" si="16"/>
        <v>67608178.890000001</v>
      </c>
      <c r="O68" s="1263"/>
      <c r="P68" s="1250"/>
      <c r="Q68" s="1083"/>
      <c r="R68" s="764"/>
      <c r="S68" s="765"/>
      <c r="T68" s="764"/>
      <c r="U68" s="764"/>
      <c r="V68" s="764"/>
      <c r="W68" s="764"/>
      <c r="X68" s="764"/>
      <c r="Y68" s="764"/>
    </row>
    <row r="69" spans="1:25" s="750" customFormat="1" ht="33" customHeight="1">
      <c r="A69" s="1080"/>
      <c r="B69" s="771" t="s">
        <v>54</v>
      </c>
      <c r="C69" s="770">
        <v>5000000</v>
      </c>
      <c r="D69" s="770">
        <v>0</v>
      </c>
      <c r="E69" s="770">
        <v>0</v>
      </c>
      <c r="F69" s="770">
        <v>5012076.08</v>
      </c>
      <c r="G69" s="770"/>
      <c r="H69" s="769">
        <f t="shared" si="17"/>
        <v>5000000</v>
      </c>
      <c r="I69" s="769">
        <f t="shared" si="14"/>
        <v>10012076.08</v>
      </c>
      <c r="J69" s="769">
        <v>5150000</v>
      </c>
      <c r="K69" s="769">
        <v>5304500</v>
      </c>
      <c r="L69" s="769">
        <v>5463635</v>
      </c>
      <c r="M69" s="761">
        <f t="shared" si="15"/>
        <v>20918135</v>
      </c>
      <c r="N69" s="1237">
        <f t="shared" si="16"/>
        <v>25930211.079999998</v>
      </c>
      <c r="O69" s="1263"/>
      <c r="P69" s="1250"/>
      <c r="Q69" s="1083"/>
      <c r="R69" s="764"/>
      <c r="S69" s="765"/>
      <c r="T69" s="764"/>
      <c r="U69" s="764"/>
      <c r="V69" s="764"/>
      <c r="W69" s="764"/>
      <c r="X69" s="764"/>
      <c r="Y69" s="764"/>
    </row>
    <row r="70" spans="1:25" s="750" customFormat="1" ht="47.25" customHeight="1">
      <c r="A70" s="1080"/>
      <c r="B70" s="771" t="s">
        <v>55</v>
      </c>
      <c r="C70" s="770">
        <v>15000000</v>
      </c>
      <c r="D70" s="770">
        <v>0</v>
      </c>
      <c r="E70" s="770">
        <v>2648749.06</v>
      </c>
      <c r="F70" s="770"/>
      <c r="G70" s="770"/>
      <c r="H70" s="769">
        <f t="shared" si="17"/>
        <v>17648749.059999999</v>
      </c>
      <c r="I70" s="769">
        <f t="shared" si="14"/>
        <v>17648749.059999999</v>
      </c>
      <c r="J70" s="769">
        <v>15450000</v>
      </c>
      <c r="K70" s="769">
        <v>15913500</v>
      </c>
      <c r="L70" s="769">
        <v>16390905</v>
      </c>
      <c r="M70" s="761">
        <f t="shared" si="15"/>
        <v>65403154.060000002</v>
      </c>
      <c r="N70" s="1237">
        <f t="shared" si="16"/>
        <v>65403154.060000002</v>
      </c>
      <c r="O70" s="1263"/>
      <c r="P70" s="1250"/>
      <c r="Q70" s="1083"/>
      <c r="R70" s="764"/>
      <c r="S70" s="765"/>
      <c r="T70" s="764"/>
      <c r="U70" s="764"/>
      <c r="V70" s="764"/>
      <c r="W70" s="764"/>
      <c r="X70" s="764"/>
      <c r="Y70" s="764"/>
    </row>
    <row r="71" spans="1:25" s="750" customFormat="1" ht="36.75" customHeight="1">
      <c r="A71" s="1080"/>
      <c r="B71" s="771" t="s">
        <v>56</v>
      </c>
      <c r="C71" s="770">
        <v>20000000</v>
      </c>
      <c r="D71" s="770">
        <v>0</v>
      </c>
      <c r="E71" s="770">
        <v>39698733.43</v>
      </c>
      <c r="F71" s="770"/>
      <c r="G71" s="770">
        <v>4606000</v>
      </c>
      <c r="H71" s="769">
        <f t="shared" si="17"/>
        <v>59698733.43</v>
      </c>
      <c r="I71" s="769">
        <f t="shared" si="14"/>
        <v>64304733.43</v>
      </c>
      <c r="J71" s="769">
        <v>20600000</v>
      </c>
      <c r="K71" s="769">
        <v>21218000</v>
      </c>
      <c r="L71" s="769">
        <v>21854540</v>
      </c>
      <c r="M71" s="761">
        <f t="shared" si="15"/>
        <v>123371273.43000001</v>
      </c>
      <c r="N71" s="1237">
        <f t="shared" si="16"/>
        <v>127977273.43000001</v>
      </c>
      <c r="O71" s="1263"/>
      <c r="P71" s="1250"/>
      <c r="Q71" s="1083"/>
      <c r="R71" s="764"/>
      <c r="S71" s="765"/>
      <c r="T71" s="764"/>
      <c r="U71" s="764"/>
      <c r="V71" s="764"/>
      <c r="W71" s="764"/>
      <c r="X71" s="764"/>
      <c r="Y71" s="764"/>
    </row>
    <row r="72" spans="1:25" s="776" customFormat="1" ht="41.25" customHeight="1">
      <c r="A72" s="1086"/>
      <c r="B72" s="772" t="s">
        <v>59</v>
      </c>
      <c r="C72" s="763">
        <v>10000000</v>
      </c>
      <c r="D72" s="1039">
        <v>0</v>
      </c>
      <c r="E72" s="1039">
        <v>15636129.689999999</v>
      </c>
      <c r="F72" s="1039"/>
      <c r="G72" s="1039"/>
      <c r="H72" s="769">
        <f t="shared" si="17"/>
        <v>25636129.689999998</v>
      </c>
      <c r="I72" s="769">
        <f t="shared" si="14"/>
        <v>25636129.689999998</v>
      </c>
      <c r="J72" s="769">
        <v>10300000</v>
      </c>
      <c r="K72" s="769">
        <v>10609000</v>
      </c>
      <c r="L72" s="769">
        <v>10927270</v>
      </c>
      <c r="M72" s="761">
        <f t="shared" si="15"/>
        <v>57472399.689999998</v>
      </c>
      <c r="N72" s="1237">
        <f t="shared" si="16"/>
        <v>57472399.689999998</v>
      </c>
      <c r="O72" s="1267"/>
      <c r="P72" s="1254"/>
      <c r="Q72" s="1083"/>
      <c r="R72" s="773"/>
      <c r="S72" s="774"/>
      <c r="T72" s="775"/>
      <c r="U72" s="775"/>
      <c r="V72" s="775"/>
      <c r="W72" s="764"/>
      <c r="X72" s="764"/>
      <c r="Y72" s="764"/>
    </row>
    <row r="73" spans="1:25" s="782" customFormat="1" ht="35.25" customHeight="1">
      <c r="A73" s="1087"/>
      <c r="B73" s="777" t="s">
        <v>9</v>
      </c>
      <c r="C73" s="778">
        <f>SUM(C57:C72)</f>
        <v>7833000000</v>
      </c>
      <c r="D73" s="778">
        <f t="shared" ref="D73:N73" si="20">SUM(D57:D72)</f>
        <v>0</v>
      </c>
      <c r="E73" s="778">
        <f t="shared" si="20"/>
        <v>4912855683.4299994</v>
      </c>
      <c r="F73" s="778">
        <f t="shared" si="20"/>
        <v>1254806572.3400002</v>
      </c>
      <c r="G73" s="778">
        <f t="shared" si="20"/>
        <v>1104606000</v>
      </c>
      <c r="H73" s="778">
        <f t="shared" si="20"/>
        <v>12745855683.430002</v>
      </c>
      <c r="I73" s="778">
        <f t="shared" si="20"/>
        <v>15105268255.77</v>
      </c>
      <c r="J73" s="778">
        <f t="shared" si="20"/>
        <v>7065950000</v>
      </c>
      <c r="K73" s="778">
        <f t="shared" si="20"/>
        <v>6376012500</v>
      </c>
      <c r="L73" s="778">
        <f t="shared" si="20"/>
        <v>5756090875</v>
      </c>
      <c r="M73" s="778">
        <f t="shared" si="20"/>
        <v>31943909058.429996</v>
      </c>
      <c r="N73" s="778">
        <f t="shared" si="20"/>
        <v>34303321630.769997</v>
      </c>
      <c r="O73" s="1268"/>
      <c r="P73" s="1255"/>
      <c r="Q73" s="1088"/>
      <c r="R73" s="780"/>
      <c r="S73" s="781"/>
      <c r="T73" s="780"/>
      <c r="U73" s="780"/>
      <c r="V73" s="780"/>
      <c r="W73" s="780"/>
      <c r="X73" s="780"/>
      <c r="Y73" s="780"/>
    </row>
    <row r="74" spans="1:25" s="750" customFormat="1" ht="33.75" customHeight="1">
      <c r="A74" s="1080"/>
      <c r="B74" s="1462" t="s">
        <v>812</v>
      </c>
      <c r="C74" s="1463"/>
      <c r="D74" s="1463"/>
      <c r="E74" s="1463"/>
      <c r="F74" s="1463"/>
      <c r="G74" s="1463"/>
      <c r="H74" s="1463"/>
      <c r="I74" s="1463"/>
      <c r="J74" s="1463"/>
      <c r="K74" s="1463"/>
      <c r="L74" s="1463"/>
      <c r="M74" s="1463"/>
      <c r="N74" s="1238"/>
      <c r="O74" s="1266">
        <f>M87/$M$162</f>
        <v>0.52250641742655213</v>
      </c>
      <c r="P74" s="1253">
        <f>N87/$N$162</f>
        <v>0.51826491055176394</v>
      </c>
      <c r="Q74" s="1083"/>
      <c r="R74" s="783"/>
      <c r="S74" s="784"/>
      <c r="T74" s="785"/>
      <c r="U74" s="785"/>
      <c r="V74" s="786"/>
      <c r="W74" s="764"/>
      <c r="X74" s="764"/>
      <c r="Y74" s="764"/>
    </row>
    <row r="75" spans="1:25" s="795" customFormat="1" ht="40.5" customHeight="1">
      <c r="A75" s="1089"/>
      <c r="B75" s="787" t="s">
        <v>867</v>
      </c>
      <c r="C75" s="788">
        <f>158208464711-2744256817</f>
        <v>155464207894</v>
      </c>
      <c r="D75" s="1040">
        <v>0</v>
      </c>
      <c r="E75" s="1040">
        <v>0</v>
      </c>
      <c r="F75" s="1040"/>
      <c r="G75" s="1040"/>
      <c r="H75" s="789">
        <f>SUM(C75:E75)</f>
        <v>155464207894</v>
      </c>
      <c r="I75" s="789">
        <f t="shared" ref="I75:I86" si="21">SUM(C75:G75)</f>
        <v>155464207894</v>
      </c>
      <c r="J75" s="789">
        <v>157018872162.31259</v>
      </c>
      <c r="K75" s="789">
        <v>158588951750.53409</v>
      </c>
      <c r="L75" s="789">
        <v>160174748924.39191</v>
      </c>
      <c r="M75" s="790">
        <f t="shared" ref="M75:M80" si="22">+H75+J75+K75+L75</f>
        <v>631246780731.23853</v>
      </c>
      <c r="N75" s="1237">
        <f>I75+J75+K75+L75</f>
        <v>631246780731.23853</v>
      </c>
      <c r="O75" s="1269"/>
      <c r="P75" s="1256"/>
      <c r="Q75" s="1090"/>
      <c r="R75" s="791"/>
      <c r="S75" s="792"/>
      <c r="T75" s="793"/>
      <c r="U75" s="793"/>
      <c r="V75" s="793"/>
      <c r="W75" s="794"/>
      <c r="X75" s="794"/>
      <c r="Y75" s="794"/>
    </row>
    <row r="76" spans="1:25" s="795" customFormat="1" ht="48" customHeight="1">
      <c r="A76" s="1089"/>
      <c r="B76" s="787" t="s">
        <v>868</v>
      </c>
      <c r="C76" s="788">
        <v>20299014033</v>
      </c>
      <c r="D76" s="1040">
        <v>0</v>
      </c>
      <c r="E76" s="1040">
        <v>0</v>
      </c>
      <c r="F76" s="1040"/>
      <c r="G76" s="1040"/>
      <c r="H76" s="789">
        <f t="shared" ref="H76:H80" si="23">SUM(C76:E76)</f>
        <v>20299014033</v>
      </c>
      <c r="I76" s="789">
        <f t="shared" si="21"/>
        <v>20299014033</v>
      </c>
      <c r="J76" s="789">
        <v>20502007070.603859</v>
      </c>
      <c r="K76" s="789">
        <v>20707012891.724857</v>
      </c>
      <c r="L76" s="789">
        <v>20914070963.300919</v>
      </c>
      <c r="M76" s="790">
        <f t="shared" si="22"/>
        <v>82422104958.629639</v>
      </c>
      <c r="N76" s="1237">
        <f t="shared" ref="N76:N86" si="24">I76+J76+K76+L76</f>
        <v>82422104958.629639</v>
      </c>
      <c r="O76" s="1269"/>
      <c r="P76" s="1256"/>
      <c r="Q76" s="1090"/>
      <c r="R76" s="791"/>
      <c r="S76" s="792"/>
      <c r="T76" s="793"/>
      <c r="U76" s="793"/>
      <c r="V76" s="793"/>
      <c r="W76" s="794"/>
      <c r="X76" s="794"/>
      <c r="Y76" s="794"/>
    </row>
    <row r="77" spans="1:25" s="795" customFormat="1" ht="42.75" customHeight="1">
      <c r="A77" s="1089"/>
      <c r="B77" s="787" t="s">
        <v>869</v>
      </c>
      <c r="C77" s="788">
        <v>8840160070</v>
      </c>
      <c r="D77" s="1040">
        <v>0</v>
      </c>
      <c r="E77" s="1040">
        <v>0</v>
      </c>
      <c r="F77" s="1040"/>
      <c r="G77" s="1040"/>
      <c r="H77" s="789">
        <f t="shared" si="23"/>
        <v>8840160070</v>
      </c>
      <c r="I77" s="789">
        <f t="shared" si="21"/>
        <v>8840160070</v>
      </c>
      <c r="J77" s="789">
        <v>8928562932.4541245</v>
      </c>
      <c r="K77" s="789">
        <v>9017842356.1268806</v>
      </c>
      <c r="L77" s="789">
        <v>9108015528.7520218</v>
      </c>
      <c r="M77" s="790">
        <f t="shared" si="22"/>
        <v>35894580887.333023</v>
      </c>
      <c r="N77" s="1237">
        <f t="shared" si="24"/>
        <v>35894580887.333023</v>
      </c>
      <c r="O77" s="1269"/>
      <c r="P77" s="1256"/>
      <c r="Q77" s="1090"/>
      <c r="R77" s="791"/>
      <c r="S77" s="792"/>
      <c r="T77" s="793"/>
      <c r="U77" s="793"/>
      <c r="V77" s="793"/>
      <c r="W77" s="794"/>
      <c r="X77" s="794"/>
      <c r="Y77" s="794"/>
    </row>
    <row r="78" spans="1:25" s="795" customFormat="1" ht="47.25" customHeight="1">
      <c r="A78" s="1089"/>
      <c r="B78" s="787" t="s">
        <v>870</v>
      </c>
      <c r="C78" s="788">
        <v>484998382</v>
      </c>
      <c r="D78" s="1040">
        <v>0</v>
      </c>
      <c r="E78" s="1040">
        <v>0</v>
      </c>
      <c r="F78" s="1040"/>
      <c r="G78" s="1040"/>
      <c r="H78" s="789">
        <f t="shared" si="23"/>
        <v>484998382</v>
      </c>
      <c r="I78" s="789">
        <f t="shared" si="21"/>
        <v>484998382</v>
      </c>
      <c r="J78" s="789">
        <v>489848435.04371357</v>
      </c>
      <c r="K78" s="789">
        <v>494746578.93299943</v>
      </c>
      <c r="L78" s="789">
        <v>499693756.6398167</v>
      </c>
      <c r="M78" s="790">
        <f t="shared" si="22"/>
        <v>1969287152.6165297</v>
      </c>
      <c r="N78" s="1237">
        <f t="shared" si="24"/>
        <v>1969287152.6165297</v>
      </c>
      <c r="O78" s="1269"/>
      <c r="P78" s="1256"/>
      <c r="Q78" s="1090"/>
      <c r="R78" s="791"/>
      <c r="S78" s="792"/>
      <c r="T78" s="793"/>
      <c r="U78" s="793"/>
      <c r="V78" s="793"/>
      <c r="W78" s="794"/>
      <c r="X78" s="794"/>
      <c r="Y78" s="794"/>
    </row>
    <row r="79" spans="1:25" s="795" customFormat="1" ht="36.75" customHeight="1">
      <c r="A79" s="1089"/>
      <c r="B79" s="787" t="s">
        <v>871</v>
      </c>
      <c r="C79" s="788">
        <v>100000000</v>
      </c>
      <c r="D79" s="1040">
        <v>0</v>
      </c>
      <c r="E79" s="1040">
        <v>0</v>
      </c>
      <c r="F79" s="1040"/>
      <c r="G79" s="1040"/>
      <c r="H79" s="789">
        <f t="shared" si="23"/>
        <v>100000000</v>
      </c>
      <c r="I79" s="789">
        <f t="shared" si="21"/>
        <v>100000000</v>
      </c>
      <c r="J79" s="789">
        <v>101000000</v>
      </c>
      <c r="K79" s="789">
        <v>102010000</v>
      </c>
      <c r="L79" s="789">
        <v>103030100</v>
      </c>
      <c r="M79" s="790">
        <f t="shared" si="22"/>
        <v>406040100</v>
      </c>
      <c r="N79" s="1237">
        <f t="shared" si="24"/>
        <v>406040100</v>
      </c>
      <c r="O79" s="1269"/>
      <c r="P79" s="1256"/>
      <c r="Q79" s="1090"/>
      <c r="R79" s="791"/>
      <c r="S79" s="792"/>
      <c r="T79" s="793"/>
      <c r="U79" s="793"/>
      <c r="V79" s="793"/>
      <c r="W79" s="794"/>
      <c r="X79" s="794"/>
      <c r="Y79" s="794"/>
    </row>
    <row r="80" spans="1:25" s="795" customFormat="1" ht="36.75" customHeight="1">
      <c r="A80" s="1089"/>
      <c r="B80" s="787" t="s">
        <v>40</v>
      </c>
      <c r="C80" s="788">
        <v>1000000</v>
      </c>
      <c r="D80" s="1040">
        <v>0</v>
      </c>
      <c r="E80" s="1040">
        <v>0</v>
      </c>
      <c r="F80" s="1040"/>
      <c r="G80" s="1040"/>
      <c r="H80" s="789">
        <f t="shared" si="23"/>
        <v>1000000</v>
      </c>
      <c r="I80" s="789">
        <f t="shared" si="21"/>
        <v>1000000</v>
      </c>
      <c r="J80" s="789">
        <v>1010000</v>
      </c>
      <c r="K80" s="789">
        <v>1020100</v>
      </c>
      <c r="L80" s="789">
        <v>1030301</v>
      </c>
      <c r="M80" s="790">
        <f t="shared" si="22"/>
        <v>4060401</v>
      </c>
      <c r="N80" s="1237">
        <f t="shared" si="24"/>
        <v>4060401</v>
      </c>
      <c r="O80" s="1269"/>
      <c r="P80" s="1256"/>
      <c r="Q80" s="1090"/>
      <c r="R80" s="791"/>
      <c r="S80" s="792"/>
      <c r="T80" s="793"/>
      <c r="U80" s="793"/>
      <c r="V80" s="793"/>
      <c r="W80" s="794"/>
      <c r="X80" s="794"/>
      <c r="Y80" s="794"/>
    </row>
    <row r="81" spans="1:25" s="795" customFormat="1" ht="36.75" customHeight="1">
      <c r="A81" s="1089"/>
      <c r="B81" s="787" t="s">
        <v>948</v>
      </c>
      <c r="C81" s="788"/>
      <c r="D81" s="1040"/>
      <c r="E81" s="1040"/>
      <c r="F81" s="1040"/>
      <c r="G81" s="1040">
        <v>226758395</v>
      </c>
      <c r="H81" s="789"/>
      <c r="I81" s="789">
        <f t="shared" si="21"/>
        <v>226758395</v>
      </c>
      <c r="J81" s="789"/>
      <c r="K81" s="789"/>
      <c r="L81" s="789"/>
      <c r="M81" s="790"/>
      <c r="N81" s="1237">
        <f t="shared" si="24"/>
        <v>226758395</v>
      </c>
      <c r="O81" s="1269"/>
      <c r="P81" s="1256"/>
      <c r="Q81" s="1090"/>
      <c r="R81" s="791"/>
      <c r="S81" s="792"/>
      <c r="T81" s="793"/>
      <c r="U81" s="793"/>
      <c r="V81" s="793"/>
      <c r="W81" s="794"/>
      <c r="X81" s="794"/>
      <c r="Y81" s="794"/>
    </row>
    <row r="82" spans="1:25" s="795" customFormat="1" ht="36.75" customHeight="1">
      <c r="A82" s="1089"/>
      <c r="B82" s="787" t="s">
        <v>949</v>
      </c>
      <c r="C82" s="788"/>
      <c r="D82" s="1040"/>
      <c r="E82" s="1040"/>
      <c r="F82" s="1040"/>
      <c r="G82" s="1040">
        <v>6006028.9000000022</v>
      </c>
      <c r="H82" s="789"/>
      <c r="I82" s="789">
        <f t="shared" si="21"/>
        <v>6006028.9000000022</v>
      </c>
      <c r="J82" s="789"/>
      <c r="K82" s="789"/>
      <c r="L82" s="789"/>
      <c r="M82" s="790"/>
      <c r="N82" s="1237">
        <f t="shared" si="24"/>
        <v>6006028.9000000022</v>
      </c>
      <c r="O82" s="1269"/>
      <c r="P82" s="1256"/>
      <c r="Q82" s="1090"/>
      <c r="R82" s="791"/>
      <c r="S82" s="792"/>
      <c r="T82" s="793"/>
      <c r="U82" s="793"/>
      <c r="V82" s="793"/>
      <c r="W82" s="794"/>
      <c r="X82" s="794"/>
      <c r="Y82" s="794"/>
    </row>
    <row r="83" spans="1:25" s="795" customFormat="1" ht="36.75" customHeight="1">
      <c r="A83" s="1089"/>
      <c r="B83" s="787" t="s">
        <v>950</v>
      </c>
      <c r="C83" s="788"/>
      <c r="D83" s="1040"/>
      <c r="E83" s="1040"/>
      <c r="F83" s="1040"/>
      <c r="G83" s="1040">
        <v>61238425.849999994</v>
      </c>
      <c r="H83" s="789"/>
      <c r="I83" s="789">
        <f t="shared" si="21"/>
        <v>61238425.849999994</v>
      </c>
      <c r="J83" s="789"/>
      <c r="K83" s="789"/>
      <c r="L83" s="789"/>
      <c r="M83" s="790"/>
      <c r="N83" s="1237">
        <f t="shared" si="24"/>
        <v>61238425.849999994</v>
      </c>
      <c r="O83" s="1269"/>
      <c r="P83" s="1256"/>
      <c r="Q83" s="1090"/>
      <c r="R83" s="791"/>
      <c r="S83" s="792"/>
      <c r="T83" s="793"/>
      <c r="U83" s="793"/>
      <c r="V83" s="793"/>
      <c r="W83" s="794"/>
      <c r="X83" s="794"/>
      <c r="Y83" s="794"/>
    </row>
    <row r="84" spans="1:25" s="795" customFormat="1" ht="36.75" customHeight="1">
      <c r="A84" s="1089"/>
      <c r="B84" s="787" t="s">
        <v>951</v>
      </c>
      <c r="C84" s="788"/>
      <c r="D84" s="1040"/>
      <c r="E84" s="1040"/>
      <c r="F84" s="1040"/>
      <c r="G84" s="1040">
        <v>133488</v>
      </c>
      <c r="H84" s="789"/>
      <c r="I84" s="789">
        <f t="shared" si="21"/>
        <v>133488</v>
      </c>
      <c r="J84" s="789"/>
      <c r="K84" s="789"/>
      <c r="L84" s="789"/>
      <c r="M84" s="790"/>
      <c r="N84" s="1237">
        <f t="shared" si="24"/>
        <v>133488</v>
      </c>
      <c r="O84" s="1269"/>
      <c r="P84" s="1256"/>
      <c r="Q84" s="1090"/>
      <c r="R84" s="791"/>
      <c r="S84" s="792"/>
      <c r="T84" s="793"/>
      <c r="U84" s="793"/>
      <c r="V84" s="793"/>
      <c r="W84" s="794"/>
      <c r="X84" s="794"/>
      <c r="Y84" s="794"/>
    </row>
    <row r="85" spans="1:25" s="795" customFormat="1" ht="36.75" customHeight="1">
      <c r="A85" s="1089"/>
      <c r="B85" s="787" t="s">
        <v>952</v>
      </c>
      <c r="C85" s="788"/>
      <c r="D85" s="1040"/>
      <c r="E85" s="1040"/>
      <c r="F85" s="1040"/>
      <c r="G85" s="1040">
        <v>90963909</v>
      </c>
      <c r="H85" s="789"/>
      <c r="I85" s="789">
        <f t="shared" si="21"/>
        <v>90963909</v>
      </c>
      <c r="J85" s="789"/>
      <c r="K85" s="789"/>
      <c r="L85" s="789"/>
      <c r="M85" s="790"/>
      <c r="N85" s="1237">
        <f t="shared" si="24"/>
        <v>90963909</v>
      </c>
      <c r="O85" s="1269"/>
      <c r="P85" s="1256"/>
      <c r="Q85" s="1090"/>
      <c r="R85" s="791"/>
      <c r="S85" s="792"/>
      <c r="T85" s="793"/>
      <c r="U85" s="793"/>
      <c r="V85" s="793"/>
      <c r="W85" s="794"/>
      <c r="X85" s="794"/>
      <c r="Y85" s="794"/>
    </row>
    <row r="86" spans="1:25" s="795" customFormat="1" ht="36.75" customHeight="1">
      <c r="A86" s="1089"/>
      <c r="B86" s="787" t="s">
        <v>953</v>
      </c>
      <c r="C86" s="788"/>
      <c r="D86" s="1040"/>
      <c r="E86" s="1040"/>
      <c r="F86" s="1040"/>
      <c r="G86" s="1040">
        <v>577647296</v>
      </c>
      <c r="H86" s="789"/>
      <c r="I86" s="789">
        <f t="shared" si="21"/>
        <v>577647296</v>
      </c>
      <c r="J86" s="789"/>
      <c r="K86" s="789"/>
      <c r="L86" s="789"/>
      <c r="M86" s="790"/>
      <c r="N86" s="1237">
        <f t="shared" si="24"/>
        <v>577647296</v>
      </c>
      <c r="O86" s="1269"/>
      <c r="P86" s="1256"/>
      <c r="Q86" s="1090"/>
      <c r="R86" s="791"/>
      <c r="S86" s="792"/>
      <c r="T86" s="793"/>
      <c r="U86" s="793"/>
      <c r="V86" s="793"/>
      <c r="W86" s="794"/>
      <c r="X86" s="794"/>
      <c r="Y86" s="794"/>
    </row>
    <row r="87" spans="1:25" s="782" customFormat="1" ht="39" customHeight="1">
      <c r="A87" s="1091"/>
      <c r="B87" s="766" t="s">
        <v>9</v>
      </c>
      <c r="C87" s="778">
        <f>SUM(C75:C86)</f>
        <v>185189380379</v>
      </c>
      <c r="D87" s="778">
        <f t="shared" ref="D87:G87" si="25">SUM(D75:D86)</f>
        <v>0</v>
      </c>
      <c r="E87" s="778">
        <f t="shared" si="25"/>
        <v>0</v>
      </c>
      <c r="F87" s="778">
        <f t="shared" si="25"/>
        <v>0</v>
      </c>
      <c r="G87" s="778">
        <f t="shared" si="25"/>
        <v>962747542.75</v>
      </c>
      <c r="H87" s="778">
        <f t="shared" ref="H87" si="26">SUM(H75:H86)</f>
        <v>185189380379</v>
      </c>
      <c r="I87" s="778">
        <f t="shared" ref="I87" si="27">SUM(I75:I86)</f>
        <v>186152127921.75</v>
      </c>
      <c r="J87" s="778">
        <f t="shared" ref="J87" si="28">SUM(J75:J86)</f>
        <v>187041300600.41428</v>
      </c>
      <c r="K87" s="778">
        <f t="shared" ref="K87" si="29">SUM(K75:K86)</f>
        <v>188911583677.31885</v>
      </c>
      <c r="L87" s="778">
        <f t="shared" ref="L87" si="30">SUM(L75:L86)</f>
        <v>190800589574.08466</v>
      </c>
      <c r="M87" s="778">
        <f t="shared" ref="M87" si="31">SUM(M75:M86)</f>
        <v>751942854230.81775</v>
      </c>
      <c r="N87" s="778">
        <f t="shared" ref="N87" si="32">SUM(N75:N86)</f>
        <v>752905601773.56775</v>
      </c>
      <c r="O87" s="1268"/>
      <c r="P87" s="1255"/>
      <c r="Q87" s="1088"/>
      <c r="R87" s="780"/>
      <c r="S87" s="781"/>
      <c r="T87" s="780"/>
      <c r="U87" s="780"/>
      <c r="V87" s="780"/>
      <c r="W87" s="780"/>
      <c r="X87" s="780"/>
      <c r="Y87" s="780"/>
    </row>
    <row r="88" spans="1:25" s="750" customFormat="1" ht="39.75" customHeight="1">
      <c r="A88" s="1080"/>
      <c r="B88" s="1462" t="s">
        <v>842</v>
      </c>
      <c r="C88" s="1463"/>
      <c r="D88" s="1463"/>
      <c r="E88" s="1463"/>
      <c r="F88" s="1463"/>
      <c r="G88" s="1463"/>
      <c r="H88" s="1463"/>
      <c r="I88" s="1463"/>
      <c r="J88" s="1463"/>
      <c r="K88" s="1463"/>
      <c r="L88" s="1463"/>
      <c r="M88" s="1463"/>
      <c r="N88" s="1238"/>
      <c r="O88" s="1266">
        <f>M94/$M$162</f>
        <v>8.2238476174747114E-3</v>
      </c>
      <c r="P88" s="1253">
        <f>N94/$N$162</f>
        <v>8.6929137238687445E-3</v>
      </c>
      <c r="Q88" s="1083"/>
      <c r="R88" s="783"/>
      <c r="S88" s="784"/>
      <c r="T88" s="785"/>
      <c r="U88" s="785"/>
      <c r="V88" s="786"/>
      <c r="W88" s="764"/>
      <c r="X88" s="764"/>
      <c r="Y88" s="764"/>
    </row>
    <row r="89" spans="1:25" s="795" customFormat="1" ht="40.5" customHeight="1">
      <c r="A89" s="1089"/>
      <c r="B89" s="787" t="s">
        <v>872</v>
      </c>
      <c r="C89" s="788">
        <v>2600000000</v>
      </c>
      <c r="D89" s="1040">
        <v>0</v>
      </c>
      <c r="E89" s="1040">
        <v>0</v>
      </c>
      <c r="F89" s="1040"/>
      <c r="G89" s="1040"/>
      <c r="H89" s="789">
        <f>SUM(C89:E89)</f>
        <v>2600000000</v>
      </c>
      <c r="I89" s="789">
        <f t="shared" ref="I89:I93" si="33">SUM(C89:G89)</f>
        <v>2600000000</v>
      </c>
      <c r="J89" s="789">
        <v>2663837250.0876889</v>
      </c>
      <c r="K89" s="789">
        <v>2730410382.3219924</v>
      </c>
      <c r="L89" s="789">
        <v>2798807435.9873729</v>
      </c>
      <c r="M89" s="790">
        <f>+H89+J89+K89+L89</f>
        <v>10793055068.397055</v>
      </c>
      <c r="N89" s="1239">
        <f>I89+J89+K89+L89</f>
        <v>10793055068.397055</v>
      </c>
      <c r="O89" s="1269"/>
      <c r="P89" s="1256"/>
      <c r="Q89" s="1090"/>
      <c r="R89" s="791"/>
      <c r="S89" s="792"/>
      <c r="T89" s="793"/>
      <c r="U89" s="793"/>
      <c r="V89" s="793"/>
      <c r="W89" s="794"/>
      <c r="X89" s="794"/>
      <c r="Y89" s="794"/>
    </row>
    <row r="90" spans="1:25" s="795" customFormat="1" ht="42.75" customHeight="1">
      <c r="A90" s="1089"/>
      <c r="B90" s="787" t="s">
        <v>873</v>
      </c>
      <c r="C90" s="788">
        <v>250000000</v>
      </c>
      <c r="D90" s="1040">
        <v>0</v>
      </c>
      <c r="E90" s="1040">
        <v>0</v>
      </c>
      <c r="F90" s="1040"/>
      <c r="G90" s="1040"/>
      <c r="H90" s="789">
        <f t="shared" ref="H90:H91" si="34">SUM(C90:E90)</f>
        <v>250000000</v>
      </c>
      <c r="I90" s="789">
        <f t="shared" si="33"/>
        <v>250000000</v>
      </c>
      <c r="J90" s="789">
        <v>256138197.12381619</v>
      </c>
      <c r="K90" s="789">
        <v>262539459.83865309</v>
      </c>
      <c r="L90" s="789">
        <v>269116099.61417049</v>
      </c>
      <c r="M90" s="790">
        <f>+H90+J90+K90+L90</f>
        <v>1037793756.5766399</v>
      </c>
      <c r="N90" s="1239">
        <f t="shared" ref="N90:N93" si="35">I90+J90+K90+L90</f>
        <v>1037793756.5766399</v>
      </c>
      <c r="O90" s="1269"/>
      <c r="P90" s="1256"/>
      <c r="Q90" s="1090"/>
      <c r="R90" s="791"/>
      <c r="S90" s="792"/>
      <c r="T90" s="793"/>
      <c r="U90" s="793"/>
      <c r="V90" s="793"/>
      <c r="W90" s="794"/>
      <c r="X90" s="794"/>
      <c r="Y90" s="794"/>
    </row>
    <row r="91" spans="1:25" s="795" customFormat="1" ht="62.25" customHeight="1">
      <c r="A91" s="1089"/>
      <c r="B91" s="787" t="s">
        <v>62</v>
      </c>
      <c r="C91" s="788">
        <v>1000000</v>
      </c>
      <c r="D91" s="1040">
        <v>0</v>
      </c>
      <c r="E91" s="1040">
        <v>0</v>
      </c>
      <c r="F91" s="1040"/>
      <c r="G91" s="1040"/>
      <c r="H91" s="789">
        <f t="shared" si="34"/>
        <v>1000000</v>
      </c>
      <c r="I91" s="789">
        <f t="shared" si="33"/>
        <v>1000000</v>
      </c>
      <c r="J91" s="789">
        <v>1024552.7884952647</v>
      </c>
      <c r="K91" s="789">
        <v>1050157.8393546124</v>
      </c>
      <c r="L91" s="789">
        <v>1076464.3984566818</v>
      </c>
      <c r="M91" s="790">
        <f>+H91+J91+K91+L91</f>
        <v>4151175.0263065584</v>
      </c>
      <c r="N91" s="1239">
        <f t="shared" si="35"/>
        <v>4151175.0263065584</v>
      </c>
      <c r="O91" s="1269"/>
      <c r="P91" s="1256"/>
      <c r="Q91" s="1092">
        <f>J121+J94+J87</f>
        <v>212145070900.41428</v>
      </c>
      <c r="R91" s="791"/>
      <c r="S91" s="792"/>
      <c r="T91" s="793"/>
      <c r="U91" s="793"/>
      <c r="V91" s="793"/>
      <c r="W91" s="794"/>
      <c r="X91" s="794"/>
      <c r="Y91" s="794"/>
    </row>
    <row r="92" spans="1:25" s="795" customFormat="1" ht="62.25" customHeight="1">
      <c r="A92" s="1089"/>
      <c r="B92" s="787" t="s">
        <v>946</v>
      </c>
      <c r="C92" s="788"/>
      <c r="D92" s="1040"/>
      <c r="E92" s="1040"/>
      <c r="F92" s="1040"/>
      <c r="G92" s="1040">
        <v>4715205</v>
      </c>
      <c r="H92" s="789"/>
      <c r="I92" s="789">
        <f t="shared" si="33"/>
        <v>4715205</v>
      </c>
      <c r="J92" s="789"/>
      <c r="K92" s="789"/>
      <c r="L92" s="789"/>
      <c r="M92" s="790"/>
      <c r="N92" s="1239">
        <f t="shared" si="35"/>
        <v>4715205</v>
      </c>
      <c r="O92" s="1269"/>
      <c r="P92" s="1256"/>
      <c r="Q92" s="1092"/>
      <c r="R92" s="791"/>
      <c r="S92" s="792"/>
      <c r="T92" s="793"/>
      <c r="U92" s="793"/>
      <c r="V92" s="793"/>
      <c r="W92" s="794"/>
      <c r="X92" s="794"/>
      <c r="Y92" s="794"/>
    </row>
    <row r="93" spans="1:25" s="795" customFormat="1" ht="62.25" customHeight="1">
      <c r="A93" s="1089"/>
      <c r="B93" s="787" t="s">
        <v>947</v>
      </c>
      <c r="C93" s="788"/>
      <c r="D93" s="1040"/>
      <c r="E93" s="1040"/>
      <c r="F93" s="1040"/>
      <c r="G93" s="1040">
        <v>788852358</v>
      </c>
      <c r="H93" s="789"/>
      <c r="I93" s="789">
        <f t="shared" si="33"/>
        <v>788852358</v>
      </c>
      <c r="J93" s="789"/>
      <c r="K93" s="789"/>
      <c r="L93" s="789"/>
      <c r="M93" s="790"/>
      <c r="N93" s="1239">
        <f t="shared" si="35"/>
        <v>788852358</v>
      </c>
      <c r="O93" s="1269"/>
      <c r="P93" s="1256"/>
      <c r="Q93" s="1092"/>
      <c r="R93" s="791"/>
      <c r="S93" s="792"/>
      <c r="T93" s="793"/>
      <c r="U93" s="793"/>
      <c r="V93" s="793"/>
      <c r="W93" s="794"/>
      <c r="X93" s="794"/>
      <c r="Y93" s="794"/>
    </row>
    <row r="94" spans="1:25" s="782" customFormat="1" ht="36" customHeight="1">
      <c r="A94" s="1091"/>
      <c r="B94" s="766" t="s">
        <v>9</v>
      </c>
      <c r="C94" s="778">
        <f>SUM(C89:C93)</f>
        <v>2851000000</v>
      </c>
      <c r="D94" s="778">
        <f t="shared" ref="D94:G94" si="36">SUM(D89:D93)</f>
        <v>0</v>
      </c>
      <c r="E94" s="778">
        <f t="shared" si="36"/>
        <v>0</v>
      </c>
      <c r="F94" s="778">
        <f t="shared" si="36"/>
        <v>0</v>
      </c>
      <c r="G94" s="778">
        <f t="shared" si="36"/>
        <v>793567563</v>
      </c>
      <c r="H94" s="778">
        <f t="shared" ref="H94" si="37">SUM(H89:H93)</f>
        <v>2851000000</v>
      </c>
      <c r="I94" s="778">
        <f t="shared" ref="I94" si="38">SUM(I89:I93)</f>
        <v>3644567563</v>
      </c>
      <c r="J94" s="778">
        <f t="shared" ref="J94" si="39">SUM(J89:J93)</f>
        <v>2921000000</v>
      </c>
      <c r="K94" s="778">
        <f t="shared" ref="K94" si="40">SUM(K89:K93)</f>
        <v>2994000000</v>
      </c>
      <c r="L94" s="778">
        <f t="shared" ref="L94" si="41">SUM(L89:L93)</f>
        <v>3069000000</v>
      </c>
      <c r="M94" s="778">
        <f t="shared" ref="M94" si="42">SUM(M89:M93)</f>
        <v>11835000000</v>
      </c>
      <c r="N94" s="778">
        <f t="shared" ref="N94" si="43">SUM(N89:N93)</f>
        <v>12628567563</v>
      </c>
      <c r="O94" s="1268"/>
      <c r="P94" s="1255"/>
      <c r="Q94" s="1088"/>
      <c r="R94" s="780"/>
      <c r="S94" s="781"/>
      <c r="T94" s="780"/>
      <c r="U94" s="780"/>
      <c r="V94" s="780"/>
      <c r="W94" s="780"/>
      <c r="X94" s="780"/>
      <c r="Y94" s="780"/>
    </row>
    <row r="95" spans="1:25" s="750" customFormat="1" ht="44.25" customHeight="1">
      <c r="A95" s="1080"/>
      <c r="B95" s="1462" t="s">
        <v>824</v>
      </c>
      <c r="C95" s="1463"/>
      <c r="D95" s="1463"/>
      <c r="E95" s="1463"/>
      <c r="F95" s="1463"/>
      <c r="G95" s="1463"/>
      <c r="H95" s="1463"/>
      <c r="I95" s="1463"/>
      <c r="J95" s="1463"/>
      <c r="K95" s="1463"/>
      <c r="L95" s="1463"/>
      <c r="M95" s="1463"/>
      <c r="N95" s="1238"/>
      <c r="O95" s="1266">
        <f>M121/$M$162</f>
        <v>5.7572280635661666E-2</v>
      </c>
      <c r="P95" s="1253">
        <f>N121/$N$162</f>
        <v>6.041760817963622E-2</v>
      </c>
      <c r="Q95" s="1083"/>
      <c r="R95" s="783"/>
      <c r="S95" s="784"/>
      <c r="T95" s="785"/>
      <c r="U95" s="785"/>
      <c r="V95" s="786"/>
      <c r="W95" s="764"/>
      <c r="X95" s="764"/>
      <c r="Y95" s="764"/>
    </row>
    <row r="96" spans="1:25" s="795" customFormat="1" ht="36.75" customHeight="1">
      <c r="A96" s="1089"/>
      <c r="B96" s="787" t="s">
        <v>41</v>
      </c>
      <c r="C96" s="763">
        <v>800000000</v>
      </c>
      <c r="D96" s="1039">
        <v>0</v>
      </c>
      <c r="E96" s="1039">
        <v>244413243</v>
      </c>
      <c r="F96" s="1039">
        <v>195802.71</v>
      </c>
      <c r="G96" s="1039"/>
      <c r="H96" s="769">
        <f>SUM(C96:E96)</f>
        <v>1044413243</v>
      </c>
      <c r="I96" s="769">
        <f t="shared" ref="I96:I120" si="44">SUM(C96:G96)</f>
        <v>1044609045.71</v>
      </c>
      <c r="J96" s="789">
        <v>840000000</v>
      </c>
      <c r="K96" s="789">
        <v>882000000</v>
      </c>
      <c r="L96" s="789">
        <v>926000000</v>
      </c>
      <c r="M96" s="790">
        <f t="shared" ref="M96:M116" si="45">+H96+J96+K96+L96</f>
        <v>3692413243</v>
      </c>
      <c r="N96" s="1239">
        <f t="shared" ref="N96:N120" si="46">I96+J96+K96+L96</f>
        <v>3692609045.71</v>
      </c>
      <c r="O96" s="1269"/>
      <c r="P96" s="1256"/>
      <c r="Q96" s="1090"/>
      <c r="R96" s="791"/>
      <c r="S96" s="792"/>
      <c r="T96" s="793"/>
      <c r="U96" s="793"/>
      <c r="V96" s="793"/>
      <c r="W96" s="794"/>
      <c r="X96" s="794"/>
      <c r="Y96" s="794"/>
    </row>
    <row r="97" spans="1:25" s="795" customFormat="1" ht="39.75" customHeight="1">
      <c r="A97" s="1089"/>
      <c r="B97" s="787" t="s">
        <v>874</v>
      </c>
      <c r="C97" s="763">
        <v>113000000</v>
      </c>
      <c r="D97" s="1039">
        <v>0</v>
      </c>
      <c r="E97" s="1039">
        <v>0</v>
      </c>
      <c r="F97" s="1039"/>
      <c r="G97" s="1039">
        <v>112961776</v>
      </c>
      <c r="H97" s="769">
        <f t="shared" ref="H97:H116" si="47">SUM(C97:E97)</f>
        <v>113000000</v>
      </c>
      <c r="I97" s="769">
        <f t="shared" si="44"/>
        <v>225961776</v>
      </c>
      <c r="J97" s="789">
        <v>115000000</v>
      </c>
      <c r="K97" s="789">
        <v>118000000</v>
      </c>
      <c r="L97" s="789">
        <v>120000000</v>
      </c>
      <c r="M97" s="790">
        <f t="shared" si="45"/>
        <v>466000000</v>
      </c>
      <c r="N97" s="1239">
        <f t="shared" si="46"/>
        <v>578961776</v>
      </c>
      <c r="O97" s="1269"/>
      <c r="P97" s="1256"/>
      <c r="Q97" s="1090"/>
      <c r="R97" s="791"/>
      <c r="S97" s="792"/>
      <c r="T97" s="793"/>
      <c r="U97" s="793"/>
      <c r="V97" s="793"/>
      <c r="W97" s="794"/>
      <c r="X97" s="794"/>
      <c r="Y97" s="794"/>
    </row>
    <row r="98" spans="1:25" s="776" customFormat="1" ht="33" customHeight="1">
      <c r="A98" s="1086"/>
      <c r="B98" s="787" t="s">
        <v>43</v>
      </c>
      <c r="C98" s="763">
        <v>11000000</v>
      </c>
      <c r="D98" s="1039">
        <v>0</v>
      </c>
      <c r="E98" s="1039">
        <v>0</v>
      </c>
      <c r="F98" s="1039"/>
      <c r="G98" s="1039">
        <v>44862420</v>
      </c>
      <c r="H98" s="769">
        <f t="shared" si="47"/>
        <v>11000000</v>
      </c>
      <c r="I98" s="769">
        <f t="shared" si="44"/>
        <v>55862420</v>
      </c>
      <c r="J98" s="769">
        <v>11846153.846153846</v>
      </c>
      <c r="K98" s="769">
        <v>12692307.692307692</v>
      </c>
      <c r="L98" s="769">
        <v>13961538.461538462</v>
      </c>
      <c r="M98" s="790">
        <f t="shared" si="45"/>
        <v>49500000</v>
      </c>
      <c r="N98" s="1239">
        <f t="shared" si="46"/>
        <v>94362420</v>
      </c>
      <c r="O98" s="1267"/>
      <c r="P98" s="1254"/>
      <c r="Q98" s="1093"/>
      <c r="R98" s="783"/>
      <c r="S98" s="774"/>
      <c r="T98" s="775"/>
      <c r="U98" s="775"/>
      <c r="V98" s="775"/>
      <c r="W98" s="764"/>
      <c r="X98" s="764"/>
      <c r="Y98" s="764"/>
    </row>
    <row r="99" spans="1:25" s="776" customFormat="1" ht="48" customHeight="1">
      <c r="A99" s="1086"/>
      <c r="B99" s="787" t="s">
        <v>44</v>
      </c>
      <c r="C99" s="763">
        <v>15000000</v>
      </c>
      <c r="D99" s="1039">
        <v>0</v>
      </c>
      <c r="E99" s="1039">
        <v>0</v>
      </c>
      <c r="F99" s="1039"/>
      <c r="G99" s="1039">
        <v>11315818</v>
      </c>
      <c r="H99" s="769">
        <f t="shared" si="47"/>
        <v>15000000</v>
      </c>
      <c r="I99" s="769">
        <f t="shared" si="44"/>
        <v>26315818</v>
      </c>
      <c r="J99" s="769">
        <v>16153846.153846152</v>
      </c>
      <c r="K99" s="769">
        <v>17307692.307692308</v>
      </c>
      <c r="L99" s="769">
        <v>19038461.538461536</v>
      </c>
      <c r="M99" s="790">
        <f t="shared" si="45"/>
        <v>67500000</v>
      </c>
      <c r="N99" s="1239">
        <f t="shared" si="46"/>
        <v>78815818</v>
      </c>
      <c r="O99" s="1270"/>
      <c r="P99" s="1257"/>
      <c r="Q99" s="1083"/>
      <c r="R99" s="783"/>
      <c r="S99" s="774"/>
      <c r="T99" s="775"/>
      <c r="U99" s="775"/>
      <c r="V99" s="775"/>
      <c r="W99" s="764"/>
      <c r="X99" s="764"/>
      <c r="Y99" s="764"/>
    </row>
    <row r="100" spans="1:25" s="776" customFormat="1" ht="45.75" customHeight="1">
      <c r="A100" s="1086"/>
      <c r="B100" s="787" t="s">
        <v>45</v>
      </c>
      <c r="C100" s="763">
        <v>5000000000</v>
      </c>
      <c r="D100" s="1039">
        <v>0</v>
      </c>
      <c r="E100" s="1039">
        <v>0</v>
      </c>
      <c r="F100" s="1039"/>
      <c r="G100" s="1039"/>
      <c r="H100" s="769">
        <f t="shared" si="47"/>
        <v>5000000000</v>
      </c>
      <c r="I100" s="769">
        <f t="shared" si="44"/>
        <v>5000000000</v>
      </c>
      <c r="J100" s="769">
        <v>4750000000</v>
      </c>
      <c r="K100" s="769">
        <v>4038000000</v>
      </c>
      <c r="L100" s="769">
        <v>3028000000</v>
      </c>
      <c r="M100" s="790">
        <f t="shared" si="45"/>
        <v>16816000000</v>
      </c>
      <c r="N100" s="1239">
        <f t="shared" si="46"/>
        <v>16816000000</v>
      </c>
      <c r="O100" s="1270"/>
      <c r="P100" s="1257"/>
      <c r="Q100" s="1083"/>
      <c r="R100" s="783"/>
      <c r="S100" s="774"/>
      <c r="T100" s="775"/>
      <c r="U100" s="775"/>
      <c r="V100" s="775"/>
      <c r="W100" s="764"/>
      <c r="X100" s="764"/>
      <c r="Y100" s="764"/>
    </row>
    <row r="101" spans="1:25" s="776" customFormat="1" ht="33.75" customHeight="1">
      <c r="A101" s="1086"/>
      <c r="B101" s="772" t="s">
        <v>46</v>
      </c>
      <c r="C101" s="763">
        <v>8000000000</v>
      </c>
      <c r="D101" s="1040">
        <v>0</v>
      </c>
      <c r="E101" s="1040">
        <v>0</v>
      </c>
      <c r="F101" s="1040"/>
      <c r="G101" s="1040"/>
      <c r="H101" s="769">
        <f t="shared" si="47"/>
        <v>8000000000</v>
      </c>
      <c r="I101" s="769">
        <f t="shared" si="44"/>
        <v>8000000000</v>
      </c>
      <c r="J101" s="769">
        <v>7600000000</v>
      </c>
      <c r="K101" s="769">
        <v>7220000000</v>
      </c>
      <c r="L101" s="769">
        <v>0</v>
      </c>
      <c r="M101" s="790">
        <f t="shared" si="45"/>
        <v>22820000000</v>
      </c>
      <c r="N101" s="1239">
        <f t="shared" si="46"/>
        <v>22820000000</v>
      </c>
      <c r="O101" s="1267"/>
      <c r="P101" s="1254"/>
      <c r="Q101" s="1083"/>
      <c r="R101" s="773"/>
      <c r="S101" s="774"/>
      <c r="T101" s="775"/>
      <c r="U101" s="775"/>
      <c r="V101" s="775"/>
      <c r="W101" s="764"/>
      <c r="X101" s="764"/>
      <c r="Y101" s="764"/>
    </row>
    <row r="102" spans="1:25" s="776" customFormat="1" ht="63.75" customHeight="1">
      <c r="A102" s="1086"/>
      <c r="B102" s="772" t="s">
        <v>875</v>
      </c>
      <c r="C102" s="763">
        <v>372451401</v>
      </c>
      <c r="D102" s="1040">
        <v>0</v>
      </c>
      <c r="E102" s="1040">
        <v>0</v>
      </c>
      <c r="F102" s="1040"/>
      <c r="G102" s="1040"/>
      <c r="H102" s="769">
        <f t="shared" si="47"/>
        <v>372451401</v>
      </c>
      <c r="I102" s="769">
        <f t="shared" si="44"/>
        <v>372451401</v>
      </c>
      <c r="J102" s="769">
        <v>0</v>
      </c>
      <c r="K102" s="769">
        <v>0</v>
      </c>
      <c r="L102" s="769">
        <v>0</v>
      </c>
      <c r="M102" s="790">
        <f t="shared" si="45"/>
        <v>372451401</v>
      </c>
      <c r="N102" s="1239">
        <f t="shared" si="46"/>
        <v>372451401</v>
      </c>
      <c r="O102" s="1267"/>
      <c r="P102" s="1254"/>
      <c r="Q102" s="1083"/>
      <c r="R102" s="773"/>
      <c r="S102" s="774"/>
      <c r="T102" s="775"/>
      <c r="U102" s="775"/>
      <c r="V102" s="775"/>
      <c r="W102" s="764"/>
      <c r="X102" s="764"/>
      <c r="Y102" s="764"/>
    </row>
    <row r="103" spans="1:25" s="776" customFormat="1" ht="48.75" customHeight="1">
      <c r="A103" s="1086"/>
      <c r="B103" s="772" t="s">
        <v>876</v>
      </c>
      <c r="C103" s="763">
        <v>11009131488</v>
      </c>
      <c r="D103" s="1040">
        <v>0</v>
      </c>
      <c r="E103" s="1040">
        <v>0</v>
      </c>
      <c r="F103" s="1040"/>
      <c r="G103" s="1040"/>
      <c r="H103" s="769">
        <f t="shared" si="47"/>
        <v>11009131488</v>
      </c>
      <c r="I103" s="769">
        <f t="shared" si="44"/>
        <v>11009131488</v>
      </c>
      <c r="J103" s="769">
        <v>8652000000</v>
      </c>
      <c r="K103" s="769">
        <v>8912000000</v>
      </c>
      <c r="L103" s="769">
        <v>9179000000</v>
      </c>
      <c r="M103" s="790">
        <f t="shared" si="45"/>
        <v>37752131488</v>
      </c>
      <c r="N103" s="1239">
        <f t="shared" si="46"/>
        <v>37752131488</v>
      </c>
      <c r="O103" s="1267"/>
      <c r="P103" s="1254"/>
      <c r="Q103" s="1083"/>
      <c r="R103" s="773"/>
      <c r="S103" s="774"/>
      <c r="T103" s="775"/>
      <c r="U103" s="775"/>
      <c r="V103" s="775"/>
      <c r="W103" s="764"/>
      <c r="X103" s="764"/>
      <c r="Y103" s="764"/>
    </row>
    <row r="104" spans="1:25" s="776" customFormat="1" ht="48.75" customHeight="1">
      <c r="A104" s="1086"/>
      <c r="B104" s="772" t="s">
        <v>939</v>
      </c>
      <c r="C104" s="763"/>
      <c r="D104" s="1040"/>
      <c r="E104" s="1040"/>
      <c r="F104" s="1040"/>
      <c r="G104" s="1040">
        <v>99713192.109999999</v>
      </c>
      <c r="H104" s="769"/>
      <c r="I104" s="769">
        <f t="shared" si="44"/>
        <v>99713192.109999999</v>
      </c>
      <c r="J104" s="769"/>
      <c r="K104" s="769"/>
      <c r="L104" s="769"/>
      <c r="M104" s="790"/>
      <c r="N104" s="1239">
        <f t="shared" si="46"/>
        <v>99713192.109999999</v>
      </c>
      <c r="O104" s="1267"/>
      <c r="P104" s="1254"/>
      <c r="Q104" s="1083"/>
      <c r="R104" s="773"/>
      <c r="S104" s="774"/>
      <c r="T104" s="775"/>
      <c r="U104" s="775"/>
      <c r="V104" s="775"/>
      <c r="W104" s="764"/>
      <c r="X104" s="764"/>
      <c r="Y104" s="764"/>
    </row>
    <row r="105" spans="1:25" s="776" customFormat="1" ht="48.75" customHeight="1">
      <c r="A105" s="1086"/>
      <c r="B105" s="772" t="s">
        <v>940</v>
      </c>
      <c r="C105" s="763"/>
      <c r="D105" s="1040"/>
      <c r="E105" s="1040"/>
      <c r="F105" s="1040"/>
      <c r="G105" s="1040">
        <v>83109970</v>
      </c>
      <c r="H105" s="769"/>
      <c r="I105" s="769">
        <f t="shared" si="44"/>
        <v>83109970</v>
      </c>
      <c r="J105" s="769"/>
      <c r="K105" s="769"/>
      <c r="L105" s="769"/>
      <c r="M105" s="790"/>
      <c r="N105" s="1239">
        <f t="shared" si="46"/>
        <v>83109970</v>
      </c>
      <c r="O105" s="1267"/>
      <c r="P105" s="1254"/>
      <c r="Q105" s="1083"/>
      <c r="R105" s="773"/>
      <c r="S105" s="774"/>
      <c r="T105" s="775"/>
      <c r="U105" s="775"/>
      <c r="V105" s="775"/>
      <c r="W105" s="764"/>
      <c r="X105" s="764"/>
      <c r="Y105" s="764"/>
    </row>
    <row r="106" spans="1:25" s="776" customFormat="1" ht="48.75" customHeight="1">
      <c r="A106" s="1086"/>
      <c r="B106" s="772" t="s">
        <v>941</v>
      </c>
      <c r="C106" s="763"/>
      <c r="D106" s="1040"/>
      <c r="E106" s="1040"/>
      <c r="F106" s="1040"/>
      <c r="G106" s="1040">
        <v>27322405</v>
      </c>
      <c r="H106" s="769"/>
      <c r="I106" s="769">
        <f t="shared" si="44"/>
        <v>27322405</v>
      </c>
      <c r="J106" s="769"/>
      <c r="K106" s="769"/>
      <c r="L106" s="769"/>
      <c r="M106" s="790"/>
      <c r="N106" s="1239">
        <f t="shared" si="46"/>
        <v>27322405</v>
      </c>
      <c r="O106" s="1267"/>
      <c r="P106" s="1254"/>
      <c r="Q106" s="1083"/>
      <c r="R106" s="773"/>
      <c r="S106" s="774"/>
      <c r="T106" s="775"/>
      <c r="U106" s="775"/>
      <c r="V106" s="775"/>
      <c r="W106" s="764"/>
      <c r="X106" s="764"/>
      <c r="Y106" s="764"/>
    </row>
    <row r="107" spans="1:25" s="776" customFormat="1" ht="48.75" customHeight="1">
      <c r="A107" s="1086"/>
      <c r="B107" s="772" t="s">
        <v>942</v>
      </c>
      <c r="C107" s="763"/>
      <c r="D107" s="1040"/>
      <c r="E107" s="1040"/>
      <c r="F107" s="1040"/>
      <c r="G107" s="1040">
        <v>27322405</v>
      </c>
      <c r="H107" s="769"/>
      <c r="I107" s="769">
        <f t="shared" si="44"/>
        <v>27322405</v>
      </c>
      <c r="J107" s="769"/>
      <c r="K107" s="769"/>
      <c r="L107" s="769"/>
      <c r="M107" s="790"/>
      <c r="N107" s="1239">
        <f t="shared" si="46"/>
        <v>27322405</v>
      </c>
      <c r="O107" s="1267"/>
      <c r="P107" s="1254"/>
      <c r="Q107" s="1083"/>
      <c r="R107" s="773"/>
      <c r="S107" s="774"/>
      <c r="T107" s="775"/>
      <c r="U107" s="775"/>
      <c r="V107" s="775"/>
      <c r="W107" s="764"/>
      <c r="X107" s="764"/>
      <c r="Y107" s="764"/>
    </row>
    <row r="108" spans="1:25" s="776" customFormat="1" ht="48.75" customHeight="1">
      <c r="A108" s="1086"/>
      <c r="B108" s="772" t="s">
        <v>943</v>
      </c>
      <c r="C108" s="763"/>
      <c r="D108" s="1040"/>
      <c r="E108" s="1040"/>
      <c r="F108" s="1040"/>
      <c r="G108" s="1040">
        <v>33686517</v>
      </c>
      <c r="H108" s="769"/>
      <c r="I108" s="769">
        <f t="shared" si="44"/>
        <v>33686517</v>
      </c>
      <c r="J108" s="769"/>
      <c r="K108" s="769"/>
      <c r="L108" s="769"/>
      <c r="M108" s="790"/>
      <c r="N108" s="1239">
        <f t="shared" si="46"/>
        <v>33686517</v>
      </c>
      <c r="O108" s="1267"/>
      <c r="P108" s="1254"/>
      <c r="Q108" s="1083"/>
      <c r="R108" s="773"/>
      <c r="S108" s="774"/>
      <c r="T108" s="775"/>
      <c r="U108" s="775"/>
      <c r="V108" s="775"/>
      <c r="W108" s="764"/>
      <c r="X108" s="764"/>
      <c r="Y108" s="764"/>
    </row>
    <row r="109" spans="1:25" s="776" customFormat="1" ht="48.75" customHeight="1">
      <c r="A109" s="1086"/>
      <c r="B109" s="772" t="s">
        <v>944</v>
      </c>
      <c r="C109" s="763"/>
      <c r="D109" s="1040"/>
      <c r="E109" s="1040"/>
      <c r="F109" s="1040"/>
      <c r="G109" s="1040">
        <v>28195650</v>
      </c>
      <c r="H109" s="769"/>
      <c r="I109" s="769">
        <f t="shared" si="44"/>
        <v>28195650</v>
      </c>
      <c r="J109" s="769"/>
      <c r="K109" s="769"/>
      <c r="L109" s="769"/>
      <c r="M109" s="790"/>
      <c r="N109" s="1239">
        <f t="shared" si="46"/>
        <v>28195650</v>
      </c>
      <c r="O109" s="1267"/>
      <c r="P109" s="1254"/>
      <c r="Q109" s="1083"/>
      <c r="R109" s="773"/>
      <c r="S109" s="774"/>
      <c r="T109" s="775"/>
      <c r="U109" s="775"/>
      <c r="V109" s="775"/>
      <c r="W109" s="764"/>
      <c r="X109" s="764"/>
      <c r="Y109" s="764"/>
    </row>
    <row r="110" spans="1:25" s="776" customFormat="1" ht="48.75" customHeight="1">
      <c r="A110" s="1086"/>
      <c r="B110" s="772" t="s">
        <v>945</v>
      </c>
      <c r="C110" s="763"/>
      <c r="D110" s="1040"/>
      <c r="E110" s="1040"/>
      <c r="F110" s="1040"/>
      <c r="G110" s="1040">
        <v>62469458</v>
      </c>
      <c r="H110" s="769"/>
      <c r="I110" s="769">
        <f t="shared" si="44"/>
        <v>62469458</v>
      </c>
      <c r="J110" s="769"/>
      <c r="K110" s="769"/>
      <c r="L110" s="769"/>
      <c r="M110" s="790"/>
      <c r="N110" s="1239">
        <f t="shared" si="46"/>
        <v>62469458</v>
      </c>
      <c r="O110" s="1267"/>
      <c r="P110" s="1254"/>
      <c r="Q110" s="1083"/>
      <c r="R110" s="773"/>
      <c r="S110" s="774"/>
      <c r="T110" s="775"/>
      <c r="U110" s="775"/>
      <c r="V110" s="775"/>
      <c r="W110" s="764"/>
      <c r="X110" s="764"/>
      <c r="Y110" s="764"/>
    </row>
    <row r="111" spans="1:25" s="776" customFormat="1" ht="75.75" customHeight="1">
      <c r="A111" s="1086"/>
      <c r="B111" s="772" t="s">
        <v>65</v>
      </c>
      <c r="C111" s="763">
        <v>1000000</v>
      </c>
      <c r="D111" s="1039">
        <v>0</v>
      </c>
      <c r="E111" s="1039">
        <v>0</v>
      </c>
      <c r="F111" s="1039"/>
      <c r="G111" s="1039"/>
      <c r="H111" s="769">
        <f t="shared" si="47"/>
        <v>1000000</v>
      </c>
      <c r="I111" s="769">
        <f t="shared" si="44"/>
        <v>1000000</v>
      </c>
      <c r="J111" s="769">
        <v>1030000</v>
      </c>
      <c r="K111" s="769">
        <v>1060900</v>
      </c>
      <c r="L111" s="769">
        <v>1092727</v>
      </c>
      <c r="M111" s="790">
        <f t="shared" si="45"/>
        <v>4183627</v>
      </c>
      <c r="N111" s="1239">
        <f t="shared" si="46"/>
        <v>4183627</v>
      </c>
      <c r="O111" s="1267"/>
      <c r="P111" s="1254"/>
      <c r="Q111" s="1083"/>
      <c r="R111" s="773"/>
      <c r="S111" s="774"/>
      <c r="T111" s="775"/>
      <c r="U111" s="775"/>
      <c r="V111" s="775"/>
      <c r="W111" s="764"/>
      <c r="X111" s="764"/>
      <c r="Y111" s="764"/>
    </row>
    <row r="112" spans="1:25" s="776" customFormat="1" ht="49.5" customHeight="1">
      <c r="A112" s="1086"/>
      <c r="B112" s="772" t="s">
        <v>60</v>
      </c>
      <c r="C112" s="763">
        <v>1000000</v>
      </c>
      <c r="D112" s="1039">
        <v>0</v>
      </c>
      <c r="E112" s="1039">
        <v>1123275.1000000001</v>
      </c>
      <c r="F112" s="1039"/>
      <c r="G112" s="1039"/>
      <c r="H112" s="769">
        <f t="shared" si="47"/>
        <v>2123275.1</v>
      </c>
      <c r="I112" s="769">
        <f t="shared" si="44"/>
        <v>2123275.1</v>
      </c>
      <c r="J112" s="769">
        <v>1030000</v>
      </c>
      <c r="K112" s="769">
        <v>1060900</v>
      </c>
      <c r="L112" s="769">
        <v>1092727</v>
      </c>
      <c r="M112" s="790">
        <f t="shared" si="45"/>
        <v>5306902.0999999996</v>
      </c>
      <c r="N112" s="1239">
        <f t="shared" si="46"/>
        <v>5306902.0999999996</v>
      </c>
      <c r="O112" s="1267"/>
      <c r="P112" s="1254"/>
      <c r="Q112" s="1083"/>
      <c r="R112" s="773"/>
      <c r="S112" s="774"/>
      <c r="T112" s="775"/>
      <c r="U112" s="775"/>
      <c r="V112" s="775"/>
      <c r="W112" s="764"/>
      <c r="X112" s="764"/>
      <c r="Y112" s="764"/>
    </row>
    <row r="113" spans="1:25" s="776" customFormat="1" ht="44.25" customHeight="1">
      <c r="A113" s="1086"/>
      <c r="B113" s="772" t="s">
        <v>61</v>
      </c>
      <c r="C113" s="763">
        <v>10000</v>
      </c>
      <c r="D113" s="1039">
        <v>0</v>
      </c>
      <c r="E113" s="1039">
        <v>0</v>
      </c>
      <c r="F113" s="1039"/>
      <c r="G113" s="1039"/>
      <c r="H113" s="769">
        <f t="shared" si="47"/>
        <v>10000</v>
      </c>
      <c r="I113" s="769">
        <f t="shared" si="44"/>
        <v>10000</v>
      </c>
      <c r="J113" s="769">
        <v>10300</v>
      </c>
      <c r="K113" s="769">
        <v>10609</v>
      </c>
      <c r="L113" s="769">
        <v>10927.27</v>
      </c>
      <c r="M113" s="790">
        <f t="shared" si="45"/>
        <v>41836.270000000004</v>
      </c>
      <c r="N113" s="1239">
        <f t="shared" si="46"/>
        <v>41836.270000000004</v>
      </c>
      <c r="O113" s="1267"/>
      <c r="P113" s="1254"/>
      <c r="Q113" s="1083"/>
      <c r="R113" s="773"/>
      <c r="S113" s="774"/>
      <c r="T113" s="775"/>
      <c r="U113" s="775"/>
      <c r="V113" s="775"/>
      <c r="W113" s="764"/>
      <c r="X113" s="764"/>
      <c r="Y113" s="764"/>
    </row>
    <row r="114" spans="1:25" s="795" customFormat="1" ht="39.75" customHeight="1">
      <c r="A114" s="1089"/>
      <c r="B114" s="787" t="s">
        <v>57</v>
      </c>
      <c r="C114" s="763">
        <v>10000000</v>
      </c>
      <c r="D114" s="1039">
        <v>0</v>
      </c>
      <c r="E114" s="1039">
        <v>12277730.85</v>
      </c>
      <c r="F114" s="1039"/>
      <c r="G114" s="1039"/>
      <c r="H114" s="769">
        <f t="shared" si="47"/>
        <v>22277730.850000001</v>
      </c>
      <c r="I114" s="769">
        <f t="shared" si="44"/>
        <v>22277730.850000001</v>
      </c>
      <c r="J114" s="789">
        <v>10300000</v>
      </c>
      <c r="K114" s="789">
        <v>10609000</v>
      </c>
      <c r="L114" s="789">
        <v>10927270</v>
      </c>
      <c r="M114" s="790">
        <f t="shared" si="45"/>
        <v>54114000.850000001</v>
      </c>
      <c r="N114" s="1239">
        <f t="shared" si="46"/>
        <v>54114000.850000001</v>
      </c>
      <c r="O114" s="1269"/>
      <c r="P114" s="1256"/>
      <c r="Q114" s="1090"/>
      <c r="R114" s="791"/>
      <c r="S114" s="792"/>
      <c r="T114" s="793"/>
      <c r="U114" s="793"/>
      <c r="V114" s="793"/>
      <c r="W114" s="794"/>
      <c r="X114" s="794"/>
      <c r="Y114" s="794"/>
    </row>
    <row r="115" spans="1:25" s="795" customFormat="1" ht="39.75" customHeight="1">
      <c r="A115" s="1089"/>
      <c r="B115" s="787" t="s">
        <v>938</v>
      </c>
      <c r="C115" s="763"/>
      <c r="D115" s="1039"/>
      <c r="E115" s="1039"/>
      <c r="F115" s="1039"/>
      <c r="G115" s="1039">
        <v>23287456.220000029</v>
      </c>
      <c r="H115" s="769"/>
      <c r="I115" s="769">
        <f t="shared" si="44"/>
        <v>23287456.220000029</v>
      </c>
      <c r="J115" s="789"/>
      <c r="K115" s="789"/>
      <c r="L115" s="789"/>
      <c r="M115" s="790"/>
      <c r="N115" s="1239">
        <f t="shared" si="46"/>
        <v>23287456.220000029</v>
      </c>
      <c r="O115" s="1269"/>
      <c r="P115" s="1256"/>
      <c r="Q115" s="1090"/>
      <c r="R115" s="791"/>
      <c r="S115" s="792"/>
      <c r="T115" s="793"/>
      <c r="U115" s="793"/>
      <c r="V115" s="793"/>
      <c r="W115" s="794"/>
      <c r="X115" s="794"/>
      <c r="Y115" s="794"/>
    </row>
    <row r="116" spans="1:25" s="776" customFormat="1" ht="42.75" customHeight="1">
      <c r="A116" s="1086"/>
      <c r="B116" s="787" t="s">
        <v>58</v>
      </c>
      <c r="C116" s="763">
        <v>180000000</v>
      </c>
      <c r="D116" s="1039">
        <v>0</v>
      </c>
      <c r="E116" s="1039">
        <v>0</v>
      </c>
      <c r="F116" s="1039"/>
      <c r="G116" s="1039"/>
      <c r="H116" s="769">
        <f t="shared" si="47"/>
        <v>180000000</v>
      </c>
      <c r="I116" s="769">
        <f t="shared" si="44"/>
        <v>180000000</v>
      </c>
      <c r="J116" s="769">
        <v>185400000</v>
      </c>
      <c r="K116" s="769">
        <v>190962000</v>
      </c>
      <c r="L116" s="769">
        <v>196690860</v>
      </c>
      <c r="M116" s="790">
        <f t="shared" si="45"/>
        <v>753052860</v>
      </c>
      <c r="N116" s="1239">
        <f t="shared" si="46"/>
        <v>753052860</v>
      </c>
      <c r="O116" s="1270"/>
      <c r="P116" s="1257"/>
      <c r="Q116" s="1083"/>
      <c r="R116" s="783"/>
      <c r="S116" s="774"/>
      <c r="T116" s="775"/>
      <c r="U116" s="775"/>
      <c r="V116" s="775"/>
      <c r="W116" s="764"/>
      <c r="X116" s="764"/>
      <c r="Y116" s="764"/>
    </row>
    <row r="117" spans="1:25" s="776" customFormat="1" ht="42.75" customHeight="1">
      <c r="A117" s="1086"/>
      <c r="B117" s="787" t="s">
        <v>954</v>
      </c>
      <c r="C117" s="763"/>
      <c r="D117" s="1039"/>
      <c r="E117" s="1039"/>
      <c r="F117" s="1039"/>
      <c r="G117" s="1039">
        <v>3689331054.000001</v>
      </c>
      <c r="H117" s="769"/>
      <c r="I117" s="769">
        <f t="shared" si="44"/>
        <v>3689331054.000001</v>
      </c>
      <c r="J117" s="769"/>
      <c r="K117" s="769"/>
      <c r="L117" s="769"/>
      <c r="M117" s="790"/>
      <c r="N117" s="1239">
        <f t="shared" si="46"/>
        <v>3689331054.000001</v>
      </c>
      <c r="O117" s="1270"/>
      <c r="P117" s="1257"/>
      <c r="Q117" s="1083"/>
      <c r="R117" s="783"/>
      <c r="S117" s="774"/>
      <c r="T117" s="775"/>
      <c r="U117" s="775"/>
      <c r="V117" s="775"/>
      <c r="W117" s="764"/>
      <c r="X117" s="764"/>
      <c r="Y117" s="764"/>
    </row>
    <row r="118" spans="1:25" s="776" customFormat="1" ht="42.75" customHeight="1">
      <c r="A118" s="1086"/>
      <c r="B118" s="787" t="s">
        <v>955</v>
      </c>
      <c r="C118" s="763"/>
      <c r="D118" s="1039"/>
      <c r="E118" s="1039"/>
      <c r="F118" s="1039"/>
      <c r="G118" s="1039">
        <v>275419449.55000001</v>
      </c>
      <c r="H118" s="769"/>
      <c r="I118" s="769">
        <f t="shared" si="44"/>
        <v>275419449.55000001</v>
      </c>
      <c r="J118" s="769"/>
      <c r="K118" s="769"/>
      <c r="L118" s="769"/>
      <c r="M118" s="790"/>
      <c r="N118" s="1239">
        <f t="shared" si="46"/>
        <v>275419449.55000001</v>
      </c>
      <c r="O118" s="1270"/>
      <c r="P118" s="1257"/>
      <c r="Q118" s="1083"/>
      <c r="R118" s="783"/>
      <c r="S118" s="774"/>
      <c r="T118" s="775"/>
      <c r="U118" s="775"/>
      <c r="V118" s="775"/>
      <c r="W118" s="764"/>
      <c r="X118" s="764"/>
      <c r="Y118" s="764"/>
    </row>
    <row r="119" spans="1:25" s="776" customFormat="1" ht="42.75" customHeight="1">
      <c r="A119" s="1086"/>
      <c r="B119" s="787" t="s">
        <v>956</v>
      </c>
      <c r="C119" s="763"/>
      <c r="D119" s="1039"/>
      <c r="E119" s="1039"/>
      <c r="F119" s="1039"/>
      <c r="G119" s="1039">
        <v>382809280.19</v>
      </c>
      <c r="H119" s="769"/>
      <c r="I119" s="769">
        <f t="shared" si="44"/>
        <v>382809280.19</v>
      </c>
      <c r="J119" s="769"/>
      <c r="K119" s="769"/>
      <c r="L119" s="769"/>
      <c r="M119" s="790"/>
      <c r="N119" s="1239">
        <f t="shared" si="46"/>
        <v>382809280.19</v>
      </c>
      <c r="O119" s="1270"/>
      <c r="P119" s="1257"/>
      <c r="Q119" s="1083"/>
      <c r="R119" s="783"/>
      <c r="S119" s="774"/>
      <c r="T119" s="775"/>
      <c r="U119" s="775"/>
      <c r="V119" s="775"/>
      <c r="W119" s="764"/>
      <c r="X119" s="764"/>
      <c r="Y119" s="764"/>
    </row>
    <row r="120" spans="1:25" s="776" customFormat="1" ht="42.75" customHeight="1">
      <c r="A120" s="1086"/>
      <c r="B120" s="787" t="s">
        <v>957</v>
      </c>
      <c r="C120" s="763"/>
      <c r="D120" s="1039"/>
      <c r="E120" s="1039"/>
      <c r="F120" s="1039"/>
      <c r="G120" s="1039">
        <v>16545454.550000001</v>
      </c>
      <c r="H120" s="769"/>
      <c r="I120" s="769">
        <f t="shared" si="44"/>
        <v>16545454.550000001</v>
      </c>
      <c r="J120" s="769"/>
      <c r="K120" s="769"/>
      <c r="L120" s="769"/>
      <c r="M120" s="790"/>
      <c r="N120" s="1239">
        <f t="shared" si="46"/>
        <v>16545454.550000001</v>
      </c>
      <c r="O120" s="1270"/>
      <c r="P120" s="1257"/>
      <c r="Q120" s="1083"/>
      <c r="R120" s="783"/>
      <c r="S120" s="774"/>
      <c r="T120" s="775"/>
      <c r="U120" s="775"/>
      <c r="V120" s="775"/>
      <c r="W120" s="764"/>
      <c r="X120" s="764"/>
      <c r="Y120" s="764"/>
    </row>
    <row r="121" spans="1:25" s="782" customFormat="1" ht="37.5" customHeight="1">
      <c r="A121" s="1091"/>
      <c r="B121" s="766" t="s">
        <v>9</v>
      </c>
      <c r="C121" s="778">
        <f>SUM(C96:C120)</f>
        <v>25512592889</v>
      </c>
      <c r="D121" s="778">
        <f t="shared" ref="D121:G121" si="48">SUM(D96:D120)</f>
        <v>0</v>
      </c>
      <c r="E121" s="778">
        <f t="shared" si="48"/>
        <v>257814248.94999999</v>
      </c>
      <c r="F121" s="778">
        <f t="shared" si="48"/>
        <v>195802.71</v>
      </c>
      <c r="G121" s="778">
        <f t="shared" si="48"/>
        <v>4918352305.6200008</v>
      </c>
      <c r="H121" s="778">
        <f t="shared" ref="H121" si="49">SUM(H96:H120)</f>
        <v>25770407137.949997</v>
      </c>
      <c r="I121" s="778">
        <f t="shared" ref="I121" si="50">SUM(I96:I120)</f>
        <v>30688955246.279995</v>
      </c>
      <c r="J121" s="778">
        <f t="shared" ref="J121" si="51">SUM(J96:J120)</f>
        <v>22182770300</v>
      </c>
      <c r="K121" s="778">
        <f t="shared" ref="K121" si="52">SUM(K96:K120)</f>
        <v>21403703409</v>
      </c>
      <c r="L121" s="778">
        <f t="shared" ref="L121" si="53">SUM(L96:L120)</f>
        <v>13495814511.27</v>
      </c>
      <c r="M121" s="778">
        <f t="shared" ref="M121" si="54">SUM(M96:M120)</f>
        <v>82852695358.220016</v>
      </c>
      <c r="N121" s="778">
        <f t="shared" ref="N121" si="55">SUM(N96:N120)</f>
        <v>87771243466.550018</v>
      </c>
      <c r="O121" s="1268"/>
      <c r="P121" s="1255"/>
      <c r="Q121" s="1088"/>
      <c r="R121" s="780"/>
      <c r="S121" s="781"/>
      <c r="T121" s="780"/>
      <c r="U121" s="780"/>
      <c r="V121" s="780"/>
      <c r="W121" s="780"/>
      <c r="X121" s="780"/>
      <c r="Y121" s="780"/>
    </row>
    <row r="122" spans="1:25" s="750" customFormat="1" ht="41.25" customHeight="1">
      <c r="A122" s="1094">
        <f>H121+H55</f>
        <v>27256157137.949997</v>
      </c>
      <c r="B122" s="1469" t="s">
        <v>815</v>
      </c>
      <c r="C122" s="1470"/>
      <c r="D122" s="1470"/>
      <c r="E122" s="1470"/>
      <c r="F122" s="1470"/>
      <c r="G122" s="1470"/>
      <c r="H122" s="1470"/>
      <c r="I122" s="1470"/>
      <c r="J122" s="1470"/>
      <c r="K122" s="1470"/>
      <c r="L122" s="1470"/>
      <c r="M122" s="1470"/>
      <c r="N122" s="1240"/>
      <c r="O122" s="1266">
        <f>M153/$M$162</f>
        <v>9.6162844815253449E-3</v>
      </c>
      <c r="P122" s="1253">
        <f>N153/$N$162</f>
        <v>1.1991414899188438E-2</v>
      </c>
      <c r="Q122" s="1083"/>
      <c r="R122" s="764"/>
      <c r="S122" s="765"/>
      <c r="T122" s="764"/>
      <c r="U122" s="764"/>
      <c r="V122" s="764"/>
      <c r="W122" s="764"/>
      <c r="X122" s="764"/>
      <c r="Y122" s="764"/>
    </row>
    <row r="123" spans="1:25" s="776" customFormat="1" ht="34.5" customHeight="1">
      <c r="A123" s="1086"/>
      <c r="B123" s="772" t="s">
        <v>278</v>
      </c>
      <c r="C123" s="1039">
        <v>1500000000</v>
      </c>
      <c r="D123" s="1039">
        <v>1141601689.3199999</v>
      </c>
      <c r="E123" s="1039">
        <v>0</v>
      </c>
      <c r="F123" s="1039"/>
      <c r="G123" s="1039"/>
      <c r="H123" s="769">
        <f>SUM(C123:E123)</f>
        <v>2641601689.3199997</v>
      </c>
      <c r="I123" s="769">
        <f t="shared" ref="I123:I152" si="56">SUM(C123:G123)</f>
        <v>2641601689.3199997</v>
      </c>
      <c r="J123" s="761">
        <v>1050000000</v>
      </c>
      <c r="K123" s="761">
        <v>735000000</v>
      </c>
      <c r="L123" s="761">
        <v>514500000</v>
      </c>
      <c r="M123" s="761">
        <f t="shared" ref="M123:M136" si="57">+H123+J123+K123+L123</f>
        <v>4941101689.3199997</v>
      </c>
      <c r="N123" s="1237">
        <f t="shared" ref="N123:N152" si="58">I123+J123+K123+L123</f>
        <v>4941101689.3199997</v>
      </c>
      <c r="O123" s="1267"/>
      <c r="P123" s="1254"/>
      <c r="Q123" s="1095"/>
      <c r="R123" s="796"/>
      <c r="S123" s="765"/>
      <c r="T123" s="764"/>
      <c r="U123" s="764"/>
      <c r="V123" s="764"/>
      <c r="W123" s="764"/>
      <c r="X123" s="764"/>
      <c r="Y123" s="764"/>
    </row>
    <row r="124" spans="1:25" s="776" customFormat="1" ht="32.25" customHeight="1">
      <c r="A124" s="1086"/>
      <c r="B124" s="772" t="s">
        <v>14</v>
      </c>
      <c r="C124" s="797">
        <v>1000000</v>
      </c>
      <c r="D124" s="797">
        <v>3613732773.1300001</v>
      </c>
      <c r="E124" s="797">
        <v>0</v>
      </c>
      <c r="F124" s="797"/>
      <c r="G124" s="797"/>
      <c r="H124" s="769">
        <f t="shared" ref="H124:H136" si="59">SUM(C124:E124)</f>
        <v>3614732773.1300001</v>
      </c>
      <c r="I124" s="769">
        <f t="shared" si="56"/>
        <v>3614732773.1300001</v>
      </c>
      <c r="J124" s="761">
        <v>700000</v>
      </c>
      <c r="K124" s="769">
        <v>490000</v>
      </c>
      <c r="L124" s="769">
        <v>343000</v>
      </c>
      <c r="M124" s="761">
        <f t="shared" si="57"/>
        <v>3616265773.1300001</v>
      </c>
      <c r="N124" s="1237">
        <f t="shared" si="58"/>
        <v>3616265773.1300001</v>
      </c>
      <c r="O124" s="1267"/>
      <c r="P124" s="1254"/>
      <c r="Q124" s="1083"/>
      <c r="R124" s="764"/>
      <c r="S124" s="765"/>
      <c r="T124" s="764"/>
      <c r="U124" s="764"/>
      <c r="V124" s="764"/>
      <c r="W124" s="764"/>
      <c r="X124" s="764"/>
      <c r="Y124" s="764"/>
    </row>
    <row r="125" spans="1:25" s="776" customFormat="1" ht="74.25" customHeight="1">
      <c r="A125" s="1086"/>
      <c r="B125" s="772" t="s">
        <v>63</v>
      </c>
      <c r="C125" s="1039">
        <v>10000000</v>
      </c>
      <c r="D125" s="1039">
        <v>174223793.24000001</v>
      </c>
      <c r="E125" s="1039">
        <v>0</v>
      </c>
      <c r="F125" s="1039"/>
      <c r="G125" s="1039"/>
      <c r="H125" s="769">
        <f t="shared" si="59"/>
        <v>184223793.24000001</v>
      </c>
      <c r="I125" s="769">
        <f t="shared" si="56"/>
        <v>184223793.24000001</v>
      </c>
      <c r="J125" s="769">
        <v>7000000</v>
      </c>
      <c r="K125" s="769">
        <v>4900000</v>
      </c>
      <c r="L125" s="769">
        <v>3430000</v>
      </c>
      <c r="M125" s="761">
        <f t="shared" si="57"/>
        <v>199553793.24000001</v>
      </c>
      <c r="N125" s="1237">
        <f t="shared" si="58"/>
        <v>199553793.24000001</v>
      </c>
      <c r="O125" s="1267"/>
      <c r="P125" s="1254"/>
      <c r="Q125" s="1083"/>
      <c r="R125" s="764"/>
      <c r="S125" s="765"/>
      <c r="T125" s="764"/>
      <c r="U125" s="764"/>
      <c r="V125" s="764"/>
      <c r="W125" s="764"/>
      <c r="X125" s="764"/>
      <c r="Y125" s="764"/>
    </row>
    <row r="126" spans="1:25" s="776" customFormat="1" ht="64.5" customHeight="1">
      <c r="A126" s="1086"/>
      <c r="B126" s="772" t="s">
        <v>64</v>
      </c>
      <c r="C126" s="1039">
        <v>100000</v>
      </c>
      <c r="D126" s="1039">
        <v>0</v>
      </c>
      <c r="E126" s="1039">
        <v>0</v>
      </c>
      <c r="F126" s="1039"/>
      <c r="G126" s="1039"/>
      <c r="H126" s="769">
        <f t="shared" si="59"/>
        <v>100000</v>
      </c>
      <c r="I126" s="769">
        <f t="shared" si="56"/>
        <v>100000</v>
      </c>
      <c r="J126" s="769">
        <v>70000</v>
      </c>
      <c r="K126" s="769">
        <v>49000</v>
      </c>
      <c r="L126" s="769">
        <v>34300</v>
      </c>
      <c r="M126" s="761">
        <f t="shared" si="57"/>
        <v>253300</v>
      </c>
      <c r="N126" s="1237">
        <f t="shared" si="58"/>
        <v>253300</v>
      </c>
      <c r="O126" s="1267"/>
      <c r="P126" s="1254"/>
      <c r="Q126" s="1083"/>
      <c r="R126" s="764"/>
      <c r="S126" s="765"/>
      <c r="T126" s="764"/>
      <c r="U126" s="764"/>
      <c r="V126" s="764"/>
      <c r="W126" s="764"/>
      <c r="X126" s="764"/>
      <c r="Y126" s="764"/>
    </row>
    <row r="127" spans="1:25" s="776" customFormat="1" ht="43.5" customHeight="1">
      <c r="A127" s="1086"/>
      <c r="B127" s="772" t="s">
        <v>877</v>
      </c>
      <c r="C127" s="1039">
        <v>5000000</v>
      </c>
      <c r="D127" s="1039">
        <v>7977631.4299999997</v>
      </c>
      <c r="E127" s="1039">
        <v>0</v>
      </c>
      <c r="F127" s="1039"/>
      <c r="G127" s="1039"/>
      <c r="H127" s="769">
        <f t="shared" si="59"/>
        <v>12977631.43</v>
      </c>
      <c r="I127" s="769">
        <f t="shared" si="56"/>
        <v>12977631.43</v>
      </c>
      <c r="J127" s="769">
        <v>3500000</v>
      </c>
      <c r="K127" s="769">
        <v>2450000</v>
      </c>
      <c r="L127" s="769">
        <v>1715000</v>
      </c>
      <c r="M127" s="761">
        <f t="shared" si="57"/>
        <v>20642631.43</v>
      </c>
      <c r="N127" s="1237">
        <f t="shared" si="58"/>
        <v>20642631.43</v>
      </c>
      <c r="O127" s="1267"/>
      <c r="P127" s="1254"/>
      <c r="Q127" s="1083"/>
      <c r="R127" s="764"/>
      <c r="S127" s="765"/>
      <c r="T127" s="764"/>
      <c r="U127" s="764"/>
      <c r="V127" s="764"/>
      <c r="W127" s="764"/>
      <c r="X127" s="764"/>
      <c r="Y127" s="764"/>
    </row>
    <row r="128" spans="1:25" s="776" customFormat="1" ht="57.75" customHeight="1">
      <c r="A128" s="1086"/>
      <c r="B128" s="772" t="s">
        <v>878</v>
      </c>
      <c r="C128" s="1039">
        <v>1000</v>
      </c>
      <c r="D128" s="1039">
        <v>0</v>
      </c>
      <c r="E128" s="1039">
        <v>0</v>
      </c>
      <c r="F128" s="1039"/>
      <c r="G128" s="1039"/>
      <c r="H128" s="769">
        <f t="shared" si="59"/>
        <v>1000</v>
      </c>
      <c r="I128" s="769">
        <f t="shared" si="56"/>
        <v>1000</v>
      </c>
      <c r="J128" s="769">
        <v>700</v>
      </c>
      <c r="K128" s="769">
        <v>490</v>
      </c>
      <c r="L128" s="769">
        <v>343</v>
      </c>
      <c r="M128" s="761">
        <f t="shared" si="57"/>
        <v>2533</v>
      </c>
      <c r="N128" s="1237">
        <f t="shared" si="58"/>
        <v>2533</v>
      </c>
      <c r="O128" s="1267"/>
      <c r="P128" s="1254"/>
      <c r="Q128" s="1083"/>
      <c r="R128" s="764"/>
      <c r="S128" s="765"/>
      <c r="T128" s="764"/>
      <c r="U128" s="764"/>
      <c r="V128" s="764"/>
      <c r="W128" s="764"/>
      <c r="X128" s="764"/>
      <c r="Y128" s="764"/>
    </row>
    <row r="129" spans="1:25" s="776" customFormat="1" ht="54.75" customHeight="1">
      <c r="A129" s="1086"/>
      <c r="B129" s="772" t="s">
        <v>879</v>
      </c>
      <c r="C129" s="1039">
        <v>100000</v>
      </c>
      <c r="D129" s="1039">
        <v>0</v>
      </c>
      <c r="E129" s="1039">
        <v>0</v>
      </c>
      <c r="F129" s="1039"/>
      <c r="G129" s="1039"/>
      <c r="H129" s="769">
        <f t="shared" si="59"/>
        <v>100000</v>
      </c>
      <c r="I129" s="769">
        <f t="shared" si="56"/>
        <v>100000</v>
      </c>
      <c r="J129" s="769">
        <v>70000</v>
      </c>
      <c r="K129" s="769">
        <v>49000</v>
      </c>
      <c r="L129" s="769">
        <v>34300</v>
      </c>
      <c r="M129" s="761">
        <f t="shared" si="57"/>
        <v>253300</v>
      </c>
      <c r="N129" s="1237">
        <f t="shared" si="58"/>
        <v>253300</v>
      </c>
      <c r="O129" s="1267"/>
      <c r="P129" s="1254"/>
      <c r="Q129" s="1083"/>
      <c r="R129" s="764"/>
      <c r="S129" s="765"/>
      <c r="T129" s="764"/>
      <c r="U129" s="764"/>
      <c r="V129" s="764"/>
      <c r="W129" s="764"/>
      <c r="X129" s="764"/>
      <c r="Y129" s="764"/>
    </row>
    <row r="130" spans="1:25" s="776" customFormat="1" ht="41.25" customHeight="1">
      <c r="A130" s="1086"/>
      <c r="B130" s="772" t="s">
        <v>880</v>
      </c>
      <c r="C130" s="1039">
        <v>100000</v>
      </c>
      <c r="D130" s="1039">
        <v>0</v>
      </c>
      <c r="E130" s="1039">
        <v>0</v>
      </c>
      <c r="F130" s="1039"/>
      <c r="G130" s="1039"/>
      <c r="H130" s="769">
        <f t="shared" si="59"/>
        <v>100000</v>
      </c>
      <c r="I130" s="769">
        <f t="shared" si="56"/>
        <v>100000</v>
      </c>
      <c r="J130" s="769">
        <v>70000</v>
      </c>
      <c r="K130" s="769">
        <v>49000</v>
      </c>
      <c r="L130" s="769">
        <v>34300</v>
      </c>
      <c r="M130" s="761">
        <f t="shared" si="57"/>
        <v>253300</v>
      </c>
      <c r="N130" s="1237">
        <f t="shared" si="58"/>
        <v>253300</v>
      </c>
      <c r="O130" s="1267"/>
      <c r="P130" s="1254"/>
      <c r="Q130" s="1083"/>
      <c r="R130" s="764"/>
      <c r="S130" s="765"/>
      <c r="T130" s="764"/>
      <c r="U130" s="764"/>
      <c r="V130" s="764"/>
      <c r="W130" s="764"/>
      <c r="X130" s="764"/>
      <c r="Y130" s="764"/>
    </row>
    <row r="131" spans="1:25" s="776" customFormat="1" ht="59.25" customHeight="1">
      <c r="A131" s="1086"/>
      <c r="B131" s="772" t="s">
        <v>881</v>
      </c>
      <c r="C131" s="798">
        <v>0</v>
      </c>
      <c r="D131" s="1039">
        <v>23819967.940000001</v>
      </c>
      <c r="E131" s="1039">
        <v>381580.67</v>
      </c>
      <c r="F131" s="1039"/>
      <c r="G131" s="1039"/>
      <c r="H131" s="769">
        <f t="shared" si="59"/>
        <v>24201548.610000003</v>
      </c>
      <c r="I131" s="769">
        <f t="shared" si="56"/>
        <v>24201548.610000003</v>
      </c>
      <c r="J131" s="769">
        <v>0</v>
      </c>
      <c r="K131" s="769">
        <v>0</v>
      </c>
      <c r="L131" s="769">
        <v>0</v>
      </c>
      <c r="M131" s="761">
        <f t="shared" si="57"/>
        <v>24201548.610000003</v>
      </c>
      <c r="N131" s="1237">
        <f t="shared" si="58"/>
        <v>24201548.610000003</v>
      </c>
      <c r="O131" s="1267"/>
      <c r="P131" s="1254"/>
      <c r="Q131" s="1083"/>
      <c r="R131" s="764"/>
      <c r="S131" s="765"/>
      <c r="T131" s="764"/>
      <c r="U131" s="764"/>
      <c r="V131" s="764"/>
      <c r="W131" s="764"/>
      <c r="X131" s="764"/>
      <c r="Y131" s="764"/>
    </row>
    <row r="132" spans="1:25" s="776" customFormat="1" ht="59.25" customHeight="1">
      <c r="A132" s="1086"/>
      <c r="B132" s="772" t="s">
        <v>882</v>
      </c>
      <c r="C132" s="798">
        <v>0</v>
      </c>
      <c r="D132" s="1039">
        <v>0</v>
      </c>
      <c r="E132" s="1039">
        <v>1842012.72</v>
      </c>
      <c r="F132" s="1039"/>
      <c r="G132" s="1039"/>
      <c r="H132" s="769">
        <f t="shared" si="59"/>
        <v>1842012.72</v>
      </c>
      <c r="I132" s="769">
        <f t="shared" si="56"/>
        <v>1842012.72</v>
      </c>
      <c r="J132" s="769">
        <v>0</v>
      </c>
      <c r="K132" s="769">
        <v>0</v>
      </c>
      <c r="L132" s="769">
        <v>0</v>
      </c>
      <c r="M132" s="761">
        <f t="shared" si="57"/>
        <v>1842012.72</v>
      </c>
      <c r="N132" s="1237">
        <f t="shared" si="58"/>
        <v>1842012.72</v>
      </c>
      <c r="O132" s="1267"/>
      <c r="P132" s="1254"/>
      <c r="Q132" s="1083"/>
      <c r="R132" s="764"/>
      <c r="S132" s="765"/>
      <c r="T132" s="764"/>
      <c r="U132" s="764"/>
      <c r="V132" s="764"/>
      <c r="W132" s="764"/>
      <c r="X132" s="764"/>
      <c r="Y132" s="764"/>
    </row>
    <row r="133" spans="1:25" s="776" customFormat="1" ht="75" customHeight="1">
      <c r="A133" s="1086"/>
      <c r="B133" s="772" t="s">
        <v>176</v>
      </c>
      <c r="C133" s="798">
        <v>0</v>
      </c>
      <c r="D133" s="1039">
        <v>120485569.73</v>
      </c>
      <c r="E133" s="1039">
        <v>0</v>
      </c>
      <c r="F133" s="1039"/>
      <c r="G133" s="1039"/>
      <c r="H133" s="769">
        <f t="shared" si="59"/>
        <v>120485569.73</v>
      </c>
      <c r="I133" s="769">
        <f t="shared" si="56"/>
        <v>120485569.73</v>
      </c>
      <c r="J133" s="769">
        <v>0</v>
      </c>
      <c r="K133" s="769">
        <v>0</v>
      </c>
      <c r="L133" s="769"/>
      <c r="M133" s="761">
        <f t="shared" si="57"/>
        <v>120485569.73</v>
      </c>
      <c r="N133" s="1237">
        <f t="shared" si="58"/>
        <v>120485569.73</v>
      </c>
      <c r="O133" s="1267"/>
      <c r="P133" s="1254"/>
      <c r="Q133" s="1083"/>
      <c r="R133" s="764"/>
      <c r="S133" s="765"/>
      <c r="T133" s="764"/>
      <c r="U133" s="764"/>
      <c r="V133" s="764"/>
      <c r="W133" s="764"/>
      <c r="X133" s="764"/>
      <c r="Y133" s="764"/>
    </row>
    <row r="134" spans="1:25" s="776" customFormat="1" ht="38.25" customHeight="1">
      <c r="A134" s="1086"/>
      <c r="B134" s="772" t="s">
        <v>175</v>
      </c>
      <c r="C134" s="1039">
        <v>0</v>
      </c>
      <c r="D134" s="1039">
        <v>338654694.81999999</v>
      </c>
      <c r="E134" s="1039">
        <v>0</v>
      </c>
      <c r="F134" s="1039"/>
      <c r="G134" s="1039"/>
      <c r="H134" s="769">
        <f t="shared" si="59"/>
        <v>338654694.81999999</v>
      </c>
      <c r="I134" s="769">
        <f t="shared" si="56"/>
        <v>338654694.81999999</v>
      </c>
      <c r="J134" s="769">
        <v>0</v>
      </c>
      <c r="K134" s="769">
        <v>0</v>
      </c>
      <c r="L134" s="769">
        <v>0</v>
      </c>
      <c r="M134" s="761">
        <f t="shared" si="57"/>
        <v>338654694.81999999</v>
      </c>
      <c r="N134" s="1237">
        <f t="shared" si="58"/>
        <v>338654694.81999999</v>
      </c>
      <c r="O134" s="1267"/>
      <c r="P134" s="1254"/>
      <c r="Q134" s="1083"/>
      <c r="R134" s="764"/>
      <c r="S134" s="765"/>
      <c r="T134" s="764"/>
      <c r="U134" s="764"/>
      <c r="V134" s="764"/>
      <c r="W134" s="764"/>
      <c r="X134" s="764"/>
      <c r="Y134" s="764"/>
    </row>
    <row r="135" spans="1:25" s="776" customFormat="1" ht="41.25" customHeight="1">
      <c r="A135" s="1086"/>
      <c r="B135" s="772" t="s">
        <v>883</v>
      </c>
      <c r="C135" s="1039">
        <v>0</v>
      </c>
      <c r="D135" s="1039">
        <v>4000000000</v>
      </c>
      <c r="E135" s="1039">
        <v>0</v>
      </c>
      <c r="F135" s="1039"/>
      <c r="G135" s="1039"/>
      <c r="H135" s="769">
        <f t="shared" si="59"/>
        <v>4000000000</v>
      </c>
      <c r="I135" s="769">
        <f t="shared" si="56"/>
        <v>4000000000</v>
      </c>
      <c r="J135" s="769">
        <v>0</v>
      </c>
      <c r="K135" s="769">
        <v>0</v>
      </c>
      <c r="L135" s="769">
        <v>0</v>
      </c>
      <c r="M135" s="761">
        <f t="shared" si="57"/>
        <v>4000000000</v>
      </c>
      <c r="N135" s="1237">
        <f t="shared" si="58"/>
        <v>4000000000</v>
      </c>
      <c r="O135" s="1267"/>
      <c r="P135" s="1254"/>
      <c r="Q135" s="1083"/>
      <c r="R135" s="764"/>
      <c r="S135" s="765"/>
      <c r="T135" s="764"/>
      <c r="U135" s="764"/>
      <c r="V135" s="764"/>
      <c r="W135" s="764"/>
      <c r="X135" s="764"/>
      <c r="Y135" s="764"/>
    </row>
    <row r="136" spans="1:25" s="776" customFormat="1" ht="52.5" customHeight="1">
      <c r="A136" s="1086"/>
      <c r="B136" s="772" t="s">
        <v>884</v>
      </c>
      <c r="C136" s="1039">
        <v>0</v>
      </c>
      <c r="D136" s="1039">
        <v>575356055.38999963</v>
      </c>
      <c r="E136" s="1039">
        <v>0</v>
      </c>
      <c r="F136" s="1039"/>
      <c r="G136" s="1039"/>
      <c r="H136" s="769">
        <f t="shared" si="59"/>
        <v>575356055.38999963</v>
      </c>
      <c r="I136" s="769">
        <f t="shared" si="56"/>
        <v>575356055.38999963</v>
      </c>
      <c r="J136" s="769">
        <v>0</v>
      </c>
      <c r="K136" s="769">
        <v>0</v>
      </c>
      <c r="L136" s="769">
        <v>0</v>
      </c>
      <c r="M136" s="761">
        <f t="shared" si="57"/>
        <v>575356055.38999963</v>
      </c>
      <c r="N136" s="1237">
        <f t="shared" si="58"/>
        <v>575356055.38999963</v>
      </c>
      <c r="O136" s="1267"/>
      <c r="P136" s="1254"/>
      <c r="Q136" s="1083"/>
      <c r="R136" s="764"/>
      <c r="S136" s="765"/>
      <c r="T136" s="764"/>
      <c r="U136" s="764"/>
      <c r="V136" s="764"/>
      <c r="W136" s="764"/>
      <c r="X136" s="764"/>
      <c r="Y136" s="764"/>
    </row>
    <row r="137" spans="1:25" s="776" customFormat="1" ht="52.5" customHeight="1">
      <c r="A137" s="1086"/>
      <c r="B137" s="772" t="s">
        <v>929</v>
      </c>
      <c r="C137" s="1039"/>
      <c r="D137" s="1039"/>
      <c r="E137" s="1039"/>
      <c r="F137" s="1039"/>
      <c r="G137" s="1039">
        <v>2703803651.4300003</v>
      </c>
      <c r="H137" s="769"/>
      <c r="I137" s="769">
        <f t="shared" si="56"/>
        <v>2703803651.4300003</v>
      </c>
      <c r="J137" s="769"/>
      <c r="K137" s="769"/>
      <c r="L137" s="769"/>
      <c r="M137" s="761"/>
      <c r="N137" s="1237">
        <f t="shared" si="58"/>
        <v>2703803651.4300003</v>
      </c>
      <c r="O137" s="1267"/>
      <c r="P137" s="1254"/>
      <c r="Q137" s="1083"/>
      <c r="R137" s="764"/>
      <c r="S137" s="765"/>
      <c r="T137" s="764"/>
      <c r="U137" s="764"/>
      <c r="V137" s="764"/>
      <c r="W137" s="764"/>
      <c r="X137" s="764"/>
      <c r="Y137" s="764"/>
    </row>
    <row r="138" spans="1:25" s="776" customFormat="1" ht="52.5" customHeight="1">
      <c r="A138" s="1086"/>
      <c r="B138" s="772" t="s">
        <v>278</v>
      </c>
      <c r="C138" s="1039"/>
      <c r="D138" s="1039"/>
      <c r="E138" s="1039"/>
      <c r="F138" s="1039"/>
      <c r="G138" s="1039">
        <v>140128682</v>
      </c>
      <c r="H138" s="769"/>
      <c r="I138" s="769">
        <f t="shared" si="56"/>
        <v>140128682</v>
      </c>
      <c r="J138" s="769"/>
      <c r="K138" s="769"/>
      <c r="L138" s="769"/>
      <c r="M138" s="761"/>
      <c r="N138" s="1237">
        <f t="shared" si="58"/>
        <v>140128682</v>
      </c>
      <c r="O138" s="1267"/>
      <c r="P138" s="1254"/>
      <c r="Q138" s="1083"/>
      <c r="R138" s="764"/>
      <c r="S138" s="765"/>
      <c r="T138" s="764"/>
      <c r="U138" s="764"/>
      <c r="V138" s="764"/>
      <c r="W138" s="764"/>
      <c r="X138" s="764"/>
      <c r="Y138" s="764"/>
    </row>
    <row r="139" spans="1:25" s="776" customFormat="1" ht="52.5" customHeight="1">
      <c r="A139" s="1086"/>
      <c r="B139" s="772"/>
      <c r="C139" s="1039"/>
      <c r="D139" s="1039"/>
      <c r="E139" s="1039"/>
      <c r="F139" s="1039"/>
      <c r="G139" s="1039"/>
      <c r="H139" s="769"/>
      <c r="I139" s="769">
        <f t="shared" si="56"/>
        <v>0</v>
      </c>
      <c r="J139" s="769"/>
      <c r="K139" s="769"/>
      <c r="L139" s="769"/>
      <c r="M139" s="761"/>
      <c r="N139" s="1237">
        <f t="shared" si="58"/>
        <v>0</v>
      </c>
      <c r="O139" s="1267"/>
      <c r="P139" s="1254"/>
      <c r="Q139" s="1083"/>
      <c r="R139" s="764"/>
      <c r="S139" s="765"/>
      <c r="T139" s="764"/>
      <c r="U139" s="764"/>
      <c r="V139" s="764"/>
      <c r="W139" s="764"/>
      <c r="X139" s="764"/>
      <c r="Y139" s="764"/>
    </row>
    <row r="140" spans="1:25" s="776" customFormat="1" ht="52.5" customHeight="1">
      <c r="A140" s="1086"/>
      <c r="B140" s="772" t="s">
        <v>930</v>
      </c>
      <c r="C140" s="1039"/>
      <c r="D140" s="1039"/>
      <c r="E140" s="1039"/>
      <c r="F140" s="1039"/>
      <c r="G140" s="1039">
        <v>10</v>
      </c>
      <c r="H140" s="769"/>
      <c r="I140" s="769">
        <f t="shared" si="56"/>
        <v>10</v>
      </c>
      <c r="J140" s="769"/>
      <c r="K140" s="769"/>
      <c r="L140" s="769"/>
      <c r="M140" s="761"/>
      <c r="N140" s="1237">
        <f t="shared" si="58"/>
        <v>10</v>
      </c>
      <c r="O140" s="1267"/>
      <c r="P140" s="1254"/>
      <c r="Q140" s="1083"/>
      <c r="R140" s="764"/>
      <c r="S140" s="765"/>
      <c r="T140" s="764"/>
      <c r="U140" s="764"/>
      <c r="V140" s="764"/>
      <c r="W140" s="764"/>
      <c r="X140" s="764"/>
      <c r="Y140" s="764"/>
    </row>
    <row r="141" spans="1:25" s="776" customFormat="1" ht="52.5" customHeight="1">
      <c r="A141" s="1086"/>
      <c r="B141" s="772" t="s">
        <v>931</v>
      </c>
      <c r="C141" s="1039"/>
      <c r="D141" s="1039"/>
      <c r="E141" s="1039"/>
      <c r="F141" s="1039"/>
      <c r="G141" s="1039">
        <v>6901934.1399999997</v>
      </c>
      <c r="H141" s="769"/>
      <c r="I141" s="769">
        <f t="shared" si="56"/>
        <v>6901934.1399999997</v>
      </c>
      <c r="J141" s="769"/>
      <c r="K141" s="769"/>
      <c r="L141" s="769"/>
      <c r="M141" s="761"/>
      <c r="N141" s="1237">
        <f t="shared" si="58"/>
        <v>6901934.1399999997</v>
      </c>
      <c r="O141" s="1267"/>
      <c r="P141" s="1254"/>
      <c r="Q141" s="1083"/>
      <c r="R141" s="764"/>
      <c r="S141" s="765"/>
      <c r="T141" s="764"/>
      <c r="U141" s="764"/>
      <c r="V141" s="764"/>
      <c r="W141" s="764"/>
      <c r="X141" s="764"/>
      <c r="Y141" s="764"/>
    </row>
    <row r="142" spans="1:25" s="776" customFormat="1" ht="52.5" customHeight="1">
      <c r="A142" s="1086"/>
      <c r="B142" s="772" t="s">
        <v>924</v>
      </c>
      <c r="C142" s="1039"/>
      <c r="D142" s="1039"/>
      <c r="E142" s="1039"/>
      <c r="F142" s="1039"/>
      <c r="G142" s="1039">
        <v>2096096.82</v>
      </c>
      <c r="H142" s="769"/>
      <c r="I142" s="769">
        <f t="shared" si="56"/>
        <v>2096096.82</v>
      </c>
      <c r="J142" s="769"/>
      <c r="K142" s="769"/>
      <c r="L142" s="769"/>
      <c r="M142" s="761"/>
      <c r="N142" s="1237">
        <f t="shared" si="58"/>
        <v>2096096.82</v>
      </c>
      <c r="O142" s="1267"/>
      <c r="P142" s="1254"/>
      <c r="Q142" s="1083"/>
      <c r="R142" s="764"/>
      <c r="S142" s="765"/>
      <c r="T142" s="764"/>
      <c r="U142" s="764"/>
      <c r="V142" s="764"/>
      <c r="W142" s="764"/>
      <c r="X142" s="764"/>
      <c r="Y142" s="764"/>
    </row>
    <row r="143" spans="1:25" s="776" customFormat="1" ht="52.5" customHeight="1">
      <c r="A143" s="1086"/>
      <c r="B143" s="772" t="s">
        <v>925</v>
      </c>
      <c r="C143" s="1039"/>
      <c r="D143" s="1039"/>
      <c r="E143" s="1039"/>
      <c r="F143" s="1039"/>
      <c r="G143" s="1039">
        <v>819500</v>
      </c>
      <c r="H143" s="769"/>
      <c r="I143" s="769">
        <f t="shared" si="56"/>
        <v>819500</v>
      </c>
      <c r="J143" s="769"/>
      <c r="K143" s="769"/>
      <c r="L143" s="769"/>
      <c r="M143" s="761"/>
      <c r="N143" s="1237">
        <f t="shared" si="58"/>
        <v>819500</v>
      </c>
      <c r="O143" s="1267"/>
      <c r="P143" s="1254"/>
      <c r="Q143" s="1083"/>
      <c r="R143" s="764"/>
      <c r="S143" s="765"/>
      <c r="T143" s="764"/>
      <c r="U143" s="764"/>
      <c r="V143" s="764"/>
      <c r="W143" s="764"/>
      <c r="X143" s="764"/>
      <c r="Y143" s="764"/>
    </row>
    <row r="144" spans="1:25" s="776" customFormat="1" ht="52.5" customHeight="1">
      <c r="A144" s="1086"/>
      <c r="B144" s="772" t="s">
        <v>926</v>
      </c>
      <c r="C144" s="1039"/>
      <c r="D144" s="1039"/>
      <c r="E144" s="1039"/>
      <c r="F144" s="1039"/>
      <c r="G144" s="1039">
        <v>22554.560000002384</v>
      </c>
      <c r="H144" s="769"/>
      <c r="I144" s="769">
        <f t="shared" si="56"/>
        <v>22554.560000002384</v>
      </c>
      <c r="J144" s="769"/>
      <c r="K144" s="769"/>
      <c r="L144" s="769"/>
      <c r="M144" s="761"/>
      <c r="N144" s="1237">
        <f t="shared" si="58"/>
        <v>22554.560000002384</v>
      </c>
      <c r="O144" s="1267"/>
      <c r="P144" s="1254"/>
      <c r="Q144" s="1083"/>
      <c r="R144" s="764"/>
      <c r="S144" s="765"/>
      <c r="T144" s="764"/>
      <c r="U144" s="764"/>
      <c r="V144" s="764"/>
      <c r="W144" s="764"/>
      <c r="X144" s="764"/>
      <c r="Y144" s="764"/>
    </row>
    <row r="145" spans="1:25" s="776" customFormat="1" ht="52.5" customHeight="1">
      <c r="A145" s="1086"/>
      <c r="B145" s="772" t="s">
        <v>927</v>
      </c>
      <c r="C145" s="1039"/>
      <c r="D145" s="1039"/>
      <c r="E145" s="1039"/>
      <c r="F145" s="1039"/>
      <c r="G145" s="1039">
        <v>297</v>
      </c>
      <c r="H145" s="769"/>
      <c r="I145" s="769">
        <f t="shared" si="56"/>
        <v>297</v>
      </c>
      <c r="J145" s="769"/>
      <c r="K145" s="769"/>
      <c r="L145" s="769"/>
      <c r="M145" s="761"/>
      <c r="N145" s="1237">
        <f t="shared" si="58"/>
        <v>297</v>
      </c>
      <c r="O145" s="1267"/>
      <c r="P145" s="1254"/>
      <c r="Q145" s="1083"/>
      <c r="R145" s="764"/>
      <c r="S145" s="765"/>
      <c r="T145" s="764"/>
      <c r="U145" s="764"/>
      <c r="V145" s="764"/>
      <c r="W145" s="764"/>
      <c r="X145" s="764"/>
      <c r="Y145" s="764"/>
    </row>
    <row r="146" spans="1:25" s="776" customFormat="1" ht="52.5" customHeight="1">
      <c r="A146" s="1086"/>
      <c r="B146" s="772" t="s">
        <v>928</v>
      </c>
      <c r="C146" s="1039"/>
      <c r="D146" s="1039"/>
      <c r="E146" s="1039"/>
      <c r="F146" s="1039"/>
      <c r="G146" s="1039">
        <v>654257821.92000341</v>
      </c>
      <c r="H146" s="769"/>
      <c r="I146" s="769">
        <f t="shared" si="56"/>
        <v>654257821.92000341</v>
      </c>
      <c r="J146" s="769"/>
      <c r="K146" s="769"/>
      <c r="L146" s="769"/>
      <c r="M146" s="761"/>
      <c r="N146" s="1237">
        <f t="shared" si="58"/>
        <v>654257821.92000341</v>
      </c>
      <c r="O146" s="1267"/>
      <c r="P146" s="1254"/>
      <c r="Q146" s="1083"/>
      <c r="R146" s="764"/>
      <c r="S146" s="765"/>
      <c r="T146" s="764"/>
      <c r="U146" s="764"/>
      <c r="V146" s="764"/>
      <c r="W146" s="764"/>
      <c r="X146" s="764"/>
      <c r="Y146" s="764"/>
    </row>
    <row r="147" spans="1:25" s="776" customFormat="1" ht="52.5" customHeight="1">
      <c r="A147" s="1086"/>
      <c r="B147" s="772" t="s">
        <v>932</v>
      </c>
      <c r="C147" s="1039"/>
      <c r="D147" s="1039"/>
      <c r="E147" s="1039"/>
      <c r="F147" s="1039"/>
      <c r="G147" s="1039">
        <v>3052.5999999046326</v>
      </c>
      <c r="H147" s="769"/>
      <c r="I147" s="769">
        <f t="shared" si="56"/>
        <v>3052.5999999046326</v>
      </c>
      <c r="J147" s="769"/>
      <c r="K147" s="769"/>
      <c r="L147" s="769"/>
      <c r="M147" s="761"/>
      <c r="N147" s="1237">
        <f t="shared" si="58"/>
        <v>3052.5999999046326</v>
      </c>
      <c r="O147" s="1267"/>
      <c r="P147" s="1254"/>
      <c r="Q147" s="1083"/>
      <c r="R147" s="764"/>
      <c r="S147" s="765"/>
      <c r="T147" s="764"/>
      <c r="U147" s="764"/>
      <c r="V147" s="764"/>
      <c r="W147" s="764"/>
      <c r="X147" s="764"/>
      <c r="Y147" s="764"/>
    </row>
    <row r="148" spans="1:25" s="776" customFormat="1" ht="52.5" customHeight="1">
      <c r="A148" s="1086"/>
      <c r="B148" s="772" t="s">
        <v>933</v>
      </c>
      <c r="C148" s="1039"/>
      <c r="D148" s="1039"/>
      <c r="E148" s="1039"/>
      <c r="F148" s="1039"/>
      <c r="G148" s="1039">
        <v>791.33999991416931</v>
      </c>
      <c r="H148" s="769"/>
      <c r="I148" s="769">
        <f t="shared" si="56"/>
        <v>791.33999991416931</v>
      </c>
      <c r="J148" s="769"/>
      <c r="K148" s="769"/>
      <c r="L148" s="769"/>
      <c r="M148" s="761"/>
      <c r="N148" s="1237">
        <f t="shared" si="58"/>
        <v>791.33999991416931</v>
      </c>
      <c r="O148" s="1267"/>
      <c r="P148" s="1254"/>
      <c r="Q148" s="1083"/>
      <c r="R148" s="764"/>
      <c r="S148" s="765"/>
      <c r="T148" s="764"/>
      <c r="U148" s="764"/>
      <c r="V148" s="764"/>
      <c r="W148" s="764"/>
      <c r="X148" s="764"/>
      <c r="Y148" s="764"/>
    </row>
    <row r="149" spans="1:25" s="776" customFormat="1" ht="52.5" customHeight="1">
      <c r="A149" s="1086"/>
      <c r="B149" s="772" t="s">
        <v>934</v>
      </c>
      <c r="C149" s="1039"/>
      <c r="D149" s="1039"/>
      <c r="E149" s="1039"/>
      <c r="F149" s="1039"/>
      <c r="G149" s="1039">
        <v>0.17999999999301508</v>
      </c>
      <c r="H149" s="769"/>
      <c r="I149" s="769">
        <f t="shared" si="56"/>
        <v>0.17999999999301508</v>
      </c>
      <c r="J149" s="769"/>
      <c r="K149" s="769"/>
      <c r="L149" s="769"/>
      <c r="M149" s="761"/>
      <c r="N149" s="1237">
        <f t="shared" si="58"/>
        <v>0.17999999999301508</v>
      </c>
      <c r="O149" s="1267"/>
      <c r="P149" s="1254"/>
      <c r="Q149" s="1083"/>
      <c r="R149" s="764"/>
      <c r="S149" s="765"/>
      <c r="T149" s="764"/>
      <c r="U149" s="764"/>
      <c r="V149" s="764"/>
      <c r="W149" s="764"/>
      <c r="X149" s="764"/>
      <c r="Y149" s="764"/>
    </row>
    <row r="150" spans="1:25" s="776" customFormat="1" ht="52.5" customHeight="1">
      <c r="A150" s="1086"/>
      <c r="B150" s="772" t="s">
        <v>935</v>
      </c>
      <c r="C150" s="1039"/>
      <c r="D150" s="1039"/>
      <c r="E150" s="1039"/>
      <c r="F150" s="1039"/>
      <c r="G150" s="1039">
        <v>405228.98999977112</v>
      </c>
      <c r="H150" s="769"/>
      <c r="I150" s="769">
        <f t="shared" si="56"/>
        <v>405228.98999977112</v>
      </c>
      <c r="J150" s="769"/>
      <c r="K150" s="769"/>
      <c r="L150" s="769"/>
      <c r="M150" s="761"/>
      <c r="N150" s="1237">
        <f t="shared" si="58"/>
        <v>405228.98999977112</v>
      </c>
      <c r="O150" s="1267"/>
      <c r="P150" s="1254"/>
      <c r="Q150" s="1083"/>
      <c r="R150" s="764"/>
      <c r="S150" s="765"/>
      <c r="T150" s="764"/>
      <c r="U150" s="764"/>
      <c r="V150" s="764"/>
      <c r="W150" s="764"/>
      <c r="X150" s="764"/>
      <c r="Y150" s="764"/>
    </row>
    <row r="151" spans="1:25" s="776" customFormat="1" ht="52.5" customHeight="1">
      <c r="A151" s="1086"/>
      <c r="B151" s="772" t="s">
        <v>936</v>
      </c>
      <c r="C151" s="1039"/>
      <c r="D151" s="1039"/>
      <c r="E151" s="1039"/>
      <c r="F151" s="1039"/>
      <c r="G151" s="1039">
        <v>64098252.439999938</v>
      </c>
      <c r="H151" s="769"/>
      <c r="I151" s="769">
        <f t="shared" si="56"/>
        <v>64098252.439999938</v>
      </c>
      <c r="J151" s="769"/>
      <c r="K151" s="769"/>
      <c r="L151" s="769"/>
      <c r="M151" s="761"/>
      <c r="N151" s="1237">
        <f t="shared" si="58"/>
        <v>64098252.439999938</v>
      </c>
      <c r="O151" s="1267"/>
      <c r="P151" s="1254"/>
      <c r="Q151" s="1083"/>
      <c r="R151" s="764"/>
      <c r="S151" s="765"/>
      <c r="T151" s="764"/>
      <c r="U151" s="764"/>
      <c r="V151" s="764"/>
      <c r="W151" s="764"/>
      <c r="X151" s="764"/>
      <c r="Y151" s="764"/>
    </row>
    <row r="152" spans="1:25" s="776" customFormat="1" ht="52.5" customHeight="1">
      <c r="A152" s="1086"/>
      <c r="B152" s="772" t="s">
        <v>937</v>
      </c>
      <c r="C152" s="1039"/>
      <c r="D152" s="1039"/>
      <c r="E152" s="1039"/>
      <c r="F152" s="1039"/>
      <c r="G152" s="1039">
        <v>9037222.6300000008</v>
      </c>
      <c r="H152" s="769"/>
      <c r="I152" s="769">
        <f t="shared" si="56"/>
        <v>9037222.6300000008</v>
      </c>
      <c r="J152" s="769"/>
      <c r="K152" s="769"/>
      <c r="L152" s="769"/>
      <c r="M152" s="761"/>
      <c r="N152" s="1237">
        <f t="shared" si="58"/>
        <v>9037222.6300000008</v>
      </c>
      <c r="O152" s="1267"/>
      <c r="P152" s="1254"/>
      <c r="Q152" s="1083"/>
      <c r="R152" s="764"/>
      <c r="S152" s="765"/>
      <c r="T152" s="764"/>
      <c r="U152" s="764"/>
      <c r="V152" s="764"/>
      <c r="W152" s="764"/>
      <c r="X152" s="764"/>
      <c r="Y152" s="764"/>
    </row>
    <row r="153" spans="1:25" s="782" customFormat="1" ht="39.75" customHeight="1">
      <c r="A153" s="1091"/>
      <c r="B153" s="766" t="s">
        <v>9</v>
      </c>
      <c r="C153" s="778">
        <f>SUM(C123:C152)</f>
        <v>1516301000</v>
      </c>
      <c r="D153" s="778">
        <f>SUM(D123:D152)</f>
        <v>9995852174.9999981</v>
      </c>
      <c r="E153" s="778">
        <f>SUM(E123:E152)</f>
        <v>2223593.39</v>
      </c>
      <c r="F153" s="778">
        <f>SUM(F123:F152)</f>
        <v>0</v>
      </c>
      <c r="G153" s="778">
        <f>SUM(G123:G152)</f>
        <v>3581575096.0500031</v>
      </c>
      <c r="H153" s="778">
        <f t="shared" ref="H153" si="60">SUM(H123:H152)</f>
        <v>11514376768.389999</v>
      </c>
      <c r="I153" s="778">
        <f t="shared" ref="I153" si="61">SUM(I123:I152)</f>
        <v>15095951864.440002</v>
      </c>
      <c r="J153" s="778">
        <f t="shared" ref="J153" si="62">SUM(J123:J152)</f>
        <v>1061410700</v>
      </c>
      <c r="K153" s="778">
        <f t="shared" ref="K153" si="63">SUM(K123:K152)</f>
        <v>742987490</v>
      </c>
      <c r="L153" s="778">
        <f t="shared" ref="L153" si="64">SUM(L123:L152)</f>
        <v>520091243</v>
      </c>
      <c r="M153" s="778">
        <f t="shared" ref="M153" si="65">SUM(M123:M152)</f>
        <v>13838866201.389999</v>
      </c>
      <c r="N153" s="778">
        <f t="shared" ref="N153" si="66">SUM(N123:N152)</f>
        <v>17420441297.440002</v>
      </c>
      <c r="O153" s="1268"/>
      <c r="P153" s="1255"/>
      <c r="Q153" s="1096"/>
      <c r="R153" s="780"/>
      <c r="S153" s="781"/>
      <c r="T153" s="780"/>
      <c r="U153" s="780"/>
      <c r="V153" s="780"/>
      <c r="W153" s="780"/>
      <c r="X153" s="780"/>
      <c r="Y153" s="780"/>
    </row>
    <row r="154" spans="1:25" s="750" customFormat="1" ht="39" customHeight="1">
      <c r="A154" s="1080"/>
      <c r="B154" s="1469" t="s">
        <v>816</v>
      </c>
      <c r="C154" s="1470"/>
      <c r="D154" s="1470"/>
      <c r="E154" s="1470"/>
      <c r="F154" s="1470"/>
      <c r="G154" s="1470"/>
      <c r="H154" s="1470"/>
      <c r="I154" s="1470"/>
      <c r="J154" s="1470"/>
      <c r="K154" s="1470"/>
      <c r="L154" s="1470"/>
      <c r="M154" s="1470"/>
      <c r="N154" s="1240"/>
      <c r="O154" s="1266">
        <f>M158/$M$162</f>
        <v>0.19986469298012466</v>
      </c>
      <c r="P154" s="1253">
        <f>N158/$N$162</f>
        <v>0.19798877371904411</v>
      </c>
      <c r="Q154" s="1083"/>
      <c r="R154" s="764"/>
      <c r="S154" s="765"/>
      <c r="T154" s="764"/>
      <c r="U154" s="764"/>
      <c r="V154" s="764"/>
      <c r="W154" s="764"/>
      <c r="X154" s="764"/>
      <c r="Y154" s="764"/>
    </row>
    <row r="155" spans="1:25" s="776" customFormat="1" ht="36" customHeight="1">
      <c r="A155" s="1086"/>
      <c r="B155" s="772" t="s">
        <v>50</v>
      </c>
      <c r="C155" s="763">
        <v>30896344791.720001</v>
      </c>
      <c r="D155" s="1039">
        <v>0</v>
      </c>
      <c r="E155" s="1039">
        <v>0</v>
      </c>
      <c r="F155" s="1039"/>
      <c r="G155" s="1039"/>
      <c r="H155" s="769">
        <f>SUM(C155:E155)</f>
        <v>30896344791.720001</v>
      </c>
      <c r="I155" s="769">
        <f t="shared" ref="I155:I157" si="67">SUM(C155:G155)</f>
        <v>30896344791.720001</v>
      </c>
      <c r="J155" s="761">
        <v>14094497736</v>
      </c>
      <c r="K155" s="761">
        <v>12830561536</v>
      </c>
      <c r="L155" s="761">
        <v>11505734931</v>
      </c>
      <c r="M155" s="761">
        <f>+H155+J155+K155+L155</f>
        <v>69327138994.720001</v>
      </c>
      <c r="N155" s="1237">
        <f>I155+J155+K155+L155</f>
        <v>69327138994.720001</v>
      </c>
      <c r="O155" s="1267"/>
      <c r="P155" s="1254"/>
      <c r="Q155" s="1095"/>
      <c r="R155" s="796"/>
      <c r="S155" s="765"/>
      <c r="T155" s="764"/>
      <c r="U155" s="764"/>
      <c r="V155" s="764"/>
      <c r="W155" s="764"/>
      <c r="X155" s="764"/>
      <c r="Y155" s="764"/>
    </row>
    <row r="156" spans="1:25" s="776" customFormat="1" ht="44.25" customHeight="1">
      <c r="A156" s="1086"/>
      <c r="B156" s="772" t="s">
        <v>51</v>
      </c>
      <c r="C156" s="797">
        <v>38898901171.260002</v>
      </c>
      <c r="D156" s="797">
        <v>0</v>
      </c>
      <c r="E156" s="797">
        <v>0</v>
      </c>
      <c r="F156" s="797"/>
      <c r="G156" s="797"/>
      <c r="H156" s="769">
        <f t="shared" ref="H156:H157" si="68">SUM(C156:E156)</f>
        <v>38898901171.260002</v>
      </c>
      <c r="I156" s="769">
        <f t="shared" si="67"/>
        <v>38898901171.260002</v>
      </c>
      <c r="J156" s="761">
        <v>38499641576</v>
      </c>
      <c r="K156" s="769">
        <v>37471235667</v>
      </c>
      <c r="L156" s="769">
        <v>39009922459</v>
      </c>
      <c r="M156" s="761">
        <f t="shared" ref="M156:M157" si="69">+H156+J156+K156+L156</f>
        <v>153879700873.26001</v>
      </c>
      <c r="N156" s="1237">
        <f t="shared" ref="N156:N157" si="70">I156+J156+K156+L156</f>
        <v>153879700873.26001</v>
      </c>
      <c r="O156" s="1267"/>
      <c r="P156" s="1254"/>
      <c r="Q156" s="1083"/>
      <c r="R156" s="764"/>
      <c r="S156" s="765"/>
      <c r="T156" s="764"/>
      <c r="U156" s="764"/>
      <c r="V156" s="764"/>
      <c r="W156" s="764"/>
      <c r="X156" s="764"/>
      <c r="Y156" s="764"/>
    </row>
    <row r="157" spans="1:25" s="776" customFormat="1" ht="33.75" customHeight="1">
      <c r="A157" s="1086"/>
      <c r="B157" s="799" t="s">
        <v>76</v>
      </c>
      <c r="C157" s="800">
        <v>0</v>
      </c>
      <c r="D157" s="800">
        <v>0</v>
      </c>
      <c r="E157" s="800">
        <v>0</v>
      </c>
      <c r="F157" s="800"/>
      <c r="G157" s="800"/>
      <c r="H157" s="769">
        <f t="shared" si="68"/>
        <v>0</v>
      </c>
      <c r="I157" s="769">
        <f t="shared" si="67"/>
        <v>0</v>
      </c>
      <c r="J157" s="801">
        <v>21573167292</v>
      </c>
      <c r="K157" s="801">
        <v>20999043631</v>
      </c>
      <c r="L157" s="801">
        <v>21847708780</v>
      </c>
      <c r="M157" s="761">
        <f t="shared" si="69"/>
        <v>64419919703</v>
      </c>
      <c r="N157" s="1237">
        <f t="shared" si="70"/>
        <v>64419919703</v>
      </c>
      <c r="O157" s="1267"/>
      <c r="P157" s="1254"/>
      <c r="Q157" s="1083"/>
      <c r="R157" s="764"/>
      <c r="S157" s="765"/>
      <c r="T157" s="764"/>
      <c r="U157" s="764"/>
      <c r="V157" s="764"/>
      <c r="W157" s="764"/>
      <c r="X157" s="764"/>
      <c r="Y157" s="764"/>
    </row>
    <row r="158" spans="1:25" s="776" customFormat="1" ht="33" customHeight="1">
      <c r="A158" s="1086"/>
      <c r="B158" s="766" t="s">
        <v>9</v>
      </c>
      <c r="C158" s="778">
        <f>SUM(C155:C157)</f>
        <v>69795245962.980011</v>
      </c>
      <c r="D158" s="778">
        <f t="shared" ref="D158:G158" si="71">SUM(D155:D157)</f>
        <v>0</v>
      </c>
      <c r="E158" s="778">
        <f t="shared" si="71"/>
        <v>0</v>
      </c>
      <c r="F158" s="778">
        <f t="shared" si="71"/>
        <v>0</v>
      </c>
      <c r="G158" s="778">
        <f t="shared" si="71"/>
        <v>0</v>
      </c>
      <c r="H158" s="778">
        <f t="shared" ref="H158" si="72">SUM(H155:H157)</f>
        <v>69795245962.980011</v>
      </c>
      <c r="I158" s="778">
        <f t="shared" ref="I158" si="73">SUM(I155:I157)</f>
        <v>69795245962.980011</v>
      </c>
      <c r="J158" s="778">
        <f t="shared" ref="J158" si="74">SUM(J155:J157)</f>
        <v>74167306604</v>
      </c>
      <c r="K158" s="778">
        <f t="shared" ref="K158" si="75">SUM(K155:K157)</f>
        <v>71300840834</v>
      </c>
      <c r="L158" s="778">
        <f t="shared" ref="L158" si="76">SUM(L155:L157)</f>
        <v>72363366170</v>
      </c>
      <c r="M158" s="778">
        <f t="shared" ref="M158" si="77">SUM(M155:M157)</f>
        <v>287626759570.97998</v>
      </c>
      <c r="N158" s="778">
        <f t="shared" ref="N158" si="78">SUM(N155:N157)</f>
        <v>287626759570.97998</v>
      </c>
      <c r="O158" s="1271"/>
      <c r="P158" s="1258"/>
      <c r="Q158" s="1097"/>
      <c r="S158" s="802"/>
    </row>
    <row r="159" spans="1:25" s="805" customFormat="1" ht="31.5" customHeight="1">
      <c r="A159" s="1098"/>
      <c r="B159" s="1469" t="s">
        <v>817</v>
      </c>
      <c r="C159" s="1470"/>
      <c r="D159" s="1470"/>
      <c r="E159" s="1470"/>
      <c r="F159" s="1470"/>
      <c r="G159" s="1470"/>
      <c r="H159" s="1470"/>
      <c r="I159" s="1470"/>
      <c r="J159" s="1470"/>
      <c r="K159" s="1470"/>
      <c r="L159" s="1470"/>
      <c r="M159" s="1470"/>
      <c r="N159" s="1240"/>
      <c r="O159" s="1266">
        <f>M161/$M$162</f>
        <v>0.15116752471828671</v>
      </c>
      <c r="P159" s="1253">
        <f>N161/$N$162</f>
        <v>0.14974867445994164</v>
      </c>
      <c r="Q159" s="1099"/>
      <c r="R159" s="803"/>
      <c r="S159" s="804"/>
      <c r="T159" s="803"/>
      <c r="U159" s="803"/>
      <c r="V159" s="803"/>
      <c r="W159" s="803"/>
      <c r="X159" s="803"/>
      <c r="Y159" s="803"/>
    </row>
    <row r="160" spans="1:25" s="807" customFormat="1" ht="33.75" customHeight="1">
      <c r="A160" s="1100"/>
      <c r="B160" s="772"/>
      <c r="C160" s="763">
        <v>0</v>
      </c>
      <c r="D160" s="763">
        <v>0</v>
      </c>
      <c r="E160" s="763">
        <v>0</v>
      </c>
      <c r="F160" s="763"/>
      <c r="G160" s="763"/>
      <c r="H160" s="769">
        <v>36873071310.555298</v>
      </c>
      <c r="I160" s="769">
        <v>36873071310.555298</v>
      </c>
      <c r="J160" s="761">
        <v>65132511125.323196</v>
      </c>
      <c r="K160" s="761">
        <v>56979832216.93</v>
      </c>
      <c r="L160" s="761">
        <v>58560889493.119995</v>
      </c>
      <c r="M160" s="761">
        <f>H160+J160+K160+L160</f>
        <v>217546304145.9285</v>
      </c>
      <c r="N160" s="1237">
        <f>I160+J160+K160+L160</f>
        <v>217546304145.9285</v>
      </c>
      <c r="O160" s="1267"/>
      <c r="P160" s="1254"/>
      <c r="Q160" s="1101"/>
      <c r="R160" s="806"/>
      <c r="S160" s="804"/>
      <c r="T160" s="803"/>
      <c r="U160" s="803"/>
      <c r="V160" s="803"/>
      <c r="W160" s="803"/>
      <c r="X160" s="803"/>
      <c r="Y160" s="803"/>
    </row>
    <row r="161" spans="1:19" s="807" customFormat="1" ht="50.25" customHeight="1">
      <c r="A161" s="1100"/>
      <c r="B161" s="766" t="s">
        <v>9</v>
      </c>
      <c r="C161" s="778">
        <f>SUM(C160)</f>
        <v>0</v>
      </c>
      <c r="D161" s="778">
        <f t="shared" ref="D161:G161" si="79">SUM(D160)</f>
        <v>0</v>
      </c>
      <c r="E161" s="778">
        <f t="shared" si="79"/>
        <v>0</v>
      </c>
      <c r="F161" s="778">
        <f t="shared" si="79"/>
        <v>0</v>
      </c>
      <c r="G161" s="778">
        <f t="shared" si="79"/>
        <v>0</v>
      </c>
      <c r="H161" s="779">
        <f>SUM(H160)</f>
        <v>36873071310.555298</v>
      </c>
      <c r="I161" s="779">
        <f t="shared" ref="I161:N161" si="80">SUM(I160)</f>
        <v>36873071310.555298</v>
      </c>
      <c r="J161" s="779">
        <f t="shared" si="80"/>
        <v>65132511125.323196</v>
      </c>
      <c r="K161" s="779">
        <f t="shared" si="80"/>
        <v>56979832216.93</v>
      </c>
      <c r="L161" s="779">
        <f t="shared" si="80"/>
        <v>58560889493.119995</v>
      </c>
      <c r="M161" s="779">
        <f t="shared" si="80"/>
        <v>217546304145.9285</v>
      </c>
      <c r="N161" s="779">
        <f t="shared" si="80"/>
        <v>217546304145.9285</v>
      </c>
      <c r="O161" s="1271"/>
      <c r="P161" s="1258"/>
      <c r="Q161" s="1102"/>
      <c r="S161" s="808"/>
    </row>
    <row r="162" spans="1:19" s="750" customFormat="1" ht="43.5" customHeight="1">
      <c r="A162" s="1080"/>
      <c r="B162" s="809" t="s">
        <v>2</v>
      </c>
      <c r="C162" s="810">
        <f>C158+C153+C121+C94+C87+C73+C55+C35</f>
        <v>300670795387.97998</v>
      </c>
      <c r="D162" s="810">
        <f>D158+D153+D121+D94+D87+D73+D55+D35</f>
        <v>13316277982.999998</v>
      </c>
      <c r="E162" s="810">
        <f>E158+E153+E121+E94+E87+E73+E55+E35</f>
        <v>6428795273.3299999</v>
      </c>
      <c r="F162" s="810">
        <f>F158+F153+F121+F94+F87+F73+F55+F35</f>
        <v>2051874508.8299992</v>
      </c>
      <c r="G162" s="810">
        <f>G158+G153+G121+G94+G87+G73+G55+G35</f>
        <v>11583491013.180004</v>
      </c>
      <c r="H162" s="811">
        <f>H158+H153+H121+H94+H87+H73+H55+H35+H161</f>
        <v>357288939954.8653</v>
      </c>
      <c r="I162" s="811">
        <f>I158+I153+I121+I94+I87+I73+I55+I35+I161</f>
        <v>370924305476.87531</v>
      </c>
      <c r="J162" s="811">
        <f t="shared" ref="J162:N162" si="81">J158+J153+J121+J94+J87+J73+J55+J35+J161</f>
        <v>368887198513.44751</v>
      </c>
      <c r="K162" s="811">
        <f t="shared" si="81"/>
        <v>358363927182.24884</v>
      </c>
      <c r="L162" s="811">
        <f t="shared" si="81"/>
        <v>354567338875.27295</v>
      </c>
      <c r="M162" s="811">
        <f t="shared" si="81"/>
        <v>1439107404525.8345</v>
      </c>
      <c r="N162" s="811">
        <f t="shared" si="81"/>
        <v>1452742770047.8442</v>
      </c>
      <c r="O162" s="1266">
        <f>SUM(O12:O161)</f>
        <v>1</v>
      </c>
      <c r="P162" s="1253">
        <f>SUM(P12:P161)</f>
        <v>1.0000000000000002</v>
      </c>
      <c r="Q162" s="1081"/>
      <c r="R162" s="812"/>
      <c r="S162" s="751"/>
    </row>
    <row r="163" spans="1:19" s="750" customFormat="1" ht="66.75" customHeight="1">
      <c r="A163" s="1080"/>
      <c r="B163" s="813" t="s">
        <v>643</v>
      </c>
      <c r="C163" s="814">
        <f t="shared" ref="C163:N163" si="82">C162-C87</f>
        <v>115481415008.97998</v>
      </c>
      <c r="D163" s="814">
        <f t="shared" si="82"/>
        <v>13316277982.999998</v>
      </c>
      <c r="E163" s="814">
        <f t="shared" si="82"/>
        <v>6428795273.3299999</v>
      </c>
      <c r="F163" s="814">
        <f t="shared" si="82"/>
        <v>2051874508.8299992</v>
      </c>
      <c r="G163" s="814">
        <f t="shared" si="82"/>
        <v>10620743470.430004</v>
      </c>
      <c r="H163" s="815">
        <f t="shared" si="82"/>
        <v>172099559575.8653</v>
      </c>
      <c r="I163" s="815">
        <f t="shared" si="82"/>
        <v>184772177555.12531</v>
      </c>
      <c r="J163" s="815">
        <f t="shared" si="82"/>
        <v>181845897913.03323</v>
      </c>
      <c r="K163" s="815">
        <f t="shared" si="82"/>
        <v>169452343504.92999</v>
      </c>
      <c r="L163" s="815">
        <f t="shared" si="82"/>
        <v>163766749301.18829</v>
      </c>
      <c r="M163" s="815">
        <f t="shared" si="82"/>
        <v>687164550295.01672</v>
      </c>
      <c r="N163" s="815">
        <f t="shared" si="82"/>
        <v>699837168274.27649</v>
      </c>
      <c r="O163" s="1268">
        <f>M163/M162</f>
        <v>0.47749358257344782</v>
      </c>
      <c r="P163" s="1255">
        <f>N163/N162</f>
        <v>0.48173508944823606</v>
      </c>
      <c r="Q163" s="1081"/>
      <c r="R163" s="812"/>
      <c r="S163" s="751"/>
    </row>
    <row r="164" spans="1:19" s="750" customFormat="1" ht="57" customHeight="1" thickBot="1">
      <c r="A164" s="1080"/>
      <c r="B164" s="816" t="s">
        <v>66</v>
      </c>
      <c r="C164" s="817">
        <f t="shared" ref="C164:N164" si="83">C153+C121+C94+C87+C73+C55+C35</f>
        <v>230875549425</v>
      </c>
      <c r="D164" s="817">
        <f t="shared" si="83"/>
        <v>13316277982.999998</v>
      </c>
      <c r="E164" s="817">
        <f t="shared" si="83"/>
        <v>6428795273.3299999</v>
      </c>
      <c r="F164" s="817">
        <f t="shared" si="83"/>
        <v>2051874508.8299992</v>
      </c>
      <c r="G164" s="817">
        <f t="shared" si="83"/>
        <v>11583491013.180004</v>
      </c>
      <c r="H164" s="818">
        <f t="shared" si="83"/>
        <v>250620622681.32999</v>
      </c>
      <c r="I164" s="818">
        <f t="shared" si="83"/>
        <v>264255988203.33997</v>
      </c>
      <c r="J164" s="818">
        <f t="shared" si="83"/>
        <v>229587380784.12427</v>
      </c>
      <c r="K164" s="818">
        <f t="shared" si="83"/>
        <v>230083254131.31885</v>
      </c>
      <c r="L164" s="818">
        <f t="shared" si="83"/>
        <v>223643083212.15295</v>
      </c>
      <c r="M164" s="818">
        <f t="shared" si="83"/>
        <v>933934340808.92603</v>
      </c>
      <c r="N164" s="818">
        <f t="shared" si="83"/>
        <v>947569706330.93616</v>
      </c>
      <c r="O164" s="1272">
        <f>M164/M162</f>
        <v>0.64896778230158869</v>
      </c>
      <c r="P164" s="1259">
        <f>N164/N162</f>
        <v>0.65226255182101445</v>
      </c>
      <c r="Q164" s="1081"/>
      <c r="S164" s="751"/>
    </row>
    <row r="165" spans="1:19" s="750" customFormat="1" ht="30">
      <c r="A165" s="1080"/>
      <c r="B165" s="752"/>
      <c r="C165" s="753"/>
      <c r="D165" s="753"/>
      <c r="E165" s="753"/>
      <c r="F165" s="753"/>
      <c r="G165" s="753"/>
      <c r="H165" s="1288" t="s">
        <v>991</v>
      </c>
      <c r="I165" s="1288">
        <f>I162-H162</f>
        <v>13635365522.01001</v>
      </c>
      <c r="J165" s="754"/>
      <c r="K165" s="754"/>
      <c r="L165" s="754"/>
      <c r="M165" s="1288" t="s">
        <v>991</v>
      </c>
      <c r="N165" s="1288">
        <f>N162-M162</f>
        <v>13635365522.009766</v>
      </c>
      <c r="O165" s="755"/>
      <c r="P165" s="755"/>
      <c r="Q165" s="1081"/>
      <c r="S165" s="751"/>
    </row>
    <row r="166" spans="1:19" s="750" customFormat="1" ht="35.4">
      <c r="A166" s="1080"/>
      <c r="B166" s="1044" t="s">
        <v>846</v>
      </c>
      <c r="C166" s="753"/>
      <c r="D166" s="753"/>
      <c r="E166" s="753"/>
      <c r="F166" s="753"/>
      <c r="G166" s="753"/>
      <c r="H166" s="754"/>
      <c r="I166" s="754"/>
      <c r="J166" s="754"/>
      <c r="K166" s="754"/>
      <c r="L166" s="754"/>
      <c r="M166" s="754"/>
      <c r="N166" s="754"/>
      <c r="O166" s="755"/>
      <c r="P166" s="755"/>
      <c r="Q166" s="1081"/>
      <c r="S166" s="751"/>
    </row>
    <row r="167" spans="1:19" s="750" customFormat="1" ht="35.4">
      <c r="A167" s="1080"/>
      <c r="B167" s="1044" t="s">
        <v>852</v>
      </c>
      <c r="C167" s="753"/>
      <c r="D167" s="753"/>
      <c r="E167" s="753"/>
      <c r="F167" s="753"/>
      <c r="G167" s="753"/>
      <c r="H167" s="754"/>
      <c r="I167" s="754"/>
      <c r="J167" s="754"/>
      <c r="K167" s="754"/>
      <c r="L167" s="754"/>
      <c r="M167" s="754"/>
      <c r="N167" s="754"/>
      <c r="O167" s="755"/>
      <c r="P167" s="755"/>
      <c r="Q167" s="1081"/>
      <c r="S167" s="751"/>
    </row>
    <row r="168" spans="1:19" s="750" customFormat="1" ht="34.799999999999997">
      <c r="A168" s="1080"/>
      <c r="B168" s="1043" t="s">
        <v>847</v>
      </c>
      <c r="C168" s="753"/>
      <c r="D168" s="753"/>
      <c r="E168" s="753"/>
      <c r="F168" s="753"/>
      <c r="G168" s="753"/>
      <c r="H168" s="754"/>
      <c r="I168" s="754"/>
      <c r="J168" s="754"/>
      <c r="K168" s="754"/>
      <c r="L168" s="754"/>
      <c r="M168" s="754"/>
      <c r="N168" s="754"/>
      <c r="O168" s="755"/>
      <c r="P168" s="755"/>
      <c r="Q168" s="1081"/>
      <c r="S168" s="751"/>
    </row>
    <row r="169" spans="1:19" s="750" customFormat="1" ht="34.799999999999997">
      <c r="A169" s="1080"/>
      <c r="B169" s="1043" t="s">
        <v>848</v>
      </c>
      <c r="C169" s="753"/>
      <c r="D169" s="753"/>
      <c r="E169" s="753"/>
      <c r="F169" s="753"/>
      <c r="G169" s="753"/>
      <c r="H169" s="754"/>
      <c r="I169" s="754"/>
      <c r="J169" s="754"/>
      <c r="K169" s="754"/>
      <c r="L169" s="754"/>
      <c r="M169" s="754"/>
      <c r="N169" s="754"/>
      <c r="O169" s="755"/>
      <c r="P169" s="755"/>
      <c r="Q169" s="1081"/>
      <c r="S169" s="751"/>
    </row>
    <row r="170" spans="1:19" s="750" customFormat="1" ht="34.799999999999997">
      <c r="A170" s="1080"/>
      <c r="B170" s="1043" t="s">
        <v>849</v>
      </c>
      <c r="C170" s="753"/>
      <c r="D170" s="753"/>
      <c r="E170" s="753"/>
      <c r="F170" s="753"/>
      <c r="G170" s="753"/>
      <c r="H170" s="754"/>
      <c r="I170" s="754"/>
      <c r="J170" s="754"/>
      <c r="K170" s="754"/>
      <c r="L170" s="754"/>
      <c r="M170" s="754"/>
      <c r="N170" s="754"/>
      <c r="O170" s="755"/>
      <c r="P170" s="755"/>
      <c r="Q170" s="1081"/>
      <c r="S170" s="751"/>
    </row>
    <row r="171" spans="1:19" s="750" customFormat="1" ht="34.799999999999997">
      <c r="A171" s="1080"/>
      <c r="B171" s="1043" t="s">
        <v>850</v>
      </c>
      <c r="C171" s="753"/>
      <c r="D171" s="753"/>
      <c r="E171" s="753"/>
      <c r="F171" s="753"/>
      <c r="G171" s="753"/>
      <c r="H171" s="754"/>
      <c r="I171" s="754"/>
      <c r="J171" s="754"/>
      <c r="K171" s="754"/>
      <c r="L171" s="754"/>
      <c r="M171" s="754"/>
      <c r="N171" s="754"/>
      <c r="O171" s="755"/>
      <c r="P171" s="755"/>
      <c r="Q171" s="1081"/>
      <c r="S171" s="751"/>
    </row>
    <row r="172" spans="1:19" s="750" customFormat="1" ht="34.799999999999997">
      <c r="A172" s="1080"/>
      <c r="B172" s="1043" t="s">
        <v>851</v>
      </c>
      <c r="C172" s="753"/>
      <c r="D172" s="753"/>
      <c r="E172" s="753"/>
      <c r="F172" s="753"/>
      <c r="G172" s="753"/>
      <c r="H172" s="754"/>
      <c r="I172" s="754"/>
      <c r="J172" s="754"/>
      <c r="K172" s="754"/>
      <c r="L172" s="754"/>
      <c r="M172" s="754"/>
      <c r="N172" s="754"/>
      <c r="O172" s="755"/>
      <c r="P172" s="755"/>
      <c r="Q172" s="1081"/>
      <c r="S172" s="751"/>
    </row>
    <row r="173" spans="1:19" s="750" customFormat="1" ht="34.799999999999997">
      <c r="A173" s="1080"/>
      <c r="B173" s="1043"/>
      <c r="C173" s="753"/>
      <c r="D173" s="753"/>
      <c r="E173" s="753"/>
      <c r="F173" s="753"/>
      <c r="G173" s="753"/>
      <c r="H173" s="754"/>
      <c r="I173" s="754"/>
      <c r="J173" s="754"/>
      <c r="K173" s="754"/>
      <c r="L173" s="754"/>
      <c r="M173" s="754"/>
      <c r="N173" s="754"/>
      <c r="O173" s="755"/>
      <c r="P173" s="755"/>
      <c r="Q173" s="1081"/>
      <c r="S173" s="751"/>
    </row>
    <row r="174" spans="1:19" s="750" customFormat="1" ht="24.6">
      <c r="A174" s="1080"/>
      <c r="B174" s="752"/>
      <c r="C174" s="753"/>
      <c r="D174" s="753"/>
      <c r="E174" s="753"/>
      <c r="F174" s="753"/>
      <c r="G174" s="753"/>
      <c r="H174" s="754"/>
      <c r="I174" s="754"/>
      <c r="J174" s="754"/>
      <c r="K174" s="754"/>
      <c r="L174" s="754"/>
      <c r="M174" s="754"/>
      <c r="N174" s="754"/>
      <c r="O174" s="755"/>
      <c r="P174" s="755"/>
      <c r="Q174" s="1081"/>
      <c r="S174" s="751"/>
    </row>
    <row r="175" spans="1:19" s="750" customFormat="1" ht="24.6">
      <c r="A175" s="1080"/>
      <c r="B175" s="752"/>
      <c r="C175" s="753"/>
      <c r="D175" s="753"/>
      <c r="E175" s="753"/>
      <c r="F175" s="753"/>
      <c r="G175" s="753"/>
      <c r="H175" s="754"/>
      <c r="I175" s="754"/>
      <c r="J175" s="754"/>
      <c r="K175" s="754"/>
      <c r="L175" s="754"/>
      <c r="M175" s="754"/>
      <c r="N175" s="754"/>
      <c r="O175" s="755"/>
      <c r="P175" s="755"/>
      <c r="Q175" s="1081"/>
      <c r="S175" s="751"/>
    </row>
    <row r="176" spans="1:19" s="750" customFormat="1" ht="24.6">
      <c r="A176" s="1080"/>
      <c r="B176" s="752" t="s">
        <v>885</v>
      </c>
      <c r="C176" s="753"/>
      <c r="D176" s="753"/>
      <c r="E176" s="753"/>
      <c r="F176" s="753"/>
      <c r="G176" s="753"/>
      <c r="H176" s="754"/>
      <c r="I176" s="754"/>
      <c r="J176" s="754"/>
      <c r="K176" s="754"/>
      <c r="L176" s="754"/>
      <c r="M176" s="754"/>
      <c r="N176" s="754"/>
      <c r="O176" s="755"/>
      <c r="P176" s="755"/>
      <c r="Q176" s="1081"/>
      <c r="S176" s="751"/>
    </row>
    <row r="177" spans="1:19" s="750" customFormat="1" ht="24.6">
      <c r="A177" s="1080"/>
      <c r="B177" s="752" t="s">
        <v>893</v>
      </c>
      <c r="C177" s="753"/>
      <c r="D177" s="753"/>
      <c r="E177" s="753"/>
      <c r="F177" s="753"/>
      <c r="G177" s="753"/>
      <c r="H177" s="754"/>
      <c r="I177" s="754"/>
      <c r="J177" s="754"/>
      <c r="K177" s="754"/>
      <c r="L177" s="754"/>
      <c r="M177" s="754"/>
      <c r="N177" s="754"/>
      <c r="O177" s="755"/>
      <c r="P177" s="755"/>
      <c r="Q177" s="1081"/>
      <c r="S177" s="751"/>
    </row>
    <row r="178" spans="1:19" s="750" customFormat="1" ht="24.6">
      <c r="A178" s="1080"/>
      <c r="B178" s="752" t="s">
        <v>894</v>
      </c>
      <c r="C178" s="753"/>
      <c r="D178" s="753"/>
      <c r="E178" s="753"/>
      <c r="F178" s="753"/>
      <c r="G178" s="753"/>
      <c r="H178" s="754"/>
      <c r="I178" s="754"/>
      <c r="J178" s="754"/>
      <c r="K178" s="754"/>
      <c r="L178" s="754"/>
      <c r="M178" s="754"/>
      <c r="N178" s="754"/>
      <c r="O178" s="755"/>
      <c r="P178" s="755"/>
      <c r="Q178" s="1081"/>
      <c r="S178" s="751"/>
    </row>
    <row r="179" spans="1:19" s="750" customFormat="1" ht="24.6">
      <c r="A179" s="1080"/>
      <c r="B179" s="752" t="s">
        <v>886</v>
      </c>
      <c r="C179" s="753"/>
      <c r="D179" s="753"/>
      <c r="E179" s="753"/>
      <c r="F179" s="753"/>
      <c r="G179" s="753"/>
      <c r="H179" s="754"/>
      <c r="I179" s="754"/>
      <c r="J179" s="754"/>
      <c r="K179" s="754"/>
      <c r="L179" s="754"/>
      <c r="M179" s="754"/>
      <c r="N179" s="754"/>
      <c r="O179" s="755"/>
      <c r="P179" s="755"/>
      <c r="Q179" s="1081"/>
      <c r="S179" s="751"/>
    </row>
    <row r="180" spans="1:19" s="750" customFormat="1" ht="24.6">
      <c r="A180" s="1080"/>
      <c r="B180" s="752" t="s">
        <v>887</v>
      </c>
      <c r="C180" s="753"/>
      <c r="D180" s="753"/>
      <c r="E180" s="753"/>
      <c r="F180" s="753"/>
      <c r="G180" s="753"/>
      <c r="H180" s="754"/>
      <c r="I180" s="754"/>
      <c r="J180" s="754"/>
      <c r="K180" s="754"/>
      <c r="L180" s="754"/>
      <c r="M180" s="754"/>
      <c r="N180" s="754"/>
      <c r="O180" s="755"/>
      <c r="P180" s="755"/>
      <c r="Q180" s="1081"/>
      <c r="S180" s="751"/>
    </row>
    <row r="181" spans="1:19" s="750" customFormat="1" ht="24.6">
      <c r="A181" s="1080"/>
      <c r="B181" s="752"/>
      <c r="C181" s="753"/>
      <c r="D181" s="753"/>
      <c r="E181" s="753"/>
      <c r="F181" s="753"/>
      <c r="G181" s="753"/>
      <c r="H181" s="754"/>
      <c r="I181" s="754"/>
      <c r="J181" s="754"/>
      <c r="K181" s="754"/>
      <c r="L181" s="754"/>
      <c r="M181" s="754"/>
      <c r="N181" s="754"/>
      <c r="O181" s="755"/>
      <c r="P181" s="755"/>
      <c r="Q181" s="1081"/>
      <c r="S181" s="751"/>
    </row>
    <row r="182" spans="1:19" s="750" customFormat="1" ht="24.6">
      <c r="A182" s="1080"/>
      <c r="B182" s="752"/>
      <c r="C182" s="753"/>
      <c r="D182" s="753"/>
      <c r="E182" s="753"/>
      <c r="F182" s="753"/>
      <c r="G182" s="753"/>
      <c r="H182" s="754"/>
      <c r="I182" s="754"/>
      <c r="J182" s="754"/>
      <c r="K182" s="754"/>
      <c r="L182" s="754"/>
      <c r="M182" s="754"/>
      <c r="N182" s="754"/>
      <c r="O182" s="755"/>
      <c r="P182" s="755"/>
      <c r="Q182" s="1081"/>
      <c r="S182" s="751"/>
    </row>
    <row r="183" spans="1:19" s="750" customFormat="1" ht="24.6">
      <c r="A183" s="1080"/>
      <c r="B183" s="752"/>
      <c r="C183" s="753"/>
      <c r="D183" s="753"/>
      <c r="E183" s="753"/>
      <c r="F183" s="753"/>
      <c r="G183" s="753"/>
      <c r="H183" s="754"/>
      <c r="I183" s="754"/>
      <c r="J183" s="754"/>
      <c r="K183" s="754"/>
      <c r="L183" s="754"/>
      <c r="M183" s="754"/>
      <c r="N183" s="754"/>
      <c r="O183" s="755"/>
      <c r="P183" s="755"/>
      <c r="Q183" s="1081"/>
      <c r="S183" s="751"/>
    </row>
    <row r="184" spans="1:19" s="750" customFormat="1" ht="24.6">
      <c r="A184" s="1080"/>
      <c r="B184" s="752"/>
      <c r="C184" s="753"/>
      <c r="D184" s="753"/>
      <c r="E184" s="753"/>
      <c r="F184" s="753"/>
      <c r="G184" s="753"/>
      <c r="H184" s="754"/>
      <c r="I184" s="754"/>
      <c r="J184" s="754"/>
      <c r="K184" s="754"/>
      <c r="L184" s="754"/>
      <c r="M184" s="754"/>
      <c r="N184" s="754"/>
      <c r="O184" s="755"/>
      <c r="P184" s="755"/>
      <c r="Q184" s="1081"/>
      <c r="S184" s="751"/>
    </row>
    <row r="185" spans="1:19" s="750" customFormat="1" ht="24.6">
      <c r="A185" s="1080"/>
      <c r="B185" s="752"/>
      <c r="C185" s="753"/>
      <c r="D185" s="753"/>
      <c r="E185" s="753"/>
      <c r="F185" s="753"/>
      <c r="G185" s="753"/>
      <c r="H185" s="754"/>
      <c r="I185" s="754"/>
      <c r="J185" s="754"/>
      <c r="K185" s="754"/>
      <c r="L185" s="754"/>
      <c r="M185" s="754"/>
      <c r="N185" s="754"/>
      <c r="O185" s="755"/>
      <c r="P185" s="755"/>
      <c r="Q185" s="1081"/>
      <c r="S185" s="751"/>
    </row>
    <row r="186" spans="1:19" s="750" customFormat="1" ht="34.5" customHeight="1">
      <c r="A186" s="1080"/>
      <c r="B186" s="1471" t="s">
        <v>708</v>
      </c>
      <c r="C186" s="1472"/>
      <c r="D186" s="1472"/>
      <c r="E186" s="1472"/>
      <c r="F186" s="1472"/>
      <c r="G186" s="1472"/>
      <c r="H186" s="1472"/>
      <c r="I186" s="1472"/>
      <c r="J186" s="1472"/>
      <c r="K186" s="1472"/>
      <c r="L186" s="1472"/>
      <c r="M186" s="1472"/>
      <c r="N186" s="1472"/>
      <c r="O186" s="1473"/>
      <c r="P186" s="1241"/>
      <c r="Q186" s="1081"/>
      <c r="S186" s="751"/>
    </row>
    <row r="187" spans="1:19" s="750" customFormat="1" ht="42" customHeight="1" thickBot="1">
      <c r="A187" s="1103"/>
      <c r="B187" s="1104"/>
      <c r="C187" s="1105"/>
      <c r="D187" s="1105"/>
      <c r="E187" s="1105"/>
      <c r="F187" s="1105"/>
      <c r="G187" s="1105"/>
      <c r="H187" s="1106"/>
      <c r="I187" s="1106"/>
      <c r="J187" s="1106"/>
      <c r="K187" s="1106"/>
      <c r="L187" s="1106"/>
      <c r="M187" s="1106"/>
      <c r="N187" s="1106"/>
      <c r="O187" s="1107"/>
      <c r="P187" s="1107"/>
      <c r="Q187" s="1108"/>
      <c r="S187" s="751"/>
    </row>
    <row r="188" spans="1:19" s="750" customFormat="1" ht="10.5" customHeight="1">
      <c r="C188" s="819"/>
      <c r="D188" s="819"/>
      <c r="E188" s="819"/>
      <c r="F188" s="819"/>
      <c r="G188" s="819"/>
      <c r="H188" s="820"/>
      <c r="I188" s="820"/>
      <c r="J188" s="820"/>
      <c r="K188" s="820"/>
      <c r="L188" s="820"/>
      <c r="M188" s="820"/>
      <c r="N188" s="820"/>
      <c r="O188" s="821"/>
      <c r="P188" s="821"/>
      <c r="S188" s="751"/>
    </row>
  </sheetData>
  <mergeCells count="16">
    <mergeCell ref="B8:H8"/>
    <mergeCell ref="J8:K8"/>
    <mergeCell ref="B2:C6"/>
    <mergeCell ref="D2:P6"/>
    <mergeCell ref="L8:P8"/>
    <mergeCell ref="B122:M122"/>
    <mergeCell ref="B186:O186"/>
    <mergeCell ref="B56:M56"/>
    <mergeCell ref="B159:M159"/>
    <mergeCell ref="B95:M95"/>
    <mergeCell ref="B154:M154"/>
    <mergeCell ref="B36:M36"/>
    <mergeCell ref="B74:M74"/>
    <mergeCell ref="B12:M12"/>
    <mergeCell ref="B10:P10"/>
    <mergeCell ref="B88:M88"/>
  </mergeCells>
  <phoneticPr fontId="24" type="noConversion"/>
  <pageMargins left="0.74803149606299213" right="0.74803149606299213" top="0.98425196850393704" bottom="0.98425196850393704" header="0.51181102362204722" footer="0.51181102362204722"/>
  <pageSetup paperSize="1001" scale="11" orientation="portrait" horizontalDpi="300" verticalDpi="300" r:id="rId1"/>
  <colBreaks count="1" manualBreakCount="1">
    <brk id="17" max="126" man="1"/>
  </colBreaks>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7"/>
  <sheetViews>
    <sheetView topLeftCell="A3" zoomScale="10" zoomScaleNormal="10" zoomScaleSheetLayoutView="10" zoomScalePageLayoutView="75" workbookViewId="0">
      <selection activeCell="D63" sqref="D63"/>
    </sheetView>
  </sheetViews>
  <sheetFormatPr baseColWidth="10" defaultColWidth="11.6640625" defaultRowHeight="25.2"/>
  <cols>
    <col min="1" max="1" width="11.6640625" style="743"/>
    <col min="2" max="2" width="208.109375" style="739" customWidth="1"/>
    <col min="3" max="3" width="182.109375" style="740" customWidth="1"/>
    <col min="4" max="4" width="105.6640625" style="1307" customWidth="1"/>
    <col min="5" max="5" width="121.33203125" style="741" customWidth="1"/>
    <col min="6" max="6" width="121.33203125" style="1308" customWidth="1"/>
    <col min="7" max="9" width="121.33203125" style="741" customWidth="1"/>
    <col min="10" max="10" width="156.88671875" style="1309" customWidth="1"/>
    <col min="11" max="11" width="121.33203125" style="741" customWidth="1"/>
    <col min="12" max="12" width="121.33203125" style="1309" customWidth="1"/>
    <col min="13" max="23" width="121.33203125" style="741" customWidth="1"/>
    <col min="24" max="28" width="121.33203125" style="742" customWidth="1"/>
    <col min="29" max="16384" width="11.6640625" style="743"/>
  </cols>
  <sheetData>
    <row r="1" spans="1:29" ht="25.8" hidden="1" thickBot="1"/>
    <row r="2" spans="1:29" ht="26.7" hidden="1" customHeight="1" thickBot="1">
      <c r="B2" s="744"/>
      <c r="C2" s="1526" t="s">
        <v>161</v>
      </c>
      <c r="D2" s="1527"/>
      <c r="E2" s="1527"/>
      <c r="F2" s="1527"/>
      <c r="G2" s="1527"/>
      <c r="H2" s="1527"/>
      <c r="I2" s="1527"/>
      <c r="J2" s="1527"/>
      <c r="K2" s="1527"/>
      <c r="L2" s="1527"/>
      <c r="M2" s="1527"/>
      <c r="N2" s="1527"/>
      <c r="O2" s="1527"/>
      <c r="P2" s="1527"/>
      <c r="Q2" s="1527"/>
      <c r="R2" s="1527"/>
      <c r="S2" s="1527"/>
      <c r="T2" s="1527"/>
      <c r="U2" s="1527"/>
      <c r="V2" s="1527"/>
      <c r="W2" s="1527"/>
      <c r="X2" s="1527"/>
      <c r="Y2" s="1386"/>
      <c r="Z2" s="1386"/>
      <c r="AA2" s="1386"/>
      <c r="AB2" s="1386"/>
    </row>
    <row r="3" spans="1:29" ht="62.4" customHeight="1">
      <c r="A3" s="1123"/>
      <c r="B3" s="1124"/>
      <c r="C3" s="1125"/>
      <c r="D3" s="1310"/>
      <c r="E3" s="1125"/>
      <c r="F3" s="1310"/>
      <c r="G3" s="1125"/>
      <c r="H3" s="1125"/>
      <c r="I3" s="1125"/>
      <c r="J3" s="1311"/>
      <c r="K3" s="1125"/>
      <c r="L3" s="1311"/>
      <c r="M3" s="1125"/>
      <c r="N3" s="1125"/>
      <c r="O3" s="1125"/>
      <c r="P3" s="1125"/>
      <c r="Q3" s="1125"/>
      <c r="R3" s="1125"/>
      <c r="S3" s="1125"/>
      <c r="T3" s="1125"/>
      <c r="U3" s="1125"/>
      <c r="V3" s="1125"/>
      <c r="W3" s="1125"/>
      <c r="X3" s="1125"/>
      <c r="Y3" s="1125"/>
      <c r="Z3" s="1125"/>
      <c r="AA3" s="1125"/>
      <c r="AB3" s="1125"/>
      <c r="AC3" s="1127"/>
    </row>
    <row r="4" spans="1:29" ht="323.25" customHeight="1">
      <c r="A4" s="1128"/>
      <c r="B4" s="1556"/>
      <c r="C4" s="1556"/>
      <c r="D4" s="1556"/>
      <c r="E4" s="1556"/>
      <c r="F4" s="1556"/>
      <c r="G4" s="1556"/>
      <c r="H4" s="1556"/>
      <c r="I4" s="1556"/>
      <c r="J4" s="1557" t="s">
        <v>914</v>
      </c>
      <c r="K4" s="1557"/>
      <c r="L4" s="1557"/>
      <c r="M4" s="1557"/>
      <c r="N4" s="1557"/>
      <c r="O4" s="1557"/>
      <c r="P4" s="1557"/>
      <c r="Q4" s="1557"/>
      <c r="R4" s="1557"/>
      <c r="S4" s="1557"/>
      <c r="T4" s="1557"/>
      <c r="U4" s="1557"/>
      <c r="V4" s="1557"/>
      <c r="W4" s="1557"/>
      <c r="X4" s="1557"/>
      <c r="Y4" s="1557"/>
      <c r="Z4" s="1557"/>
      <c r="AA4" s="1557"/>
      <c r="AB4" s="1557"/>
      <c r="AC4" s="1129"/>
    </row>
    <row r="5" spans="1:29" ht="409.6" customHeight="1">
      <c r="A5" s="1128"/>
      <c r="B5" s="1556"/>
      <c r="C5" s="1556"/>
      <c r="D5" s="1556"/>
      <c r="E5" s="1556"/>
      <c r="F5" s="1556"/>
      <c r="G5" s="1556"/>
      <c r="H5" s="1556"/>
      <c r="I5" s="1556"/>
      <c r="J5" s="1557"/>
      <c r="K5" s="1557"/>
      <c r="L5" s="1557"/>
      <c r="M5" s="1557"/>
      <c r="N5" s="1557"/>
      <c r="O5" s="1557"/>
      <c r="P5" s="1557"/>
      <c r="Q5" s="1557"/>
      <c r="R5" s="1557"/>
      <c r="S5" s="1557"/>
      <c r="T5" s="1557"/>
      <c r="U5" s="1557"/>
      <c r="V5" s="1557"/>
      <c r="W5" s="1557"/>
      <c r="X5" s="1557"/>
      <c r="Y5" s="1557"/>
      <c r="Z5" s="1557"/>
      <c r="AA5" s="1557"/>
      <c r="AB5" s="1557"/>
      <c r="AC5" s="1129"/>
    </row>
    <row r="6" spans="1:29" ht="70.2" customHeight="1">
      <c r="A6" s="1128"/>
      <c r="B6" s="745"/>
      <c r="C6" s="746"/>
      <c r="D6" s="1312"/>
      <c r="E6" s="747"/>
      <c r="F6" s="1313"/>
      <c r="G6" s="747"/>
      <c r="H6" s="747"/>
      <c r="I6" s="748"/>
      <c r="J6" s="1314"/>
      <c r="K6" s="748"/>
      <c r="L6" s="1314"/>
      <c r="M6" s="748"/>
      <c r="N6" s="748"/>
      <c r="O6" s="748"/>
      <c r="P6" s="748"/>
      <c r="Q6" s="748"/>
      <c r="R6" s="748"/>
      <c r="S6" s="748"/>
      <c r="T6" s="748"/>
      <c r="U6" s="748"/>
      <c r="V6" s="748"/>
      <c r="W6" s="748"/>
      <c r="X6" s="748"/>
      <c r="Y6" s="748"/>
      <c r="Z6" s="748"/>
      <c r="AA6" s="748"/>
      <c r="AB6" s="748"/>
      <c r="AC6" s="1129"/>
    </row>
    <row r="7" spans="1:29" s="891" customFormat="1" ht="67.2" customHeight="1">
      <c r="A7" s="1145"/>
      <c r="B7" s="1559" t="s">
        <v>891</v>
      </c>
      <c r="C7" s="1559"/>
      <c r="D7" s="1559"/>
      <c r="E7" s="1559"/>
      <c r="F7" s="1559"/>
      <c r="G7" s="1559"/>
      <c r="H7" s="1576" t="s">
        <v>704</v>
      </c>
      <c r="I7" s="1576"/>
      <c r="J7" s="1576"/>
      <c r="K7" s="1576"/>
      <c r="L7" s="1576"/>
      <c r="M7" s="1576"/>
      <c r="N7" s="1576"/>
      <c r="O7" s="1576"/>
      <c r="P7" s="1576"/>
      <c r="Q7" s="1576"/>
      <c r="R7" s="1576"/>
      <c r="S7" s="1560" t="s">
        <v>808</v>
      </c>
      <c r="T7" s="1560"/>
      <c r="U7" s="1560"/>
      <c r="V7" s="1560"/>
      <c r="W7" s="1560"/>
      <c r="X7" s="1560"/>
      <c r="Y7" s="1560"/>
      <c r="Z7" s="1560"/>
      <c r="AA7" s="1560"/>
      <c r="AB7" s="1560"/>
      <c r="AC7" s="1146"/>
    </row>
    <row r="8" spans="1:29" s="749" customFormat="1" ht="67.2" customHeight="1" thickBot="1">
      <c r="A8" s="1128"/>
      <c r="B8" s="746"/>
      <c r="C8" s="746"/>
      <c r="D8" s="1312"/>
      <c r="E8" s="746"/>
      <c r="F8" s="1312"/>
      <c r="G8" s="746"/>
      <c r="H8" s="746"/>
      <c r="I8" s="822"/>
      <c r="J8" s="1315"/>
      <c r="K8" s="822"/>
      <c r="L8" s="1315"/>
      <c r="M8" s="822"/>
      <c r="N8" s="822"/>
      <c r="O8" s="822"/>
      <c r="P8" s="822"/>
      <c r="Q8" s="822"/>
      <c r="R8" s="822"/>
      <c r="S8" s="746"/>
      <c r="T8" s="746"/>
      <c r="U8" s="746"/>
      <c r="V8" s="746"/>
      <c r="W8" s="746"/>
      <c r="X8" s="746"/>
      <c r="Y8" s="746"/>
      <c r="Z8" s="746"/>
      <c r="AA8" s="746"/>
      <c r="AB8" s="746"/>
      <c r="AC8" s="1129"/>
    </row>
    <row r="9" spans="1:29" s="825" customFormat="1" ht="264" customHeight="1">
      <c r="A9" s="1147"/>
      <c r="B9" s="1430" t="s">
        <v>710</v>
      </c>
      <c r="C9" s="1431" t="s">
        <v>711</v>
      </c>
      <c r="D9" s="1432" t="s">
        <v>1002</v>
      </c>
      <c r="E9" s="1431" t="s">
        <v>1003</v>
      </c>
      <c r="F9" s="1432" t="s">
        <v>1004</v>
      </c>
      <c r="G9" s="1431" t="s">
        <v>1005</v>
      </c>
      <c r="H9" s="1431" t="s">
        <v>991</v>
      </c>
      <c r="I9" s="1431" t="s">
        <v>1006</v>
      </c>
      <c r="J9" s="1433" t="s">
        <v>1007</v>
      </c>
      <c r="K9" s="1431" t="s">
        <v>1008</v>
      </c>
      <c r="L9" s="1433" t="s">
        <v>1009</v>
      </c>
      <c r="M9" s="1431" t="s">
        <v>991</v>
      </c>
      <c r="N9" s="1431" t="s">
        <v>1011</v>
      </c>
      <c r="O9" s="1433" t="s">
        <v>1007</v>
      </c>
      <c r="P9" s="1431" t="s">
        <v>1014</v>
      </c>
      <c r="Q9" s="1433" t="s">
        <v>1009</v>
      </c>
      <c r="R9" s="1431" t="s">
        <v>991</v>
      </c>
      <c r="S9" s="1431" t="s">
        <v>1012</v>
      </c>
      <c r="T9" s="1433" t="s">
        <v>1007</v>
      </c>
      <c r="U9" s="1431" t="s">
        <v>1015</v>
      </c>
      <c r="V9" s="1433" t="s">
        <v>1009</v>
      </c>
      <c r="W9" s="1431" t="s">
        <v>991</v>
      </c>
      <c r="X9" s="1431" t="s">
        <v>1013</v>
      </c>
      <c r="Y9" s="1433" t="s">
        <v>1007</v>
      </c>
      <c r="Z9" s="1431" t="s">
        <v>1016</v>
      </c>
      <c r="AA9" s="1433" t="s">
        <v>1009</v>
      </c>
      <c r="AB9" s="1434" t="s">
        <v>991</v>
      </c>
      <c r="AC9" s="1148"/>
    </row>
    <row r="10" spans="1:29" s="828" customFormat="1" ht="99" customHeight="1">
      <c r="A10" s="1147"/>
      <c r="B10" s="1435" t="s">
        <v>599</v>
      </c>
      <c r="C10" s="1387"/>
      <c r="D10" s="1388"/>
      <c r="E10" s="1389">
        <v>1221561100379.9019</v>
      </c>
      <c r="F10" s="1388"/>
      <c r="G10" s="1389">
        <v>1235196465901.9119</v>
      </c>
      <c r="H10" s="1389">
        <f>G10-E10</f>
        <v>13635365522.01001</v>
      </c>
      <c r="I10" s="1389">
        <v>320415868644.31006</v>
      </c>
      <c r="J10" s="1390">
        <v>320415868644.31006</v>
      </c>
      <c r="K10" s="1389">
        <v>334051234166.32001</v>
      </c>
      <c r="L10" s="1390">
        <v>334051310652.56006</v>
      </c>
      <c r="M10" s="1389">
        <f>K10-I10</f>
        <v>13635365522.009949</v>
      </c>
      <c r="N10" s="1389">
        <v>303754687388.12201</v>
      </c>
      <c r="O10" s="1389">
        <v>303754687388.12201</v>
      </c>
      <c r="P10" s="1389">
        <v>303754687388.12201</v>
      </c>
      <c r="Q10" s="1389">
        <v>303754687388.12201</v>
      </c>
      <c r="R10" s="1389">
        <f>P10-N10</f>
        <v>0</v>
      </c>
      <c r="S10" s="1389">
        <v>301384094965.31689</v>
      </c>
      <c r="T10" s="1389">
        <v>301384094965.31689</v>
      </c>
      <c r="U10" s="1389">
        <v>301384094965.31689</v>
      </c>
      <c r="V10" s="1389">
        <v>301384094965.31689</v>
      </c>
      <c r="W10" s="1389">
        <f>U10-S10</f>
        <v>0</v>
      </c>
      <c r="X10" s="1389">
        <v>296006449382.15302</v>
      </c>
      <c r="Y10" s="1389">
        <v>296006449382.15302</v>
      </c>
      <c r="Z10" s="1389">
        <v>296006449382.15302</v>
      </c>
      <c r="AA10" s="1389">
        <v>296006449382.15302</v>
      </c>
      <c r="AB10" s="1436">
        <f>Z10-X10</f>
        <v>0</v>
      </c>
      <c r="AC10" s="1148"/>
    </row>
    <row r="11" spans="1:29" s="828" customFormat="1" ht="111" customHeight="1">
      <c r="A11" s="1147"/>
      <c r="B11" s="1437" t="s">
        <v>627</v>
      </c>
      <c r="C11" s="1391"/>
      <c r="D11" s="1392">
        <f>E11/$E$10</f>
        <v>3.1458391576423932E-2</v>
      </c>
      <c r="E11" s="1393">
        <v>38428347430.278252</v>
      </c>
      <c r="F11" s="1392">
        <f>G11/$G$10</f>
        <v>2.9307813290588704E-2</v>
      </c>
      <c r="G11" s="1393">
        <v>36200907399.848251</v>
      </c>
      <c r="H11" s="1393">
        <f t="shared" ref="H11:H45" si="0">G11-E11</f>
        <v>-2227440030.4300003</v>
      </c>
      <c r="I11" s="1393">
        <v>7783165308.0500002</v>
      </c>
      <c r="J11" s="1394">
        <f>I11/$I$10</f>
        <v>2.4290823488177491E-2</v>
      </c>
      <c r="K11" s="1393">
        <v>6155725277.6199999</v>
      </c>
      <c r="L11" s="1394">
        <f>K11/$K$10</f>
        <v>1.8427488504817617E-2</v>
      </c>
      <c r="M11" s="1393">
        <f t="shared" ref="M11:M45" si="1">K11-I11</f>
        <v>-1627440030.4300003</v>
      </c>
      <c r="N11" s="1393">
        <v>10653706908.8939</v>
      </c>
      <c r="O11" s="1394">
        <f>N11/$N$10</f>
        <v>3.5073390967235163E-2</v>
      </c>
      <c r="P11" s="1393">
        <v>10453706908.8939</v>
      </c>
      <c r="Q11" s="1394">
        <f>P11/$P$10</f>
        <v>3.441496491389677E-2</v>
      </c>
      <c r="R11" s="1393">
        <f t="shared" ref="R11:R45" si="2">P11-N11</f>
        <v>-200000000</v>
      </c>
      <c r="S11" s="1393">
        <v>10083943359.26</v>
      </c>
      <c r="T11" s="1394">
        <f>S11/$S$10</f>
        <v>3.3458777446170325E-2</v>
      </c>
      <c r="U11" s="1393">
        <v>9883943359.2600002</v>
      </c>
      <c r="V11" s="1394">
        <f>U11/$U$10</f>
        <v>3.2795172420752458E-2</v>
      </c>
      <c r="W11" s="1393">
        <f t="shared" ref="W11:W45" si="3">U11-S11</f>
        <v>-200000000</v>
      </c>
      <c r="X11" s="1393">
        <v>9907531854.0743465</v>
      </c>
      <c r="Y11" s="1394">
        <f>X11/$X$10</f>
        <v>3.347066212494388E-2</v>
      </c>
      <c r="Z11" s="1393">
        <v>9707531854.0743465</v>
      </c>
      <c r="AA11" s="1394">
        <f>Z11/$Z$10</f>
        <v>3.2795001170875297E-2</v>
      </c>
      <c r="AB11" s="1438">
        <f t="shared" ref="AB11:AB45" si="4">Z11-X11</f>
        <v>-200000000</v>
      </c>
      <c r="AC11" s="1148"/>
    </row>
    <row r="12" spans="1:29" s="831" customFormat="1" ht="147" customHeight="1">
      <c r="A12" s="1130"/>
      <c r="B12" s="1577" t="s">
        <v>123</v>
      </c>
      <c r="C12" s="1395" t="s">
        <v>124</v>
      </c>
      <c r="D12" s="1396">
        <f>E12/$E$10</f>
        <v>9.1441565039329185E-3</v>
      </c>
      <c r="E12" s="1397">
        <v>11170145880.990332</v>
      </c>
      <c r="F12" s="1398">
        <f t="shared" ref="F12:F45" si="5">G12/$G$10</f>
        <v>8.2336261167686598E-3</v>
      </c>
      <c r="G12" s="1397">
        <v>10170145880.990332</v>
      </c>
      <c r="H12" s="1397">
        <f t="shared" si="0"/>
        <v>-1000000000</v>
      </c>
      <c r="I12" s="1397">
        <v>1400000000</v>
      </c>
      <c r="J12" s="1399">
        <f t="shared" ref="J12:J45" si="6">I12/$I$10</f>
        <v>4.3693216753697174E-3</v>
      </c>
      <c r="K12" s="1397">
        <v>1000000000</v>
      </c>
      <c r="L12" s="1399">
        <f t="shared" ref="L12:L45" si="7">K12/$K$10</f>
        <v>2.993552777901465E-3</v>
      </c>
      <c r="M12" s="1397">
        <f t="shared" si="1"/>
        <v>-400000000</v>
      </c>
      <c r="N12" s="1397">
        <v>3318491959.5084</v>
      </c>
      <c r="O12" s="1399">
        <f t="shared" ref="O12:O45" si="8">N12/$N$10</f>
        <v>1.0924907819671611E-2</v>
      </c>
      <c r="P12" s="1397">
        <v>3118491959.5084</v>
      </c>
      <c r="Q12" s="1399">
        <f t="shared" ref="Q12:Q45" si="9">P12/$P$10</f>
        <v>1.0266481766333213E-2</v>
      </c>
      <c r="R12" s="1397">
        <f t="shared" si="2"/>
        <v>-200000000</v>
      </c>
      <c r="S12" s="1397">
        <v>3202969048.5600004</v>
      </c>
      <c r="T12" s="1399">
        <f t="shared" ref="T12:T45" si="10">S12/$S$10</f>
        <v>1.0627531784411504E-2</v>
      </c>
      <c r="U12" s="1397">
        <v>3002969048.5599999</v>
      </c>
      <c r="V12" s="1399">
        <f t="shared" ref="V12:V45" si="11">U12/$U$10</f>
        <v>9.963926758993635E-3</v>
      </c>
      <c r="W12" s="1397">
        <f t="shared" si="3"/>
        <v>-200000000.00000048</v>
      </c>
      <c r="X12" s="1397">
        <v>3248684872.9219317</v>
      </c>
      <c r="Y12" s="1399">
        <f t="shared" ref="Y12:Y45" si="12">X12/$X$10</f>
        <v>1.0975047603533071E-2</v>
      </c>
      <c r="Z12" s="1397">
        <v>3048684872.9219317</v>
      </c>
      <c r="AA12" s="1399">
        <f t="shared" ref="AA12:AA45" si="13">Z12/$Z$10</f>
        <v>1.0299386649464485E-2</v>
      </c>
      <c r="AB12" s="1439">
        <f t="shared" si="4"/>
        <v>-200000000</v>
      </c>
      <c r="AC12" s="1131"/>
    </row>
    <row r="13" spans="1:29" s="831" customFormat="1" ht="147" customHeight="1">
      <c r="A13" s="1130"/>
      <c r="B13" s="1577"/>
      <c r="C13" s="1395" t="s">
        <v>125</v>
      </c>
      <c r="D13" s="1396">
        <f t="shared" ref="D13:D45" si="14">E13/$E$10</f>
        <v>9.9916032740434927E-3</v>
      </c>
      <c r="E13" s="1397">
        <v>12205353890</v>
      </c>
      <c r="F13" s="1398">
        <f t="shared" si="5"/>
        <v>9.243937691549969E-3</v>
      </c>
      <c r="G13" s="1397">
        <v>11418079167.619999</v>
      </c>
      <c r="H13" s="1397">
        <f t="shared" si="0"/>
        <v>-787274722.38000107</v>
      </c>
      <c r="I13" s="1397">
        <v>3543000000</v>
      </c>
      <c r="J13" s="1399">
        <f t="shared" si="6"/>
        <v>1.105750478273922E-2</v>
      </c>
      <c r="K13" s="1397">
        <v>2755725277.6199999</v>
      </c>
      <c r="L13" s="1399">
        <f t="shared" si="7"/>
        <v>8.2494090599526358E-3</v>
      </c>
      <c r="M13" s="1397">
        <f t="shared" si="1"/>
        <v>-787274722.38000011</v>
      </c>
      <c r="N13" s="1397">
        <v>3187100000</v>
      </c>
      <c r="O13" s="1399">
        <f t="shared" si="8"/>
        <v>1.0492348372974039E-2</v>
      </c>
      <c r="P13" s="1397">
        <v>3187100000</v>
      </c>
      <c r="Q13" s="1399">
        <f t="shared" si="9"/>
        <v>1.0492348372974039E-2</v>
      </c>
      <c r="R13" s="1397">
        <f t="shared" si="2"/>
        <v>0</v>
      </c>
      <c r="S13" s="1397">
        <v>2877263000</v>
      </c>
      <c r="T13" s="1399">
        <f t="shared" si="10"/>
        <v>9.5468309312444436E-3</v>
      </c>
      <c r="U13" s="1397">
        <v>2877263000</v>
      </c>
      <c r="V13" s="1399">
        <f t="shared" si="11"/>
        <v>9.5468309312444436E-3</v>
      </c>
      <c r="W13" s="1397">
        <f t="shared" si="3"/>
        <v>0</v>
      </c>
      <c r="X13" s="1397">
        <v>2597990890</v>
      </c>
      <c r="Y13" s="1399">
        <f t="shared" si="12"/>
        <v>8.7768050169944687E-3</v>
      </c>
      <c r="Z13" s="1397">
        <v>2597990890</v>
      </c>
      <c r="AA13" s="1399">
        <f t="shared" si="13"/>
        <v>8.7768050169944687E-3</v>
      </c>
      <c r="AB13" s="1439">
        <f t="shared" si="4"/>
        <v>0</v>
      </c>
      <c r="AC13" s="1131"/>
    </row>
    <row r="14" spans="1:29" s="831" customFormat="1" ht="147" customHeight="1">
      <c r="A14" s="1130"/>
      <c r="B14" s="1577"/>
      <c r="C14" s="1395" t="s">
        <v>126</v>
      </c>
      <c r="D14" s="1396">
        <f t="shared" si="14"/>
        <v>7.144635997354932E-3</v>
      </c>
      <c r="E14" s="1397">
        <v>8727609410.7427483</v>
      </c>
      <c r="F14" s="1398">
        <f t="shared" si="5"/>
        <v>6.7419310535851646E-3</v>
      </c>
      <c r="G14" s="1397">
        <v>8327609410.7427483</v>
      </c>
      <c r="H14" s="1397">
        <f t="shared" si="0"/>
        <v>-400000000</v>
      </c>
      <c r="I14" s="1397">
        <v>1400000000</v>
      </c>
      <c r="J14" s="1399">
        <f>I14/$I$10</f>
        <v>4.3693216753697174E-3</v>
      </c>
      <c r="K14" s="1397">
        <v>1000000000</v>
      </c>
      <c r="L14" s="1399">
        <f>K14/$K$10</f>
        <v>2.993552777901465E-3</v>
      </c>
      <c r="M14" s="1397">
        <f t="shared" si="1"/>
        <v>-400000000</v>
      </c>
      <c r="N14" s="1397">
        <v>2488868969.6313</v>
      </c>
      <c r="O14" s="1399">
        <f t="shared" si="8"/>
        <v>8.1936808647537079E-3</v>
      </c>
      <c r="P14" s="1397">
        <v>2488868969.6313</v>
      </c>
      <c r="Q14" s="1399">
        <f t="shared" si="9"/>
        <v>8.1936808647537079E-3</v>
      </c>
      <c r="R14" s="1397">
        <f t="shared" si="2"/>
        <v>0</v>
      </c>
      <c r="S14" s="1397">
        <v>2402226786.4199996</v>
      </c>
      <c r="T14" s="1399">
        <f t="shared" si="10"/>
        <v>7.970648838308626E-3</v>
      </c>
      <c r="U14" s="1397">
        <v>2402226786.4199996</v>
      </c>
      <c r="V14" s="1399">
        <f t="shared" si="11"/>
        <v>7.970648838308626E-3</v>
      </c>
      <c r="W14" s="1397">
        <f t="shared" si="3"/>
        <v>0</v>
      </c>
      <c r="X14" s="1397">
        <v>2436513654.6914487</v>
      </c>
      <c r="Y14" s="1399">
        <f t="shared" si="12"/>
        <v>8.2312857026498026E-3</v>
      </c>
      <c r="Z14" s="1397">
        <v>2436513654.6914487</v>
      </c>
      <c r="AA14" s="1399">
        <f t="shared" si="13"/>
        <v>8.2312857026498026E-3</v>
      </c>
      <c r="AB14" s="1439">
        <f t="shared" si="4"/>
        <v>0</v>
      </c>
      <c r="AC14" s="1131"/>
    </row>
    <row r="15" spans="1:29" s="831" customFormat="1" ht="201" customHeight="1">
      <c r="A15" s="1130"/>
      <c r="B15" s="1577"/>
      <c r="C15" s="1395" t="s">
        <v>127</v>
      </c>
      <c r="D15" s="1396">
        <f t="shared" si="14"/>
        <v>5.1779958010925832E-3</v>
      </c>
      <c r="E15" s="1397">
        <v>6325238248.545167</v>
      </c>
      <c r="F15" s="1398">
        <f t="shared" si="5"/>
        <v>5.0883184286849067E-3</v>
      </c>
      <c r="G15" s="1397">
        <v>6285072940.4951658</v>
      </c>
      <c r="H15" s="1397">
        <f t="shared" si="0"/>
        <v>-40165308.050001144</v>
      </c>
      <c r="I15" s="1397">
        <v>1440165308.05</v>
      </c>
      <c r="J15" s="1399">
        <f t="shared" si="6"/>
        <v>4.4946753546988363E-3</v>
      </c>
      <c r="K15" s="1397">
        <v>1400000000</v>
      </c>
      <c r="L15" s="1399">
        <f t="shared" si="7"/>
        <v>4.1909738890620512E-3</v>
      </c>
      <c r="M15" s="1397">
        <f t="shared" si="1"/>
        <v>-40165308.049999952</v>
      </c>
      <c r="N15" s="1397">
        <v>1659245979.7542</v>
      </c>
      <c r="O15" s="1399">
        <f t="shared" si="8"/>
        <v>5.4624539098358056E-3</v>
      </c>
      <c r="P15" s="1397">
        <v>1659245979.7542</v>
      </c>
      <c r="Q15" s="1399">
        <f t="shared" si="9"/>
        <v>5.4624539098358056E-3</v>
      </c>
      <c r="R15" s="1397">
        <f t="shared" si="2"/>
        <v>0</v>
      </c>
      <c r="S15" s="1397">
        <v>1601484524.2800002</v>
      </c>
      <c r="T15" s="1399">
        <f t="shared" si="10"/>
        <v>5.3137658922057518E-3</v>
      </c>
      <c r="U15" s="1397">
        <v>1601484524.2800002</v>
      </c>
      <c r="V15" s="1399">
        <f t="shared" si="11"/>
        <v>5.3137658922057518E-3</v>
      </c>
      <c r="W15" s="1397">
        <f t="shared" si="3"/>
        <v>0</v>
      </c>
      <c r="X15" s="1397">
        <v>1624342436.4609659</v>
      </c>
      <c r="Y15" s="1399">
        <f t="shared" si="12"/>
        <v>5.4875238017665353E-3</v>
      </c>
      <c r="Z15" s="1397">
        <v>1624342436.4609659</v>
      </c>
      <c r="AA15" s="1399">
        <f t="shared" si="13"/>
        <v>5.4875238017665353E-3</v>
      </c>
      <c r="AB15" s="1439">
        <f t="shared" si="4"/>
        <v>0</v>
      </c>
      <c r="AC15" s="1131"/>
    </row>
    <row r="16" spans="1:29" s="833" customFormat="1" ht="147" customHeight="1">
      <c r="A16" s="1149"/>
      <c r="B16" s="1440" t="s">
        <v>628</v>
      </c>
      <c r="C16" s="1400"/>
      <c r="D16" s="1401">
        <f t="shared" si="14"/>
        <v>3.8181775083119526E-2</v>
      </c>
      <c r="E16" s="1402">
        <v>46641371184.993408</v>
      </c>
      <c r="F16" s="1403">
        <f t="shared" si="5"/>
        <v>4.1737241710605208E-2</v>
      </c>
      <c r="G16" s="1402">
        <v>51553693457.433418</v>
      </c>
      <c r="H16" s="1402">
        <f t="shared" si="0"/>
        <v>4912322272.4400101</v>
      </c>
      <c r="I16" s="1402">
        <v>15198145273.329998</v>
      </c>
      <c r="J16" s="1404">
        <f t="shared" si="6"/>
        <v>4.7432561120127552E-2</v>
      </c>
      <c r="K16" s="1402">
        <v>16210467545.769999</v>
      </c>
      <c r="L16" s="1404">
        <f t="shared" si="7"/>
        <v>4.8526890152721318E-2</v>
      </c>
      <c r="M16" s="1402">
        <f t="shared" si="1"/>
        <v>1012322272.4400005</v>
      </c>
      <c r="N16" s="1402">
        <v>10633371488.6481</v>
      </c>
      <c r="O16" s="1404">
        <f t="shared" si="8"/>
        <v>3.5006444114758069E-2</v>
      </c>
      <c r="P16" s="1402">
        <v>11933371488.6481</v>
      </c>
      <c r="Q16" s="1404">
        <f t="shared" si="9"/>
        <v>3.928621346145765E-2</v>
      </c>
      <c r="R16" s="1402">
        <f t="shared" si="2"/>
        <v>1300000000</v>
      </c>
      <c r="S16" s="1402">
        <v>10332687813.540001</v>
      </c>
      <c r="T16" s="1404">
        <f t="shared" si="10"/>
        <v>3.4284117795695492E-2</v>
      </c>
      <c r="U16" s="1402">
        <v>11632687813.540001</v>
      </c>
      <c r="V16" s="1404">
        <f t="shared" si="11"/>
        <v>3.859755046091163E-2</v>
      </c>
      <c r="W16" s="1402">
        <f t="shared" si="3"/>
        <v>1300000000</v>
      </c>
      <c r="X16" s="1402">
        <v>10477166609.475313</v>
      </c>
      <c r="Y16" s="1404">
        <f t="shared" si="12"/>
        <v>3.5395061936468089E-2</v>
      </c>
      <c r="Z16" s="1402">
        <v>11777166609.475313</v>
      </c>
      <c r="AA16" s="1404">
        <f t="shared" si="13"/>
        <v>3.9786858137913897E-2</v>
      </c>
      <c r="AB16" s="1441">
        <f t="shared" si="4"/>
        <v>1300000000</v>
      </c>
      <c r="AC16" s="1150"/>
    </row>
    <row r="17" spans="1:29" s="831" customFormat="1" ht="147" customHeight="1">
      <c r="A17" s="1130"/>
      <c r="B17" s="1577" t="s">
        <v>128</v>
      </c>
      <c r="C17" s="1395" t="s">
        <v>129</v>
      </c>
      <c r="D17" s="1396">
        <f t="shared" si="14"/>
        <v>1.3020838354349426E-2</v>
      </c>
      <c r="E17" s="1397">
        <v>15905749628.007915</v>
      </c>
      <c r="F17" s="1398">
        <f t="shared" si="5"/>
        <v>1.6844081247282424E-2</v>
      </c>
      <c r="G17" s="1397">
        <v>20805749628.007919</v>
      </c>
      <c r="H17" s="1397">
        <f t="shared" si="0"/>
        <v>4900000000.0000038</v>
      </c>
      <c r="I17" s="1397">
        <v>3270000000</v>
      </c>
      <c r="J17" s="1399">
        <f t="shared" si="6"/>
        <v>1.0205487056042125E-2</v>
      </c>
      <c r="K17" s="1397">
        <v>4270000000</v>
      </c>
      <c r="L17" s="1399">
        <f t="shared" si="7"/>
        <v>1.2782470361639256E-2</v>
      </c>
      <c r="M17" s="1397">
        <f t="shared" si="1"/>
        <v>1000000000</v>
      </c>
      <c r="N17" s="1397">
        <v>4295570249.3855</v>
      </c>
      <c r="O17" s="1399">
        <f t="shared" si="8"/>
        <v>1.4141576830703662E-2</v>
      </c>
      <c r="P17" s="1397">
        <v>5595570249.3855009</v>
      </c>
      <c r="Q17" s="1399">
        <f t="shared" si="9"/>
        <v>1.842134617740325E-2</v>
      </c>
      <c r="R17" s="1397">
        <f t="shared" si="2"/>
        <v>1300000000.000001</v>
      </c>
      <c r="S17" s="1397">
        <v>4144673269.7000003</v>
      </c>
      <c r="T17" s="1399">
        <f t="shared" si="10"/>
        <v>1.3752130052440116E-2</v>
      </c>
      <c r="U17" s="1397">
        <v>5444673269.7000008</v>
      </c>
      <c r="V17" s="1399">
        <f t="shared" si="11"/>
        <v>1.8065562717656254E-2</v>
      </c>
      <c r="W17" s="1397">
        <f t="shared" si="3"/>
        <v>1300000000.0000005</v>
      </c>
      <c r="X17" s="1397">
        <v>4195506108.9224153</v>
      </c>
      <c r="Y17" s="1399">
        <f t="shared" si="12"/>
        <v>1.4173698301775492E-2</v>
      </c>
      <c r="Z17" s="1397">
        <v>5495506108.9224148</v>
      </c>
      <c r="AA17" s="1399">
        <f t="shared" si="13"/>
        <v>1.8565494503221296E-2</v>
      </c>
      <c r="AB17" s="1439">
        <f t="shared" si="4"/>
        <v>1299999999.9999995</v>
      </c>
      <c r="AC17" s="1131"/>
    </row>
    <row r="18" spans="1:29" s="831" customFormat="1" ht="147" customHeight="1">
      <c r="A18" s="1130"/>
      <c r="B18" s="1577"/>
      <c r="C18" s="1395" t="s">
        <v>130</v>
      </c>
      <c r="D18" s="1396">
        <f t="shared" si="14"/>
        <v>9.2622254528357296E-3</v>
      </c>
      <c r="E18" s="1397">
        <v>11314374316.13275</v>
      </c>
      <c r="F18" s="1398">
        <f t="shared" si="5"/>
        <v>8.7845964073252243E-3</v>
      </c>
      <c r="G18" s="1397">
        <v>10850702436.702749</v>
      </c>
      <c r="H18" s="1397">
        <f t="shared" si="0"/>
        <v>-463671879.43000031</v>
      </c>
      <c r="I18" s="1397">
        <v>2444450000</v>
      </c>
      <c r="J18" s="1399">
        <f t="shared" si="6"/>
        <v>7.6289916923982177E-3</v>
      </c>
      <c r="K18" s="1397">
        <v>1980778120.5699999</v>
      </c>
      <c r="L18" s="1399">
        <f t="shared" si="7"/>
        <v>5.9295638452387658E-3</v>
      </c>
      <c r="M18" s="1397">
        <f t="shared" si="1"/>
        <v>-463671879.43000007</v>
      </c>
      <c r="N18" s="1397">
        <v>3000510069.6313</v>
      </c>
      <c r="O18" s="1399">
        <f t="shared" si="8"/>
        <v>9.8780700157472916E-3</v>
      </c>
      <c r="P18" s="1397">
        <v>3000510069.6313</v>
      </c>
      <c r="Q18" s="1399">
        <f t="shared" si="9"/>
        <v>9.8780700157472916E-3</v>
      </c>
      <c r="R18" s="1397">
        <f t="shared" si="2"/>
        <v>0</v>
      </c>
      <c r="S18" s="1397">
        <v>2915961043.4200001</v>
      </c>
      <c r="T18" s="1399">
        <f t="shared" si="10"/>
        <v>9.6752320116811983E-3</v>
      </c>
      <c r="U18" s="1397">
        <v>2915961043.4200001</v>
      </c>
      <c r="V18" s="1399">
        <f t="shared" si="11"/>
        <v>9.6752320116811983E-3</v>
      </c>
      <c r="W18" s="1397">
        <f t="shared" si="3"/>
        <v>0</v>
      </c>
      <c r="X18" s="1397">
        <v>2953453203.0814486</v>
      </c>
      <c r="Y18" s="1399">
        <f t="shared" si="12"/>
        <v>9.9776650449546582E-3</v>
      </c>
      <c r="Z18" s="1397">
        <v>2953453203.0814486</v>
      </c>
      <c r="AA18" s="1399">
        <f t="shared" si="13"/>
        <v>9.9776650449546582E-3</v>
      </c>
      <c r="AB18" s="1439">
        <f t="shared" si="4"/>
        <v>0</v>
      </c>
      <c r="AC18" s="1131"/>
    </row>
    <row r="19" spans="1:29" s="831" customFormat="1" ht="147" customHeight="1">
      <c r="A19" s="1130"/>
      <c r="B19" s="1577"/>
      <c r="C19" s="1395" t="s">
        <v>131</v>
      </c>
      <c r="D19" s="1396">
        <f t="shared" si="14"/>
        <v>1.5898711275934375E-2</v>
      </c>
      <c r="E19" s="1397">
        <v>19421247240.852749</v>
      </c>
      <c r="F19" s="1398">
        <f t="shared" si="5"/>
        <v>1.6108564055997556E-2</v>
      </c>
      <c r="G19" s="1397">
        <v>19897241392.722748</v>
      </c>
      <c r="H19" s="1397">
        <f t="shared" si="0"/>
        <v>475994151.86999893</v>
      </c>
      <c r="I19" s="1397">
        <v>9483695273.329998</v>
      </c>
      <c r="J19" s="1399">
        <f t="shared" si="6"/>
        <v>2.959808237168721E-2</v>
      </c>
      <c r="K19" s="1397">
        <v>9959689425.1999989</v>
      </c>
      <c r="L19" s="1399">
        <f t="shared" si="7"/>
        <v>2.9814855945843301E-2</v>
      </c>
      <c r="M19" s="1397">
        <f t="shared" si="1"/>
        <v>475994151.87000084</v>
      </c>
      <c r="N19" s="1397">
        <v>3337291169.6313</v>
      </c>
      <c r="O19" s="1399">
        <f t="shared" si="8"/>
        <v>1.0986797268307112E-2</v>
      </c>
      <c r="P19" s="1397">
        <v>3337291169.6313</v>
      </c>
      <c r="Q19" s="1399">
        <f t="shared" si="9"/>
        <v>1.0986797268307112E-2</v>
      </c>
      <c r="R19" s="1397">
        <f t="shared" si="2"/>
        <v>0</v>
      </c>
      <c r="S19" s="1397">
        <v>3272053500.4200001</v>
      </c>
      <c r="T19" s="1399">
        <f t="shared" si="10"/>
        <v>1.0856755731574177E-2</v>
      </c>
      <c r="U19" s="1397">
        <v>3272053500.4200001</v>
      </c>
      <c r="V19" s="1399">
        <f t="shared" si="11"/>
        <v>1.0856755731574177E-2</v>
      </c>
      <c r="W19" s="1397">
        <f t="shared" si="3"/>
        <v>0</v>
      </c>
      <c r="X19" s="1397">
        <v>3328207297.4714489</v>
      </c>
      <c r="Y19" s="1399">
        <f t="shared" si="12"/>
        <v>1.1243698589737941E-2</v>
      </c>
      <c r="Z19" s="1397">
        <v>3328207297.4714489</v>
      </c>
      <c r="AA19" s="1399">
        <f t="shared" si="13"/>
        <v>1.1243698589737941E-2</v>
      </c>
      <c r="AB19" s="1439">
        <f t="shared" si="4"/>
        <v>0</v>
      </c>
      <c r="AC19" s="1131"/>
    </row>
    <row r="20" spans="1:29" s="833" customFormat="1" ht="147" customHeight="1">
      <c r="A20" s="1149"/>
      <c r="B20" s="1442" t="s">
        <v>629</v>
      </c>
      <c r="C20" s="1405"/>
      <c r="D20" s="1406">
        <f t="shared" si="14"/>
        <v>6.1409743385519452E-2</v>
      </c>
      <c r="E20" s="1407">
        <v>75015753704.062546</v>
      </c>
      <c r="F20" s="1408">
        <f t="shared" si="5"/>
        <v>6.7765334273044944E-2</v>
      </c>
      <c r="G20" s="1407">
        <v>83703501404.726822</v>
      </c>
      <c r="H20" s="1407">
        <f t="shared" si="0"/>
        <v>8687747700.6642761</v>
      </c>
      <c r="I20" s="1407">
        <v>19949851816.295715</v>
      </c>
      <c r="J20" s="1409">
        <f t="shared" si="6"/>
        <v>6.2262371400967707E-2</v>
      </c>
      <c r="K20" s="1407">
        <v>28637599516.960007</v>
      </c>
      <c r="L20" s="1409">
        <f t="shared" si="7"/>
        <v>8.5728165586425278E-2</v>
      </c>
      <c r="M20" s="1407">
        <f t="shared" si="1"/>
        <v>8687747700.6642914</v>
      </c>
      <c r="N20" s="1407">
        <v>18720455174.256996</v>
      </c>
      <c r="O20" s="1409">
        <f t="shared" si="8"/>
        <v>6.1630177085422122E-2</v>
      </c>
      <c r="P20" s="1407">
        <v>18720455174.256996</v>
      </c>
      <c r="Q20" s="1409">
        <f t="shared" si="9"/>
        <v>6.1630177085422122E-2</v>
      </c>
      <c r="R20" s="1407">
        <f t="shared" si="2"/>
        <v>0</v>
      </c>
      <c r="S20" s="1407">
        <v>18054930820.719994</v>
      </c>
      <c r="T20" s="1409">
        <f t="shared" si="10"/>
        <v>5.990671413100862E-2</v>
      </c>
      <c r="U20" s="1407">
        <v>18054930820.719994</v>
      </c>
      <c r="V20" s="1409">
        <f t="shared" si="11"/>
        <v>5.990671413100862E-2</v>
      </c>
      <c r="W20" s="1407">
        <f t="shared" si="3"/>
        <v>0</v>
      </c>
      <c r="X20" s="1407">
        <v>18290515892.789833</v>
      </c>
      <c r="Y20" s="1409">
        <f t="shared" si="12"/>
        <v>6.1790937092645035E-2</v>
      </c>
      <c r="Z20" s="1407">
        <v>18290515892.789833</v>
      </c>
      <c r="AA20" s="1409">
        <f t="shared" si="13"/>
        <v>6.1790937092645035E-2</v>
      </c>
      <c r="AB20" s="1443">
        <f t="shared" si="4"/>
        <v>0</v>
      </c>
      <c r="AC20" s="1150"/>
    </row>
    <row r="21" spans="1:29" s="833" customFormat="1" ht="169.5" customHeight="1">
      <c r="A21" s="1149"/>
      <c r="B21" s="1444" t="s">
        <v>132</v>
      </c>
      <c r="C21" s="1395" t="s">
        <v>133</v>
      </c>
      <c r="D21" s="1396">
        <f t="shared" si="14"/>
        <v>6.1409743385519452E-2</v>
      </c>
      <c r="E21" s="1397">
        <v>75015753704.062546</v>
      </c>
      <c r="F21" s="1398">
        <f t="shared" si="5"/>
        <v>6.7765334273044944E-2</v>
      </c>
      <c r="G21" s="1397">
        <v>83703501404.726822</v>
      </c>
      <c r="H21" s="1397">
        <f t="shared" si="0"/>
        <v>8687747700.6642761</v>
      </c>
      <c r="I21" s="1397">
        <v>19949851816.295715</v>
      </c>
      <c r="J21" s="1399">
        <f t="shared" si="6"/>
        <v>6.2262371400967707E-2</v>
      </c>
      <c r="K21" s="1397">
        <v>28637599516.960007</v>
      </c>
      <c r="L21" s="1399">
        <f t="shared" si="7"/>
        <v>8.5728165586425278E-2</v>
      </c>
      <c r="M21" s="1397">
        <f t="shared" si="1"/>
        <v>8687747700.6642914</v>
      </c>
      <c r="N21" s="1397">
        <v>18720455174.256996</v>
      </c>
      <c r="O21" s="1399">
        <f t="shared" si="8"/>
        <v>6.1630177085422122E-2</v>
      </c>
      <c r="P21" s="1397">
        <v>18720455174.256996</v>
      </c>
      <c r="Q21" s="1399">
        <f t="shared" si="9"/>
        <v>6.1630177085422122E-2</v>
      </c>
      <c r="R21" s="1397">
        <f t="shared" si="2"/>
        <v>0</v>
      </c>
      <c r="S21" s="1397">
        <v>18054930820.719994</v>
      </c>
      <c r="T21" s="1399">
        <f t="shared" si="10"/>
        <v>5.990671413100862E-2</v>
      </c>
      <c r="U21" s="1397">
        <v>18054930820.719994</v>
      </c>
      <c r="V21" s="1399">
        <f t="shared" si="11"/>
        <v>5.990671413100862E-2</v>
      </c>
      <c r="W21" s="1397">
        <f t="shared" si="3"/>
        <v>0</v>
      </c>
      <c r="X21" s="1397">
        <v>18290515892.789833</v>
      </c>
      <c r="Y21" s="1399">
        <f t="shared" si="12"/>
        <v>6.1790937092645035E-2</v>
      </c>
      <c r="Z21" s="1397">
        <v>18290515892.789833</v>
      </c>
      <c r="AA21" s="1399">
        <f t="shared" si="13"/>
        <v>6.1790937092645035E-2</v>
      </c>
      <c r="AB21" s="1439">
        <f t="shared" si="4"/>
        <v>0</v>
      </c>
      <c r="AC21" s="1150"/>
    </row>
    <row r="22" spans="1:29" s="833" customFormat="1" ht="147" customHeight="1">
      <c r="A22" s="1149"/>
      <c r="B22" s="1445" t="s">
        <v>630</v>
      </c>
      <c r="C22" s="1410"/>
      <c r="D22" s="1411">
        <f t="shared" si="14"/>
        <v>0.77942297875001054</v>
      </c>
      <c r="E22" s="1412">
        <v>952112791583.24377</v>
      </c>
      <c r="F22" s="1411">
        <f t="shared" si="5"/>
        <v>0.76762629288581896</v>
      </c>
      <c r="G22" s="1412">
        <v>948169284105.94946</v>
      </c>
      <c r="H22" s="1412">
        <f t="shared" si="0"/>
        <v>-3943507477.2943115</v>
      </c>
      <c r="I22" s="1412">
        <v>251898412096.63431</v>
      </c>
      <c r="J22" s="1413">
        <f t="shared" si="6"/>
        <v>0.78616085140359826</v>
      </c>
      <c r="K22" s="1412">
        <v>250954904619.34</v>
      </c>
      <c r="L22" s="1413">
        <f t="shared" si="7"/>
        <v>0.75124675185122236</v>
      </c>
      <c r="M22" s="1412">
        <f t="shared" si="1"/>
        <v>-943507477.29431152</v>
      </c>
      <c r="N22" s="1412">
        <v>234696986251.17422</v>
      </c>
      <c r="O22" s="1413">
        <f t="shared" si="8"/>
        <v>0.77265305193888434</v>
      </c>
      <c r="P22" s="1412">
        <v>233696986251.17422</v>
      </c>
      <c r="Q22" s="1413">
        <f t="shared" si="9"/>
        <v>0.76936092167219239</v>
      </c>
      <c r="R22" s="1412">
        <f t="shared" si="2"/>
        <v>-1000000000</v>
      </c>
      <c r="S22" s="1412">
        <v>235203877096.14893</v>
      </c>
      <c r="T22" s="1413">
        <f t="shared" si="10"/>
        <v>0.78041237419385401</v>
      </c>
      <c r="U22" s="1412">
        <v>234203877096.14893</v>
      </c>
      <c r="V22" s="1413">
        <f t="shared" si="11"/>
        <v>0.77709434906676467</v>
      </c>
      <c r="W22" s="1412">
        <f t="shared" si="3"/>
        <v>-1000000000</v>
      </c>
      <c r="X22" s="1412">
        <v>230313516139.28632</v>
      </c>
      <c r="Y22" s="1413">
        <f t="shared" si="12"/>
        <v>0.77806925024780393</v>
      </c>
      <c r="Z22" s="1412">
        <v>229313516139.28632</v>
      </c>
      <c r="AA22" s="1413">
        <f t="shared" si="13"/>
        <v>0.77469094547746098</v>
      </c>
      <c r="AB22" s="1446">
        <f t="shared" si="4"/>
        <v>-1000000000</v>
      </c>
      <c r="AC22" s="1150"/>
    </row>
    <row r="23" spans="1:29" s="831" customFormat="1" ht="147" customHeight="1">
      <c r="A23" s="1130"/>
      <c r="B23" s="1577" t="s">
        <v>134</v>
      </c>
      <c r="C23" s="1395" t="s">
        <v>135</v>
      </c>
      <c r="D23" s="1396">
        <f t="shared" si="14"/>
        <v>0.6886874771647975</v>
      </c>
      <c r="E23" s="1414">
        <v>841273832423.28857</v>
      </c>
      <c r="F23" s="1398">
        <f t="shared" si="5"/>
        <v>0.67897084591146939</v>
      </c>
      <c r="G23" s="1414">
        <v>838662389320.27856</v>
      </c>
      <c r="H23" s="1414">
        <f t="shared" si="0"/>
        <v>-2611443103.0100098</v>
      </c>
      <c r="I23" s="1414">
        <v>228869599232.73999</v>
      </c>
      <c r="J23" s="1399">
        <f t="shared" si="6"/>
        <v>0.71428921482913654</v>
      </c>
      <c r="K23" s="1414">
        <v>227758156129.72998</v>
      </c>
      <c r="L23" s="1399">
        <f t="shared" si="7"/>
        <v>0.68180606097186869</v>
      </c>
      <c r="M23" s="1414">
        <f t="shared" si="1"/>
        <v>-1111443103.0100098</v>
      </c>
      <c r="N23" s="1414">
        <v>204813658655.43109</v>
      </c>
      <c r="O23" s="1399">
        <f t="shared" si="8"/>
        <v>0.67427324469146643</v>
      </c>
      <c r="P23" s="1414">
        <v>204313658655.43109</v>
      </c>
      <c r="Q23" s="1399">
        <f t="shared" si="9"/>
        <v>0.67262717955812046</v>
      </c>
      <c r="R23" s="1414">
        <f t="shared" si="2"/>
        <v>-500000000</v>
      </c>
      <c r="S23" s="1414">
        <v>206297449035.43884</v>
      </c>
      <c r="T23" s="1399">
        <f t="shared" si="10"/>
        <v>0.68450011955401768</v>
      </c>
      <c r="U23" s="1414">
        <v>205797449035.43884</v>
      </c>
      <c r="V23" s="1399">
        <f t="shared" si="11"/>
        <v>0.68284110699047307</v>
      </c>
      <c r="W23" s="1414">
        <f t="shared" si="3"/>
        <v>-500000000</v>
      </c>
      <c r="X23" s="1414">
        <v>201293125499.67853</v>
      </c>
      <c r="Y23" s="1399">
        <f t="shared" si="12"/>
        <v>0.68002952611280165</v>
      </c>
      <c r="Z23" s="1414">
        <v>200793125499.67853</v>
      </c>
      <c r="AA23" s="1399">
        <f t="shared" si="13"/>
        <v>0.67834037372763023</v>
      </c>
      <c r="AB23" s="1447">
        <f t="shared" si="4"/>
        <v>-500000000</v>
      </c>
      <c r="AC23" s="1131"/>
    </row>
    <row r="24" spans="1:29" s="831" customFormat="1" ht="147" customHeight="1">
      <c r="A24" s="1130"/>
      <c r="B24" s="1577"/>
      <c r="C24" s="1395" t="s">
        <v>136</v>
      </c>
      <c r="D24" s="1396">
        <f t="shared" si="14"/>
        <v>8.9450921528562849E-3</v>
      </c>
      <c r="E24" s="1397">
        <v>10926976613.242748</v>
      </c>
      <c r="F24" s="1398">
        <f t="shared" si="5"/>
        <v>8.8789396919094384E-3</v>
      </c>
      <c r="G24" s="1397">
        <v>10967234928.402748</v>
      </c>
      <c r="H24" s="1397">
        <f t="shared" si="0"/>
        <v>40258315.159999847</v>
      </c>
      <c r="I24" s="1397">
        <v>1858500000</v>
      </c>
      <c r="J24" s="1399">
        <f t="shared" si="6"/>
        <v>5.8002745240532992E-3</v>
      </c>
      <c r="K24" s="1397">
        <v>1898758315.1600001</v>
      </c>
      <c r="L24" s="1399">
        <f t="shared" si="7"/>
        <v>5.6840332289107235E-3</v>
      </c>
      <c r="M24" s="1397">
        <f t="shared" si="1"/>
        <v>40258315.160000086</v>
      </c>
      <c r="N24" s="1397">
        <v>3117123969.6313</v>
      </c>
      <c r="O24" s="1399">
        <f t="shared" si="8"/>
        <v>1.0261978165454284E-2</v>
      </c>
      <c r="P24" s="1397">
        <v>3117123969.6313</v>
      </c>
      <c r="Q24" s="1399">
        <f t="shared" si="9"/>
        <v>1.0261978165454284E-2</v>
      </c>
      <c r="R24" s="1397">
        <f t="shared" si="2"/>
        <v>0</v>
      </c>
      <c r="S24" s="1397">
        <v>2980303536.4200001</v>
      </c>
      <c r="T24" s="1399">
        <f t="shared" si="10"/>
        <v>9.8887220201947668E-3</v>
      </c>
      <c r="U24" s="1397">
        <v>2980303536.4200001</v>
      </c>
      <c r="V24" s="1399">
        <f t="shared" si="11"/>
        <v>9.8887220201947668E-3</v>
      </c>
      <c r="W24" s="1397">
        <f t="shared" si="3"/>
        <v>0</v>
      </c>
      <c r="X24" s="1397">
        <v>2971049107.1914487</v>
      </c>
      <c r="Y24" s="1399">
        <f t="shared" si="12"/>
        <v>1.0037109371747968E-2</v>
      </c>
      <c r="Z24" s="1397">
        <v>2971049107.1914487</v>
      </c>
      <c r="AA24" s="1399">
        <f t="shared" si="13"/>
        <v>1.0037109371747968E-2</v>
      </c>
      <c r="AB24" s="1439">
        <f t="shared" si="4"/>
        <v>0</v>
      </c>
      <c r="AC24" s="1131"/>
    </row>
    <row r="25" spans="1:29" s="831" customFormat="1" ht="147" customHeight="1">
      <c r="A25" s="1130"/>
      <c r="B25" s="1577"/>
      <c r="C25" s="1395" t="s">
        <v>137</v>
      </c>
      <c r="D25" s="1396">
        <f t="shared" si="14"/>
        <v>7.136449751086211E-3</v>
      </c>
      <c r="E25" s="1397">
        <v>8717609410.7427483</v>
      </c>
      <c r="F25" s="1398">
        <f t="shared" si="5"/>
        <v>7.0576702989328518E-3</v>
      </c>
      <c r="G25" s="1397">
        <v>8717609410.7427483</v>
      </c>
      <c r="H25" s="1397">
        <f t="shared" si="0"/>
        <v>0</v>
      </c>
      <c r="I25" s="1397">
        <v>1390000000</v>
      </c>
      <c r="J25" s="1399">
        <f t="shared" si="6"/>
        <v>4.3381122348313617E-3</v>
      </c>
      <c r="K25" s="1397">
        <v>1390000000</v>
      </c>
      <c r="L25" s="1399">
        <f t="shared" si="7"/>
        <v>4.1610383612830362E-3</v>
      </c>
      <c r="M25" s="1397">
        <f t="shared" si="1"/>
        <v>0</v>
      </c>
      <c r="N25" s="1397">
        <v>2488868969.6313</v>
      </c>
      <c r="O25" s="1399">
        <f t="shared" si="8"/>
        <v>8.1936808647537079E-3</v>
      </c>
      <c r="P25" s="1397">
        <v>2488868969.6313</v>
      </c>
      <c r="Q25" s="1399">
        <f t="shared" si="9"/>
        <v>8.1936808647537079E-3</v>
      </c>
      <c r="R25" s="1397">
        <f t="shared" si="2"/>
        <v>0</v>
      </c>
      <c r="S25" s="1397">
        <v>2402226786.4199996</v>
      </c>
      <c r="T25" s="1399">
        <f t="shared" si="10"/>
        <v>7.970648838308626E-3</v>
      </c>
      <c r="U25" s="1397">
        <v>2402226786.4199996</v>
      </c>
      <c r="V25" s="1399">
        <f t="shared" si="11"/>
        <v>7.970648838308626E-3</v>
      </c>
      <c r="W25" s="1397">
        <f t="shared" si="3"/>
        <v>0</v>
      </c>
      <c r="X25" s="1397">
        <v>2436513654.6914487</v>
      </c>
      <c r="Y25" s="1399">
        <f t="shared" si="12"/>
        <v>8.2312857026498026E-3</v>
      </c>
      <c r="Z25" s="1397">
        <v>2436513654.6914487</v>
      </c>
      <c r="AA25" s="1399">
        <f t="shared" si="13"/>
        <v>8.2312857026498026E-3</v>
      </c>
      <c r="AB25" s="1439">
        <f t="shared" si="4"/>
        <v>0</v>
      </c>
      <c r="AC25" s="1131"/>
    </row>
    <row r="26" spans="1:29" s="831" customFormat="1" ht="147" customHeight="1">
      <c r="A26" s="1130"/>
      <c r="B26" s="1577"/>
      <c r="C26" s="1395" t="s">
        <v>138</v>
      </c>
      <c r="D26" s="1396">
        <f t="shared" si="14"/>
        <v>2.3269703573268359E-3</v>
      </c>
      <c r="E26" s="1397">
        <v>2842536470.2475829</v>
      </c>
      <c r="F26" s="1398">
        <f t="shared" si="5"/>
        <v>2.3012828717673094E-3</v>
      </c>
      <c r="G26" s="1397">
        <v>2842536470.2475829</v>
      </c>
      <c r="H26" s="1397">
        <f t="shared" si="0"/>
        <v>0</v>
      </c>
      <c r="I26" s="1397">
        <v>400000000</v>
      </c>
      <c r="J26" s="1399">
        <f t="shared" si="6"/>
        <v>1.2483776215342049E-3</v>
      </c>
      <c r="K26" s="1397">
        <v>400000000</v>
      </c>
      <c r="L26" s="1399">
        <f t="shared" si="7"/>
        <v>1.1974211111605859E-3</v>
      </c>
      <c r="M26" s="1397">
        <f t="shared" si="1"/>
        <v>0</v>
      </c>
      <c r="N26" s="1397">
        <v>829622989.87709999</v>
      </c>
      <c r="O26" s="1399">
        <f t="shared" si="8"/>
        <v>2.7312269549179028E-3</v>
      </c>
      <c r="P26" s="1397">
        <v>829622989.87709999</v>
      </c>
      <c r="Q26" s="1399">
        <f t="shared" si="9"/>
        <v>2.7312269549179028E-3</v>
      </c>
      <c r="R26" s="1397">
        <f t="shared" si="2"/>
        <v>0</v>
      </c>
      <c r="S26" s="1397">
        <v>800742262.13999999</v>
      </c>
      <c r="T26" s="1399">
        <f t="shared" si="10"/>
        <v>2.6568829461028755E-3</v>
      </c>
      <c r="U26" s="1397">
        <v>800742262.13999999</v>
      </c>
      <c r="V26" s="1399">
        <f t="shared" si="11"/>
        <v>2.6568829461028755E-3</v>
      </c>
      <c r="W26" s="1397">
        <f t="shared" si="3"/>
        <v>0</v>
      </c>
      <c r="X26" s="1397">
        <v>812171218.23048294</v>
      </c>
      <c r="Y26" s="1399">
        <f t="shared" si="12"/>
        <v>2.7437619008832677E-3</v>
      </c>
      <c r="Z26" s="1397">
        <v>812171218.23048294</v>
      </c>
      <c r="AA26" s="1399">
        <f t="shared" si="13"/>
        <v>2.7437619008832677E-3</v>
      </c>
      <c r="AB26" s="1439">
        <f t="shared" si="4"/>
        <v>0</v>
      </c>
      <c r="AC26" s="1131"/>
    </row>
    <row r="27" spans="1:29" s="831" customFormat="1" ht="147" customHeight="1">
      <c r="A27" s="1130"/>
      <c r="B27" s="1577"/>
      <c r="C27" s="1395" t="s">
        <v>139</v>
      </c>
      <c r="D27" s="1396">
        <f t="shared" si="14"/>
        <v>4.3674220952484273E-3</v>
      </c>
      <c r="E27" s="1414">
        <v>5335072940.4951658</v>
      </c>
      <c r="F27" s="1398">
        <f t="shared" si="5"/>
        <v>4.3192100105302837E-3</v>
      </c>
      <c r="G27" s="1414">
        <v>5335072940.4951658</v>
      </c>
      <c r="H27" s="1414">
        <f t="shared" si="0"/>
        <v>0</v>
      </c>
      <c r="I27" s="1414">
        <v>450000000</v>
      </c>
      <c r="J27" s="1399">
        <f t="shared" si="6"/>
        <v>1.4044248242259805E-3</v>
      </c>
      <c r="K27" s="1414">
        <v>450000000</v>
      </c>
      <c r="L27" s="1399">
        <f t="shared" si="7"/>
        <v>1.3470987500556592E-3</v>
      </c>
      <c r="M27" s="1414">
        <f t="shared" si="1"/>
        <v>0</v>
      </c>
      <c r="N27" s="1414">
        <v>1659245979.7542</v>
      </c>
      <c r="O27" s="1399">
        <f t="shared" si="8"/>
        <v>5.4624539098358056E-3</v>
      </c>
      <c r="P27" s="1414">
        <v>1659245979.7542</v>
      </c>
      <c r="Q27" s="1399">
        <f t="shared" si="9"/>
        <v>5.4624539098358056E-3</v>
      </c>
      <c r="R27" s="1414">
        <f t="shared" si="2"/>
        <v>0</v>
      </c>
      <c r="S27" s="1414">
        <v>1601484524.28</v>
      </c>
      <c r="T27" s="1399">
        <f t="shared" si="10"/>
        <v>5.3137658922057509E-3</v>
      </c>
      <c r="U27" s="1414">
        <v>1601484524.28</v>
      </c>
      <c r="V27" s="1399">
        <f t="shared" si="11"/>
        <v>5.3137658922057509E-3</v>
      </c>
      <c r="W27" s="1414">
        <f t="shared" si="3"/>
        <v>0</v>
      </c>
      <c r="X27" s="1414">
        <v>1624342436.4609659</v>
      </c>
      <c r="Y27" s="1399">
        <f t="shared" si="12"/>
        <v>5.4875238017665353E-3</v>
      </c>
      <c r="Z27" s="1414">
        <v>1624342436.4609659</v>
      </c>
      <c r="AA27" s="1399">
        <f t="shared" si="13"/>
        <v>5.4875238017665353E-3</v>
      </c>
      <c r="AB27" s="1447">
        <f t="shared" si="4"/>
        <v>0</v>
      </c>
      <c r="AC27" s="1131"/>
    </row>
    <row r="28" spans="1:29" s="831" customFormat="1" ht="147" customHeight="1">
      <c r="A28" s="1130"/>
      <c r="B28" s="1577"/>
      <c r="C28" s="1395" t="s">
        <v>140</v>
      </c>
      <c r="D28" s="1396">
        <f t="shared" si="14"/>
        <v>2.3187841110581145E-3</v>
      </c>
      <c r="E28" s="1397">
        <v>2832536470.2475829</v>
      </c>
      <c r="F28" s="1398">
        <f t="shared" si="5"/>
        <v>2.2931869936814709E-3</v>
      </c>
      <c r="G28" s="1397">
        <v>2832536470.2475829</v>
      </c>
      <c r="H28" s="1397">
        <f t="shared" si="0"/>
        <v>0</v>
      </c>
      <c r="I28" s="1397">
        <v>390000000</v>
      </c>
      <c r="J28" s="1399">
        <f t="shared" si="6"/>
        <v>1.2171681809958498E-3</v>
      </c>
      <c r="K28" s="1397">
        <v>390000000</v>
      </c>
      <c r="L28" s="1399">
        <f t="shared" si="7"/>
        <v>1.1674855833815714E-3</v>
      </c>
      <c r="M28" s="1397">
        <f t="shared" si="1"/>
        <v>0</v>
      </c>
      <c r="N28" s="1397">
        <v>829622989.87709999</v>
      </c>
      <c r="O28" s="1399">
        <f t="shared" si="8"/>
        <v>2.7312269549179028E-3</v>
      </c>
      <c r="P28" s="1397">
        <v>829622989.87709999</v>
      </c>
      <c r="Q28" s="1399">
        <f t="shared" si="9"/>
        <v>2.7312269549179028E-3</v>
      </c>
      <c r="R28" s="1397">
        <f t="shared" si="2"/>
        <v>0</v>
      </c>
      <c r="S28" s="1397">
        <v>800742262.13999999</v>
      </c>
      <c r="T28" s="1399">
        <f t="shared" si="10"/>
        <v>2.6568829461028755E-3</v>
      </c>
      <c r="U28" s="1397">
        <v>800742262.13999999</v>
      </c>
      <c r="V28" s="1399">
        <f t="shared" si="11"/>
        <v>2.6568829461028755E-3</v>
      </c>
      <c r="W28" s="1397">
        <f t="shared" si="3"/>
        <v>0</v>
      </c>
      <c r="X28" s="1397">
        <v>812171218.23048294</v>
      </c>
      <c r="Y28" s="1399">
        <f t="shared" si="12"/>
        <v>2.7437619008832677E-3</v>
      </c>
      <c r="Z28" s="1397">
        <v>812171218.23048294</v>
      </c>
      <c r="AA28" s="1399">
        <f t="shared" si="13"/>
        <v>2.7437619008832677E-3</v>
      </c>
      <c r="AB28" s="1439">
        <f t="shared" si="4"/>
        <v>0</v>
      </c>
      <c r="AC28" s="1131"/>
    </row>
    <row r="29" spans="1:29" s="831" customFormat="1" ht="147" customHeight="1">
      <c r="A29" s="1130"/>
      <c r="B29" s="1577"/>
      <c r="C29" s="1395" t="s">
        <v>141</v>
      </c>
      <c r="D29" s="1396">
        <f t="shared" si="14"/>
        <v>4.2364421549488879E-3</v>
      </c>
      <c r="E29" s="1397">
        <v>5175072940.4951658</v>
      </c>
      <c r="F29" s="1398">
        <f t="shared" si="5"/>
        <v>4.1896759611568732E-3</v>
      </c>
      <c r="G29" s="1397">
        <v>5175072940.4951658</v>
      </c>
      <c r="H29" s="1397">
        <f t="shared" si="0"/>
        <v>0</v>
      </c>
      <c r="I29" s="1397">
        <v>290000000</v>
      </c>
      <c r="J29" s="1399">
        <f t="shared" si="6"/>
        <v>9.0507377561229851E-4</v>
      </c>
      <c r="K29" s="1397">
        <v>290000000</v>
      </c>
      <c r="L29" s="1399">
        <f t="shared" si="7"/>
        <v>8.6813030559142483E-4</v>
      </c>
      <c r="M29" s="1397">
        <f t="shared" si="1"/>
        <v>0</v>
      </c>
      <c r="N29" s="1397">
        <v>1659245979.7542</v>
      </c>
      <c r="O29" s="1399">
        <f t="shared" si="8"/>
        <v>5.4624539098358056E-3</v>
      </c>
      <c r="P29" s="1397">
        <v>1659245979.7542</v>
      </c>
      <c r="Q29" s="1399">
        <f t="shared" si="9"/>
        <v>5.4624539098358056E-3</v>
      </c>
      <c r="R29" s="1397">
        <f t="shared" si="2"/>
        <v>0</v>
      </c>
      <c r="S29" s="1397">
        <v>1601484524.28</v>
      </c>
      <c r="T29" s="1399">
        <f t="shared" si="10"/>
        <v>5.3137658922057509E-3</v>
      </c>
      <c r="U29" s="1397">
        <v>1601484524.28</v>
      </c>
      <c r="V29" s="1399">
        <f t="shared" si="11"/>
        <v>5.3137658922057509E-3</v>
      </c>
      <c r="W29" s="1397">
        <f t="shared" si="3"/>
        <v>0</v>
      </c>
      <c r="X29" s="1397">
        <v>1624342436.4609659</v>
      </c>
      <c r="Y29" s="1399">
        <f t="shared" si="12"/>
        <v>5.4875238017665353E-3</v>
      </c>
      <c r="Z29" s="1397">
        <v>1624342436.4609659</v>
      </c>
      <c r="AA29" s="1399">
        <f t="shared" si="13"/>
        <v>5.4875238017665353E-3</v>
      </c>
      <c r="AB29" s="1439">
        <f t="shared" si="4"/>
        <v>0</v>
      </c>
      <c r="AC29" s="1131"/>
    </row>
    <row r="30" spans="1:29" s="831" customFormat="1" ht="147" customHeight="1">
      <c r="A30" s="1130"/>
      <c r="B30" s="1577"/>
      <c r="C30" s="1395" t="s">
        <v>142</v>
      </c>
      <c r="D30" s="1396">
        <f t="shared" si="14"/>
        <v>7.1353033487533846E-3</v>
      </c>
      <c r="E30" s="1397">
        <v>8716209010.2475834</v>
      </c>
      <c r="F30" s="1398">
        <f t="shared" si="5"/>
        <v>7.9508121026533631E-3</v>
      </c>
      <c r="G30" s="1397">
        <v>9820815010.2475834</v>
      </c>
      <c r="H30" s="1397">
        <f t="shared" si="0"/>
        <v>1104606000</v>
      </c>
      <c r="I30" s="1397">
        <v>1820000000</v>
      </c>
      <c r="J30" s="1399">
        <f t="shared" si="6"/>
        <v>5.6801181779806325E-3</v>
      </c>
      <c r="K30" s="1397">
        <v>2924606000</v>
      </c>
      <c r="L30" s="1399">
        <f t="shared" si="7"/>
        <v>8.7549624155672922E-3</v>
      </c>
      <c r="M30" s="1397">
        <f t="shared" si="1"/>
        <v>1104606000</v>
      </c>
      <c r="N30" s="1397">
        <v>2470222989.8771</v>
      </c>
      <c r="O30" s="1399">
        <f t="shared" si="8"/>
        <v>8.1322958704527805E-3</v>
      </c>
      <c r="P30" s="1397">
        <v>2470222989.8771</v>
      </c>
      <c r="Q30" s="1399">
        <f t="shared" si="9"/>
        <v>8.1322958704527805E-3</v>
      </c>
      <c r="R30" s="1397">
        <f t="shared" si="2"/>
        <v>0</v>
      </c>
      <c r="S30" s="1397">
        <v>2279960262.1400003</v>
      </c>
      <c r="T30" s="1399">
        <f t="shared" si="10"/>
        <v>7.56496543854571E-3</v>
      </c>
      <c r="U30" s="1397">
        <v>2279960262.1400003</v>
      </c>
      <c r="V30" s="1399">
        <f t="shared" si="11"/>
        <v>7.56496543854571E-3</v>
      </c>
      <c r="W30" s="1397">
        <f t="shared" si="3"/>
        <v>0</v>
      </c>
      <c r="X30" s="1397">
        <v>2146025758.2304831</v>
      </c>
      <c r="Y30" s="1399">
        <f t="shared" si="12"/>
        <v>7.24992905630884E-3</v>
      </c>
      <c r="Z30" s="1397">
        <v>2146025758.2304831</v>
      </c>
      <c r="AA30" s="1399">
        <f t="shared" si="13"/>
        <v>7.24992905630884E-3</v>
      </c>
      <c r="AB30" s="1439">
        <f t="shared" si="4"/>
        <v>0</v>
      </c>
      <c r="AC30" s="1131"/>
    </row>
    <row r="31" spans="1:29" s="831" customFormat="1" ht="147" customHeight="1">
      <c r="A31" s="1130"/>
      <c r="B31" s="1577"/>
      <c r="C31" s="1395" t="s">
        <v>143</v>
      </c>
      <c r="D31" s="1396">
        <f t="shared" si="14"/>
        <v>4.257448434792711E-3</v>
      </c>
      <c r="E31" s="1397">
        <v>5200733394.8160744</v>
      </c>
      <c r="F31" s="1398">
        <f t="shared" si="5"/>
        <v>4.2291286038914242E-3</v>
      </c>
      <c r="G31" s="1397">
        <v>5223804705.3713741</v>
      </c>
      <c r="H31" s="1397">
        <f t="shared" si="0"/>
        <v>23071310.555299759</v>
      </c>
      <c r="I31" s="1397">
        <v>1236928689.4447002</v>
      </c>
      <c r="J31" s="1399">
        <f t="shared" si="6"/>
        <v>3.8603852383409902E-3</v>
      </c>
      <c r="K31" s="1397">
        <v>1260000000</v>
      </c>
      <c r="L31" s="1399">
        <f t="shared" si="7"/>
        <v>3.771876500155846E-3</v>
      </c>
      <c r="M31" s="1397">
        <f t="shared" si="1"/>
        <v>23071310.555299759</v>
      </c>
      <c r="N31" s="1397">
        <v>1344434484.8156502</v>
      </c>
      <c r="O31" s="1399">
        <f t="shared" si="8"/>
        <v>4.4260534590460539E-3</v>
      </c>
      <c r="P31" s="1397">
        <v>1344434484.8156502</v>
      </c>
      <c r="Q31" s="1399">
        <f t="shared" si="9"/>
        <v>4.4260534590460539E-3</v>
      </c>
      <c r="R31" s="1397">
        <f t="shared" si="2"/>
        <v>0</v>
      </c>
      <c r="S31" s="1397">
        <v>1301113393.2099996</v>
      </c>
      <c r="T31" s="1399">
        <f t="shared" si="10"/>
        <v>4.3171269318632455E-3</v>
      </c>
      <c r="U31" s="1397">
        <v>1301113393.2099996</v>
      </c>
      <c r="V31" s="1399">
        <f t="shared" si="11"/>
        <v>4.3171269318632455E-3</v>
      </c>
      <c r="W31" s="1397">
        <f t="shared" si="3"/>
        <v>0</v>
      </c>
      <c r="X31" s="1397">
        <v>1318256827.3457243</v>
      </c>
      <c r="Y31" s="1399">
        <f t="shared" si="12"/>
        <v>4.4534733283591943E-3</v>
      </c>
      <c r="Z31" s="1397">
        <v>1318256827.3457243</v>
      </c>
      <c r="AA31" s="1399">
        <f t="shared" si="13"/>
        <v>4.4534733283591943E-3</v>
      </c>
      <c r="AB31" s="1439">
        <f t="shared" si="4"/>
        <v>0</v>
      </c>
      <c r="AC31" s="1131"/>
    </row>
    <row r="32" spans="1:29" s="831" customFormat="1" ht="147" customHeight="1">
      <c r="A32" s="1130"/>
      <c r="B32" s="1577"/>
      <c r="C32" s="1395" t="s">
        <v>144</v>
      </c>
      <c r="D32" s="1396">
        <f t="shared" si="14"/>
        <v>2.307169771629089E-2</v>
      </c>
      <c r="E32" s="1414">
        <v>28183488449.944767</v>
      </c>
      <c r="F32" s="1398">
        <f t="shared" si="5"/>
        <v>2.2817008652438325E-2</v>
      </c>
      <c r="G32" s="1414">
        <v>28183488449.945164</v>
      </c>
      <c r="H32" s="1414">
        <f t="shared" si="0"/>
        <v>3.96728515625E-4</v>
      </c>
      <c r="I32" s="1414">
        <v>6710025417.4496002</v>
      </c>
      <c r="J32" s="1399">
        <f t="shared" si="6"/>
        <v>2.094161392767448E-2</v>
      </c>
      <c r="K32" s="1414">
        <v>6710025417.4499998</v>
      </c>
      <c r="L32" s="1399">
        <f t="shared" si="7"/>
        <v>2.0086815228196882E-2</v>
      </c>
      <c r="M32" s="1414">
        <f t="shared" si="1"/>
        <v>3.9958953857421875E-4</v>
      </c>
      <c r="N32" s="1414">
        <v>7188709343.7542</v>
      </c>
      <c r="O32" s="1399">
        <f t="shared" si="8"/>
        <v>2.3666167609024711E-2</v>
      </c>
      <c r="P32" s="1414">
        <v>7188709343.7542</v>
      </c>
      <c r="Q32" s="1399">
        <f t="shared" si="9"/>
        <v>2.3666167609024711E-2</v>
      </c>
      <c r="R32" s="1414">
        <f t="shared" si="2"/>
        <v>0</v>
      </c>
      <c r="S32" s="1414">
        <v>7130947888.2800007</v>
      </c>
      <c r="T32" s="1399">
        <f t="shared" si="10"/>
        <v>2.366066427327768E-2</v>
      </c>
      <c r="U32" s="1414">
        <v>7130947888.2800007</v>
      </c>
      <c r="V32" s="1399">
        <f t="shared" si="11"/>
        <v>2.366066427327768E-2</v>
      </c>
      <c r="W32" s="1414">
        <f t="shared" si="3"/>
        <v>0</v>
      </c>
      <c r="X32" s="1414">
        <v>7153805800.4609652</v>
      </c>
      <c r="Y32" s="1399">
        <f t="shared" si="12"/>
        <v>2.4167736261804188E-2</v>
      </c>
      <c r="Z32" s="1414">
        <v>7153805800.4609652</v>
      </c>
      <c r="AA32" s="1399">
        <f t="shared" si="13"/>
        <v>2.4167736261804188E-2</v>
      </c>
      <c r="AB32" s="1447">
        <f t="shared" si="4"/>
        <v>0</v>
      </c>
      <c r="AC32" s="1131"/>
    </row>
    <row r="33" spans="1:29" s="831" customFormat="1" ht="147" customHeight="1">
      <c r="A33" s="1130"/>
      <c r="B33" s="1577"/>
      <c r="C33" s="1395" t="s">
        <v>145</v>
      </c>
      <c r="D33" s="1396">
        <f t="shared" si="14"/>
        <v>5.0496300967481705E-3</v>
      </c>
      <c r="E33" s="1397">
        <v>6168431697.4951658</v>
      </c>
      <c r="F33" s="1398">
        <f t="shared" si="5"/>
        <v>4.993887100374044E-3</v>
      </c>
      <c r="G33" s="1397">
        <v>6168431697.4951658</v>
      </c>
      <c r="H33" s="1397">
        <f t="shared" si="0"/>
        <v>0</v>
      </c>
      <c r="I33" s="1397">
        <v>1283358757</v>
      </c>
      <c r="J33" s="1399">
        <f t="shared" si="6"/>
        <v>4.0052908815968839E-3</v>
      </c>
      <c r="K33" s="1397">
        <v>1283358757</v>
      </c>
      <c r="L33" s="1399">
        <f t="shared" si="7"/>
        <v>3.8418021720615209E-3</v>
      </c>
      <c r="M33" s="1397">
        <f t="shared" si="1"/>
        <v>0</v>
      </c>
      <c r="N33" s="1397">
        <v>1659245979.7542</v>
      </c>
      <c r="O33" s="1399">
        <f t="shared" si="8"/>
        <v>5.4624539098358056E-3</v>
      </c>
      <c r="P33" s="1397">
        <v>1659245979.7542</v>
      </c>
      <c r="Q33" s="1399">
        <f t="shared" si="9"/>
        <v>5.4624539098358056E-3</v>
      </c>
      <c r="R33" s="1397">
        <f t="shared" si="2"/>
        <v>0</v>
      </c>
      <c r="S33" s="1397">
        <v>1601484524.2800002</v>
      </c>
      <c r="T33" s="1399">
        <f t="shared" si="10"/>
        <v>5.3137658922057518E-3</v>
      </c>
      <c r="U33" s="1397">
        <v>1601484524.2800002</v>
      </c>
      <c r="V33" s="1399">
        <f t="shared" si="11"/>
        <v>5.3137658922057518E-3</v>
      </c>
      <c r="W33" s="1397">
        <f t="shared" si="3"/>
        <v>0</v>
      </c>
      <c r="X33" s="1397">
        <v>1624342436.4609661</v>
      </c>
      <c r="Y33" s="1399">
        <f t="shared" si="12"/>
        <v>5.4875238017665362E-3</v>
      </c>
      <c r="Z33" s="1397">
        <v>1624342436.4609661</v>
      </c>
      <c r="AA33" s="1399">
        <f t="shared" si="13"/>
        <v>5.4875238017665362E-3</v>
      </c>
      <c r="AB33" s="1439">
        <f t="shared" si="4"/>
        <v>0</v>
      </c>
      <c r="AC33" s="1131"/>
    </row>
    <row r="34" spans="1:29" s="831" customFormat="1" ht="147" customHeight="1">
      <c r="A34" s="1130"/>
      <c r="B34" s="1577"/>
      <c r="C34" s="1395" t="s">
        <v>146</v>
      </c>
      <c r="D34" s="1396">
        <f t="shared" si="14"/>
        <v>2.1890261366103187E-2</v>
      </c>
      <c r="E34" s="1397">
        <v>26740291761.980663</v>
      </c>
      <c r="F34" s="1398">
        <f t="shared" si="5"/>
        <v>1.9624644687014192E-2</v>
      </c>
      <c r="G34" s="1397">
        <v>24240291761.980663</v>
      </c>
      <c r="H34" s="1397">
        <f t="shared" si="0"/>
        <v>-2500000000</v>
      </c>
      <c r="I34" s="1397">
        <v>7200000000</v>
      </c>
      <c r="J34" s="1399">
        <f t="shared" si="6"/>
        <v>2.2470797187615688E-2</v>
      </c>
      <c r="K34" s="1397">
        <v>6200000000</v>
      </c>
      <c r="L34" s="1399">
        <f t="shared" si="7"/>
        <v>1.8560027222989082E-2</v>
      </c>
      <c r="M34" s="1397">
        <f t="shared" si="1"/>
        <v>-1000000000</v>
      </c>
      <c r="N34" s="1397">
        <v>6636983919.0167999</v>
      </c>
      <c r="O34" s="1399">
        <f t="shared" si="8"/>
        <v>2.1849815639343222E-2</v>
      </c>
      <c r="P34" s="1397">
        <v>6136983919.0167999</v>
      </c>
      <c r="Q34" s="1399">
        <f t="shared" si="9"/>
        <v>2.020375050599723E-2</v>
      </c>
      <c r="R34" s="1397">
        <f t="shared" si="2"/>
        <v>-500000000</v>
      </c>
      <c r="S34" s="1397">
        <v>6405938097.1199999</v>
      </c>
      <c r="T34" s="1399">
        <f t="shared" si="10"/>
        <v>2.1255063568823004E-2</v>
      </c>
      <c r="U34" s="1397">
        <v>5905938097.1199999</v>
      </c>
      <c r="V34" s="1399">
        <f t="shared" si="11"/>
        <v>1.9596051005278337E-2</v>
      </c>
      <c r="W34" s="1397">
        <f t="shared" si="3"/>
        <v>-500000000</v>
      </c>
      <c r="X34" s="1397">
        <v>6497369745.8438635</v>
      </c>
      <c r="Y34" s="1399">
        <f t="shared" si="12"/>
        <v>2.1950095207066141E-2</v>
      </c>
      <c r="Z34" s="1397">
        <v>5997369745.8438635</v>
      </c>
      <c r="AA34" s="1399">
        <f t="shared" si="13"/>
        <v>2.0260942821894678E-2</v>
      </c>
      <c r="AB34" s="1439">
        <f t="shared" si="4"/>
        <v>-500000000</v>
      </c>
      <c r="AC34" s="1131"/>
    </row>
    <row r="35" spans="1:29" s="833" customFormat="1" ht="147" customHeight="1">
      <c r="A35" s="1149"/>
      <c r="B35" s="1448" t="s">
        <v>631</v>
      </c>
      <c r="C35" s="1415"/>
      <c r="D35" s="1416">
        <f t="shared" si="14"/>
        <v>5.5417916774453527E-2</v>
      </c>
      <c r="E35" s="1417">
        <v>67696371395.763268</v>
      </c>
      <c r="F35" s="1418">
        <f t="shared" si="5"/>
        <v>5.4542919784578855E-2</v>
      </c>
      <c r="G35" s="1417">
        <v>67371221757.88327</v>
      </c>
      <c r="H35" s="1417">
        <f t="shared" si="0"/>
        <v>-325149637.87999725</v>
      </c>
      <c r="I35" s="1417">
        <v>16705250000</v>
      </c>
      <c r="J35" s="1419">
        <f t="shared" si="6"/>
        <v>5.2136150655335688E-2</v>
      </c>
      <c r="K35" s="1417">
        <v>19080100362.12001</v>
      </c>
      <c r="L35" s="1419">
        <f t="shared" si="7"/>
        <v>5.7117287441663105E-2</v>
      </c>
      <c r="M35" s="1417">
        <f t="shared" si="1"/>
        <v>2374850362.1200104</v>
      </c>
      <c r="N35" s="1417">
        <v>17191589446.13192</v>
      </c>
      <c r="O35" s="1419">
        <f t="shared" si="8"/>
        <v>5.6596951948153472E-2</v>
      </c>
      <c r="P35" s="1417">
        <v>16291589446.13192</v>
      </c>
      <c r="Q35" s="1419">
        <f t="shared" si="9"/>
        <v>5.3634034708130676E-2</v>
      </c>
      <c r="R35" s="1417">
        <f t="shared" si="2"/>
        <v>-900000000</v>
      </c>
      <c r="S35" s="1417">
        <v>16788703984.528002</v>
      </c>
      <c r="T35" s="1419">
        <f t="shared" si="10"/>
        <v>5.5705341671928761E-2</v>
      </c>
      <c r="U35" s="1417">
        <v>15888703984.528002</v>
      </c>
      <c r="V35" s="1419">
        <f t="shared" si="11"/>
        <v>5.2719119057548357E-2</v>
      </c>
      <c r="W35" s="1417">
        <f t="shared" si="3"/>
        <v>-900000000</v>
      </c>
      <c r="X35" s="1417">
        <v>17010827965.103342</v>
      </c>
      <c r="Y35" s="1419">
        <f t="shared" si="12"/>
        <v>5.7467761261991504E-2</v>
      </c>
      <c r="Z35" s="1417">
        <v>16110827965.103342</v>
      </c>
      <c r="AA35" s="1419">
        <f t="shared" si="13"/>
        <v>5.4427286968682868E-2</v>
      </c>
      <c r="AB35" s="1449">
        <f t="shared" si="4"/>
        <v>-900000000</v>
      </c>
      <c r="AC35" s="1150"/>
    </row>
    <row r="36" spans="1:29" s="831" customFormat="1" ht="210" customHeight="1">
      <c r="A36" s="1130"/>
      <c r="B36" s="1577" t="s">
        <v>147</v>
      </c>
      <c r="C36" s="1395" t="s">
        <v>148</v>
      </c>
      <c r="D36" s="1396">
        <f t="shared" si="14"/>
        <v>3.2501476644417104E-2</v>
      </c>
      <c r="E36" s="1397">
        <v>39702539573.725838</v>
      </c>
      <c r="F36" s="1398">
        <f t="shared" si="5"/>
        <v>2.5427221671778931E-2</v>
      </c>
      <c r="G36" s="1397">
        <v>31407614346.685841</v>
      </c>
      <c r="H36" s="1397">
        <f t="shared" si="0"/>
        <v>-8294925227.0399971</v>
      </c>
      <c r="I36" s="1397">
        <v>12000000000</v>
      </c>
      <c r="J36" s="1399">
        <f t="shared" si="6"/>
        <v>3.7451328646026148E-2</v>
      </c>
      <c r="K36" s="1397">
        <v>6405074772.9600105</v>
      </c>
      <c r="L36" s="1399">
        <f t="shared" si="7"/>
        <v>1.9173929379261035E-2</v>
      </c>
      <c r="M36" s="1397">
        <f t="shared" si="1"/>
        <v>-5594925227.0399895</v>
      </c>
      <c r="N36" s="1397">
        <v>9366392398.7709999</v>
      </c>
      <c r="O36" s="1399">
        <f t="shared" si="8"/>
        <v>3.0835383905707794E-2</v>
      </c>
      <c r="P36" s="1397">
        <v>8466392398.7710009</v>
      </c>
      <c r="Q36" s="1399">
        <f t="shared" si="9"/>
        <v>2.7872466665685009E-2</v>
      </c>
      <c r="R36" s="1397">
        <f t="shared" si="2"/>
        <v>-899999999.99999905</v>
      </c>
      <c r="S36" s="1397">
        <v>9098409996.4000015</v>
      </c>
      <c r="T36" s="1399">
        <f t="shared" si="10"/>
        <v>3.0188752984615996E-2</v>
      </c>
      <c r="U36" s="1397">
        <v>8198409996.4000006</v>
      </c>
      <c r="V36" s="1399">
        <f t="shared" si="11"/>
        <v>2.7202530370235591E-2</v>
      </c>
      <c r="W36" s="1397">
        <f t="shared" si="3"/>
        <v>-900000000.00000095</v>
      </c>
      <c r="X36" s="1397">
        <v>9237737178.5548286</v>
      </c>
      <c r="Y36" s="1399">
        <f t="shared" si="12"/>
        <v>3.1207891577485998E-2</v>
      </c>
      <c r="Z36" s="1397">
        <v>8337737178.5548296</v>
      </c>
      <c r="AA36" s="1399">
        <f t="shared" si="13"/>
        <v>2.8167417284177366E-2</v>
      </c>
      <c r="AB36" s="1439">
        <f t="shared" si="4"/>
        <v>-899999999.99999905</v>
      </c>
      <c r="AC36" s="1131"/>
    </row>
    <row r="37" spans="1:29" s="831" customFormat="1" ht="198" customHeight="1">
      <c r="A37" s="1130"/>
      <c r="B37" s="1577"/>
      <c r="C37" s="1395" t="s">
        <v>149</v>
      </c>
      <c r="D37" s="1396">
        <f t="shared" si="14"/>
        <v>1.082133676132856E-2</v>
      </c>
      <c r="E37" s="1397">
        <v>13218924041.75</v>
      </c>
      <c r="F37" s="1398">
        <f t="shared" si="5"/>
        <v>1.1830095056238926E-2</v>
      </c>
      <c r="G37" s="1397">
        <v>14612491604.75</v>
      </c>
      <c r="H37" s="1397">
        <f t="shared" si="0"/>
        <v>1393567563</v>
      </c>
      <c r="I37" s="1397">
        <v>3252250000</v>
      </c>
      <c r="J37" s="1399">
        <f t="shared" si="6"/>
        <v>1.0150090299086544E-2</v>
      </c>
      <c r="K37" s="1397">
        <v>4645817563</v>
      </c>
      <c r="L37" s="1399">
        <f t="shared" si="7"/>
        <v>1.3907500071342064E-2</v>
      </c>
      <c r="M37" s="1397">
        <f t="shared" si="1"/>
        <v>1393567563</v>
      </c>
      <c r="N37" s="1397">
        <v>3282807500</v>
      </c>
      <c r="O37" s="1399">
        <f t="shared" si="8"/>
        <v>1.0807429930473463E-2</v>
      </c>
      <c r="P37" s="1397">
        <v>3282807500</v>
      </c>
      <c r="Q37" s="1399">
        <f t="shared" si="9"/>
        <v>1.0807429930473463E-2</v>
      </c>
      <c r="R37" s="1397">
        <f t="shared" si="2"/>
        <v>0</v>
      </c>
      <c r="S37" s="1397">
        <v>3320329725</v>
      </c>
      <c r="T37" s="1399">
        <f t="shared" si="10"/>
        <v>1.1016937457771624E-2</v>
      </c>
      <c r="U37" s="1397">
        <v>3320329725</v>
      </c>
      <c r="V37" s="1399">
        <f t="shared" si="11"/>
        <v>1.1016937457771624E-2</v>
      </c>
      <c r="W37" s="1397">
        <f t="shared" si="3"/>
        <v>0</v>
      </c>
      <c r="X37" s="1397">
        <v>3363536816.75</v>
      </c>
      <c r="Y37" s="1399">
        <f t="shared" si="12"/>
        <v>1.1363052473250592E-2</v>
      </c>
      <c r="Z37" s="1397">
        <v>3363536816.75</v>
      </c>
      <c r="AA37" s="1399">
        <f t="shared" si="13"/>
        <v>1.1363052473250592E-2</v>
      </c>
      <c r="AB37" s="1439">
        <f t="shared" si="4"/>
        <v>0</v>
      </c>
      <c r="AC37" s="1131"/>
    </row>
    <row r="38" spans="1:29" s="831" customFormat="1" ht="195" customHeight="1">
      <c r="A38" s="1130"/>
      <c r="B38" s="1577"/>
      <c r="C38" s="1395" t="s">
        <v>150</v>
      </c>
      <c r="D38" s="1396">
        <f t="shared" si="14"/>
        <v>5.277917222101778E-3</v>
      </c>
      <c r="E38" s="1397">
        <v>6447298369.5446825</v>
      </c>
      <c r="F38" s="1398">
        <f t="shared" si="5"/>
        <v>1.0786548345550977E-2</v>
      </c>
      <c r="G38" s="1397">
        <v>13323506395.704681</v>
      </c>
      <c r="H38" s="1397">
        <f t="shared" si="0"/>
        <v>6876208026.1599989</v>
      </c>
      <c r="I38" s="1397">
        <v>453000000</v>
      </c>
      <c r="J38" s="1399">
        <f t="shared" si="6"/>
        <v>1.413787656387487E-3</v>
      </c>
      <c r="K38" s="1397">
        <v>7329208026.1599998</v>
      </c>
      <c r="L38" s="1399">
        <f t="shared" si="7"/>
        <v>2.1940371046528979E-2</v>
      </c>
      <c r="M38" s="1397">
        <f t="shared" si="1"/>
        <v>6876208026.1599998</v>
      </c>
      <c r="N38" s="1397">
        <v>2053520577.72962</v>
      </c>
      <c r="O38" s="1399">
        <f t="shared" si="8"/>
        <v>6.7604572472185018E-3</v>
      </c>
      <c r="P38" s="1397">
        <v>2053520577.72962</v>
      </c>
      <c r="Q38" s="1399">
        <f t="shared" si="9"/>
        <v>6.7604572472185018E-3</v>
      </c>
      <c r="R38" s="1397">
        <f t="shared" si="2"/>
        <v>0</v>
      </c>
      <c r="S38" s="1397">
        <v>1967737476.7079997</v>
      </c>
      <c r="T38" s="1399">
        <f t="shared" si="10"/>
        <v>6.5290023912325098E-3</v>
      </c>
      <c r="U38" s="1397">
        <v>1967737476.7079997</v>
      </c>
      <c r="V38" s="1399">
        <f t="shared" si="11"/>
        <v>6.5290023912325098E-3</v>
      </c>
      <c r="W38" s="1397">
        <f t="shared" si="3"/>
        <v>0</v>
      </c>
      <c r="X38" s="1397">
        <v>1973040315.1070626</v>
      </c>
      <c r="Y38" s="1399">
        <f t="shared" si="12"/>
        <v>6.6655315086051031E-3</v>
      </c>
      <c r="Z38" s="1397">
        <v>1973040315.1070626</v>
      </c>
      <c r="AA38" s="1399">
        <f t="shared" si="13"/>
        <v>6.6655315086051031E-3</v>
      </c>
      <c r="AB38" s="1439">
        <f t="shared" si="4"/>
        <v>0</v>
      </c>
      <c r="AC38" s="1131"/>
    </row>
    <row r="39" spans="1:29" s="831" customFormat="1" ht="213" customHeight="1">
      <c r="A39" s="1130"/>
      <c r="B39" s="1577"/>
      <c r="C39" s="1395" t="s">
        <v>151</v>
      </c>
      <c r="D39" s="1396">
        <f t="shared" si="14"/>
        <v>6.8171861466060817E-3</v>
      </c>
      <c r="E39" s="1397">
        <v>8327609410.7427483</v>
      </c>
      <c r="F39" s="1398">
        <f t="shared" si="5"/>
        <v>6.4990547110100206E-3</v>
      </c>
      <c r="G39" s="1397">
        <v>8027609410.7427483</v>
      </c>
      <c r="H39" s="1397">
        <f t="shared" si="0"/>
        <v>-300000000</v>
      </c>
      <c r="I39" s="1397">
        <v>1000000000</v>
      </c>
      <c r="J39" s="1399">
        <f t="shared" si="6"/>
        <v>3.1209440538355121E-3</v>
      </c>
      <c r="K39" s="1397">
        <v>700000000</v>
      </c>
      <c r="L39" s="1399">
        <f t="shared" si="7"/>
        <v>2.0954869445310256E-3</v>
      </c>
      <c r="M39" s="1397">
        <f t="shared" si="1"/>
        <v>-300000000</v>
      </c>
      <c r="N39" s="1397">
        <v>2488868969.6313</v>
      </c>
      <c r="O39" s="1399">
        <f t="shared" si="8"/>
        <v>8.1936808647537079E-3</v>
      </c>
      <c r="P39" s="1397">
        <v>2488868969.6313</v>
      </c>
      <c r="Q39" s="1399">
        <f t="shared" si="9"/>
        <v>8.1936808647537079E-3</v>
      </c>
      <c r="R39" s="1397">
        <f t="shared" si="2"/>
        <v>0</v>
      </c>
      <c r="S39" s="1397">
        <v>2402226786.4199996</v>
      </c>
      <c r="T39" s="1399">
        <f t="shared" si="10"/>
        <v>7.970648838308626E-3</v>
      </c>
      <c r="U39" s="1397">
        <v>2402226786.4199996</v>
      </c>
      <c r="V39" s="1399">
        <f t="shared" si="11"/>
        <v>7.970648838308626E-3</v>
      </c>
      <c r="W39" s="1397">
        <f t="shared" si="3"/>
        <v>0</v>
      </c>
      <c r="X39" s="1397">
        <v>2436513654.6914487</v>
      </c>
      <c r="Y39" s="1399">
        <f t="shared" si="12"/>
        <v>8.2312857026498026E-3</v>
      </c>
      <c r="Z39" s="1397">
        <v>2436513654.6914487</v>
      </c>
      <c r="AA39" s="1399">
        <f t="shared" si="13"/>
        <v>8.2312857026498026E-3</v>
      </c>
      <c r="AB39" s="1439">
        <f t="shared" si="4"/>
        <v>0</v>
      </c>
      <c r="AC39" s="1131"/>
    </row>
    <row r="40" spans="1:29" s="833" customFormat="1" ht="147" customHeight="1">
      <c r="A40" s="1149"/>
      <c r="B40" s="1450" t="s">
        <v>632</v>
      </c>
      <c r="C40" s="1420"/>
      <c r="D40" s="1421">
        <f t="shared" si="14"/>
        <v>2.343569566236766E-2</v>
      </c>
      <c r="E40" s="1422">
        <v>28628134181.49033</v>
      </c>
      <c r="F40" s="1423">
        <f t="shared" si="5"/>
        <v>2.8575405123109569E-2</v>
      </c>
      <c r="G40" s="1422">
        <v>35296239419.780327</v>
      </c>
      <c r="H40" s="1422">
        <f t="shared" si="0"/>
        <v>6668105238.2899971</v>
      </c>
      <c r="I40" s="1422">
        <v>6230000000</v>
      </c>
      <c r="J40" s="1424">
        <f t="shared" si="6"/>
        <v>1.9443481455395241E-2</v>
      </c>
      <c r="K40" s="1422">
        <v>10498105238.290001</v>
      </c>
      <c r="L40" s="1424">
        <f t="shared" si="7"/>
        <v>3.1426632098784955E-2</v>
      </c>
      <c r="M40" s="1422">
        <f t="shared" si="1"/>
        <v>4268105238.2900009</v>
      </c>
      <c r="N40" s="1422">
        <v>8341836959.5084</v>
      </c>
      <c r="O40" s="1424">
        <f t="shared" si="8"/>
        <v>2.7462413934207484E-2</v>
      </c>
      <c r="P40" s="1422">
        <v>9141836959.5084</v>
      </c>
      <c r="Q40" s="1424">
        <f t="shared" si="9"/>
        <v>3.0096118147561076E-2</v>
      </c>
      <c r="R40" s="1422">
        <f t="shared" si="2"/>
        <v>800000000</v>
      </c>
      <c r="S40" s="1422">
        <v>7511282398.5599995</v>
      </c>
      <c r="T40" s="1424">
        <f t="shared" si="10"/>
        <v>2.4922623735085931E-2</v>
      </c>
      <c r="U40" s="1422">
        <v>8311282398.5599995</v>
      </c>
      <c r="V40" s="1424">
        <f t="shared" si="11"/>
        <v>2.7577043836757402E-2</v>
      </c>
      <c r="W40" s="1422">
        <f t="shared" si="3"/>
        <v>800000000</v>
      </c>
      <c r="X40" s="1422">
        <v>6545014823.4219322</v>
      </c>
      <c r="Y40" s="1424">
        <f t="shared" si="12"/>
        <v>2.2111054799931491E-2</v>
      </c>
      <c r="Z40" s="1422">
        <v>7345014823.4219322</v>
      </c>
      <c r="AA40" s="1424">
        <f t="shared" si="13"/>
        <v>2.4813698616205832E-2</v>
      </c>
      <c r="AB40" s="1451">
        <f t="shared" si="4"/>
        <v>800000000</v>
      </c>
      <c r="AC40" s="1150"/>
    </row>
    <row r="41" spans="1:29" s="831" customFormat="1" ht="147" customHeight="1">
      <c r="A41" s="1130"/>
      <c r="B41" s="1577" t="s">
        <v>152</v>
      </c>
      <c r="C41" s="1395" t="s">
        <v>153</v>
      </c>
      <c r="D41" s="1396">
        <f t="shared" si="14"/>
        <v>6.6034722689958586E-3</v>
      </c>
      <c r="E41" s="1397">
        <v>8066544851.2427483</v>
      </c>
      <c r="F41" s="1398">
        <f t="shared" si="5"/>
        <v>6.452855939336615E-3</v>
      </c>
      <c r="G41" s="1397">
        <v>7970544851.2427483</v>
      </c>
      <c r="H41" s="1397">
        <f t="shared" si="0"/>
        <v>-96000000</v>
      </c>
      <c r="I41" s="1397">
        <v>500000000</v>
      </c>
      <c r="J41" s="1399">
        <f t="shared" si="6"/>
        <v>1.560472026917756E-3</v>
      </c>
      <c r="K41" s="1397">
        <v>404000000</v>
      </c>
      <c r="L41" s="1399">
        <f t="shared" si="7"/>
        <v>1.2093953222721918E-3</v>
      </c>
      <c r="M41" s="1397">
        <f t="shared" si="1"/>
        <v>-96000000</v>
      </c>
      <c r="N41" s="1397">
        <v>2576813969.6313</v>
      </c>
      <c r="O41" s="1399">
        <f t="shared" si="8"/>
        <v>8.4832072610579352E-3</v>
      </c>
      <c r="P41" s="1397">
        <v>2576813969.6313</v>
      </c>
      <c r="Q41" s="1399">
        <f t="shared" si="9"/>
        <v>8.4832072610579352E-3</v>
      </c>
      <c r="R41" s="1397">
        <f t="shared" si="2"/>
        <v>0</v>
      </c>
      <c r="S41" s="1397">
        <v>2481578136.4199996</v>
      </c>
      <c r="T41" s="1399">
        <f t="shared" si="10"/>
        <v>8.2339386114770857E-3</v>
      </c>
      <c r="U41" s="1397">
        <v>2481578136.4199996</v>
      </c>
      <c r="V41" s="1399">
        <f t="shared" si="11"/>
        <v>8.2339386114770857E-3</v>
      </c>
      <c r="W41" s="1397">
        <f t="shared" si="3"/>
        <v>0</v>
      </c>
      <c r="X41" s="1397">
        <v>2508152745.1914487</v>
      </c>
      <c r="Y41" s="1399">
        <f t="shared" si="12"/>
        <v>8.4733043838289817E-3</v>
      </c>
      <c r="Z41" s="1397">
        <v>2508152745.1914487</v>
      </c>
      <c r="AA41" s="1399">
        <f t="shared" si="13"/>
        <v>8.4733043838289817E-3</v>
      </c>
      <c r="AB41" s="1439">
        <f t="shared" si="4"/>
        <v>0</v>
      </c>
      <c r="AC41" s="1131"/>
    </row>
    <row r="42" spans="1:29" s="831" customFormat="1" ht="147" customHeight="1">
      <c r="A42" s="1130"/>
      <c r="B42" s="1577"/>
      <c r="C42" s="1395" t="s">
        <v>154</v>
      </c>
      <c r="D42" s="1396">
        <f t="shared" si="14"/>
        <v>2.4497640513576543E-3</v>
      </c>
      <c r="E42" s="1397">
        <v>2992536470.2475829</v>
      </c>
      <c r="F42" s="1398">
        <f t="shared" si="5"/>
        <v>2.4227210430548814E-3</v>
      </c>
      <c r="G42" s="1397">
        <v>2992536470.2475829</v>
      </c>
      <c r="H42" s="1397">
        <f t="shared" si="0"/>
        <v>0</v>
      </c>
      <c r="I42" s="1397">
        <v>550000000</v>
      </c>
      <c r="J42" s="1399">
        <f t="shared" si="6"/>
        <v>1.7165192296095316E-3</v>
      </c>
      <c r="K42" s="1397">
        <v>550000000</v>
      </c>
      <c r="L42" s="1399">
        <f t="shared" si="7"/>
        <v>1.6464540278458056E-3</v>
      </c>
      <c r="M42" s="1397">
        <f t="shared" si="1"/>
        <v>0</v>
      </c>
      <c r="N42" s="1397">
        <v>829622989.87709999</v>
      </c>
      <c r="O42" s="1399">
        <f t="shared" si="8"/>
        <v>2.7312269549179028E-3</v>
      </c>
      <c r="P42" s="1397">
        <v>829622989.87709999</v>
      </c>
      <c r="Q42" s="1399">
        <f t="shared" si="9"/>
        <v>2.7312269549179028E-3</v>
      </c>
      <c r="R42" s="1397">
        <f t="shared" si="2"/>
        <v>0</v>
      </c>
      <c r="S42" s="1397">
        <v>800742262.13999999</v>
      </c>
      <c r="T42" s="1399">
        <f t="shared" si="10"/>
        <v>2.6568829461028755E-3</v>
      </c>
      <c r="U42" s="1397">
        <v>800742262.13999999</v>
      </c>
      <c r="V42" s="1399">
        <f t="shared" si="11"/>
        <v>2.6568829461028755E-3</v>
      </c>
      <c r="W42" s="1397">
        <f t="shared" si="3"/>
        <v>0</v>
      </c>
      <c r="X42" s="1397">
        <v>812171218.23048294</v>
      </c>
      <c r="Y42" s="1399">
        <f t="shared" si="12"/>
        <v>2.7437619008832677E-3</v>
      </c>
      <c r="Z42" s="1397">
        <v>812171218.23048294</v>
      </c>
      <c r="AA42" s="1399">
        <f t="shared" si="13"/>
        <v>2.7437619008832677E-3</v>
      </c>
      <c r="AB42" s="1439">
        <f t="shared" si="4"/>
        <v>0</v>
      </c>
      <c r="AC42" s="1131"/>
    </row>
    <row r="43" spans="1:29" s="831" customFormat="1" ht="177" customHeight="1">
      <c r="A43" s="1130"/>
      <c r="B43" s="1577"/>
      <c r="C43" s="1395" t="s">
        <v>155</v>
      </c>
      <c r="D43" s="1396">
        <f t="shared" si="14"/>
        <v>1.4382459342014146E-2</v>
      </c>
      <c r="E43" s="1397">
        <v>17569052860</v>
      </c>
      <c r="F43" s="1398">
        <f t="shared" si="5"/>
        <v>1.9699828140718079E-2</v>
      </c>
      <c r="G43" s="1397">
        <v>24333158098.290001</v>
      </c>
      <c r="H43" s="1397">
        <f t="shared" si="0"/>
        <v>6764105238.2900009</v>
      </c>
      <c r="I43" s="1397">
        <v>5180000000</v>
      </c>
      <c r="J43" s="1399">
        <f t="shared" si="6"/>
        <v>1.6166490198867952E-2</v>
      </c>
      <c r="K43" s="1397">
        <v>9544105238.2900009</v>
      </c>
      <c r="L43" s="1399">
        <f t="shared" si="7"/>
        <v>2.8570782748666954E-2</v>
      </c>
      <c r="M43" s="1397">
        <f t="shared" si="1"/>
        <v>4364105238.2900009</v>
      </c>
      <c r="N43" s="1397">
        <v>4935400000</v>
      </c>
      <c r="O43" s="1399">
        <f t="shared" si="8"/>
        <v>1.6247979718231643E-2</v>
      </c>
      <c r="P43" s="1397">
        <v>5735400000</v>
      </c>
      <c r="Q43" s="1399">
        <f t="shared" si="9"/>
        <v>1.8881683931585236E-2</v>
      </c>
      <c r="R43" s="1397">
        <f t="shared" si="2"/>
        <v>800000000</v>
      </c>
      <c r="S43" s="1397">
        <v>4228962000</v>
      </c>
      <c r="T43" s="1399">
        <f t="shared" si="10"/>
        <v>1.4031802177505971E-2</v>
      </c>
      <c r="U43" s="1397">
        <v>5028962000</v>
      </c>
      <c r="V43" s="1399">
        <f t="shared" si="11"/>
        <v>1.6686222279177439E-2</v>
      </c>
      <c r="W43" s="1397">
        <f t="shared" si="3"/>
        <v>800000000</v>
      </c>
      <c r="X43" s="1397">
        <v>3224690860</v>
      </c>
      <c r="Y43" s="1399">
        <f t="shared" si="12"/>
        <v>1.0893988515219239E-2</v>
      </c>
      <c r="Z43" s="1397">
        <v>4024690860</v>
      </c>
      <c r="AA43" s="1399">
        <f t="shared" si="13"/>
        <v>1.3596632331493582E-2</v>
      </c>
      <c r="AB43" s="1439">
        <f t="shared" si="4"/>
        <v>800000000</v>
      </c>
      <c r="AC43" s="1131"/>
    </row>
    <row r="44" spans="1:29" s="833" customFormat="1" ht="147" customHeight="1">
      <c r="A44" s="1149"/>
      <c r="B44" s="1452" t="s">
        <v>633</v>
      </c>
      <c r="C44" s="1425"/>
      <c r="D44" s="1426">
        <f t="shared" si="14"/>
        <v>1.0673498768105378E-2</v>
      </c>
      <c r="E44" s="1427">
        <v>13038330900.070332</v>
      </c>
      <c r="F44" s="1428">
        <f t="shared" si="5"/>
        <v>1.0444992932253793E-2</v>
      </c>
      <c r="G44" s="1427">
        <v>12901618356.290333</v>
      </c>
      <c r="H44" s="1427">
        <f t="shared" si="0"/>
        <v>-136712543.77999878</v>
      </c>
      <c r="I44" s="1427">
        <v>2651044150</v>
      </c>
      <c r="J44" s="1429">
        <f t="shared" si="6"/>
        <v>8.2737604763979192E-3</v>
      </c>
      <c r="K44" s="1427">
        <v>2514331606.2200003</v>
      </c>
      <c r="L44" s="1429">
        <f t="shared" si="7"/>
        <v>7.5267843643653338E-3</v>
      </c>
      <c r="M44" s="1427">
        <f t="shared" si="1"/>
        <v>-136712543.77999973</v>
      </c>
      <c r="N44" s="1427">
        <v>3516741159.5084</v>
      </c>
      <c r="O44" s="1429">
        <f t="shared" si="8"/>
        <v>1.1577570011339085E-2</v>
      </c>
      <c r="P44" s="1427">
        <v>3516741159.5084</v>
      </c>
      <c r="Q44" s="1429">
        <f t="shared" si="9"/>
        <v>1.1577570011339085E-2</v>
      </c>
      <c r="R44" s="1427">
        <f t="shared" si="2"/>
        <v>0</v>
      </c>
      <c r="S44" s="1427">
        <v>3408669492.5599999</v>
      </c>
      <c r="T44" s="1429">
        <f t="shared" si="10"/>
        <v>1.1310051026256936E-2</v>
      </c>
      <c r="U44" s="1427">
        <v>3408669492.5599999</v>
      </c>
      <c r="V44" s="1429">
        <f t="shared" si="11"/>
        <v>1.1310051026256936E-2</v>
      </c>
      <c r="W44" s="1427">
        <f t="shared" si="3"/>
        <v>0</v>
      </c>
      <c r="X44" s="1427">
        <v>3461876098.0019317</v>
      </c>
      <c r="Y44" s="1429">
        <f t="shared" si="12"/>
        <v>1.1695272536216089E-2</v>
      </c>
      <c r="Z44" s="1427">
        <v>3461876098.0019317</v>
      </c>
      <c r="AA44" s="1429">
        <f t="shared" si="13"/>
        <v>1.1695272536216089E-2</v>
      </c>
      <c r="AB44" s="1453">
        <f t="shared" si="4"/>
        <v>0</v>
      </c>
      <c r="AC44" s="1150"/>
    </row>
    <row r="45" spans="1:29" s="831" customFormat="1" ht="183" customHeight="1" thickBot="1">
      <c r="A45" s="1130"/>
      <c r="B45" s="1454" t="s">
        <v>156</v>
      </c>
      <c r="C45" s="1455" t="s">
        <v>912</v>
      </c>
      <c r="D45" s="1456">
        <f t="shared" si="14"/>
        <v>1.0673498768105378E-2</v>
      </c>
      <c r="E45" s="1457">
        <v>13038330900.070332</v>
      </c>
      <c r="F45" s="1458">
        <f t="shared" si="5"/>
        <v>1.0444992932253793E-2</v>
      </c>
      <c r="G45" s="1457">
        <v>12901618356.290333</v>
      </c>
      <c r="H45" s="1457">
        <f t="shared" si="0"/>
        <v>-136712543.77999878</v>
      </c>
      <c r="I45" s="1457">
        <v>2651044150</v>
      </c>
      <c r="J45" s="1459">
        <f t="shared" si="6"/>
        <v>8.2737604763979192E-3</v>
      </c>
      <c r="K45" s="1457">
        <v>2514331606.2200003</v>
      </c>
      <c r="L45" s="1459">
        <f t="shared" si="7"/>
        <v>7.5267843643653338E-3</v>
      </c>
      <c r="M45" s="1457">
        <f t="shared" si="1"/>
        <v>-136712543.77999973</v>
      </c>
      <c r="N45" s="1457">
        <v>3516741159.5084</v>
      </c>
      <c r="O45" s="1459">
        <f t="shared" si="8"/>
        <v>1.1577570011339085E-2</v>
      </c>
      <c r="P45" s="1457">
        <v>3516741159.5084</v>
      </c>
      <c r="Q45" s="1459">
        <f t="shared" si="9"/>
        <v>1.1577570011339085E-2</v>
      </c>
      <c r="R45" s="1457">
        <f t="shared" si="2"/>
        <v>0</v>
      </c>
      <c r="S45" s="1457">
        <v>3408669492.5599999</v>
      </c>
      <c r="T45" s="1459">
        <f t="shared" si="10"/>
        <v>1.1310051026256936E-2</v>
      </c>
      <c r="U45" s="1457">
        <v>3408669492.5599999</v>
      </c>
      <c r="V45" s="1459">
        <f t="shared" si="11"/>
        <v>1.1310051026256936E-2</v>
      </c>
      <c r="W45" s="1457">
        <f t="shared" si="3"/>
        <v>0</v>
      </c>
      <c r="X45" s="1457">
        <v>3461876098.0019317</v>
      </c>
      <c r="Y45" s="1459">
        <f t="shared" si="12"/>
        <v>1.1695272536216089E-2</v>
      </c>
      <c r="Z45" s="1457">
        <v>3461876098.0019317</v>
      </c>
      <c r="AA45" s="1459">
        <f t="shared" si="13"/>
        <v>1.1695272536216089E-2</v>
      </c>
      <c r="AB45" s="1460">
        <f t="shared" si="4"/>
        <v>0</v>
      </c>
      <c r="AC45" s="1131"/>
    </row>
    <row r="46" spans="1:29" s="831" customFormat="1" ht="60">
      <c r="A46" s="1130"/>
      <c r="B46" s="1575"/>
      <c r="C46" s="1575"/>
      <c r="D46" s="1377">
        <f t="shared" ref="D46:H46" si="15">+D44+D40+D35+D22+D20+D16+D11</f>
        <v>1</v>
      </c>
      <c r="E46" s="1051">
        <f t="shared" si="15"/>
        <v>1221561100379.9021</v>
      </c>
      <c r="F46" s="1377">
        <f t="shared" si="15"/>
        <v>1</v>
      </c>
      <c r="G46" s="1051">
        <f t="shared" si="15"/>
        <v>1235196465901.9119</v>
      </c>
      <c r="H46" s="1051">
        <f t="shared" si="15"/>
        <v>13635365522.009975</v>
      </c>
      <c r="I46" s="1051">
        <f>+I44+I40+I35+I22+I20+I16+I11</f>
        <v>320415868644.31</v>
      </c>
      <c r="J46" s="1461">
        <f>+J44+J40+J35+J22+J20+J16+J11</f>
        <v>0.99999999999999978</v>
      </c>
      <c r="K46" s="1051">
        <f t="shared" ref="K46:AB46" si="16">+K44+K40+K35+K22+K20+K16+K11</f>
        <v>334051234166.32007</v>
      </c>
      <c r="L46" s="1377">
        <f t="shared" si="16"/>
        <v>0.99999999999999989</v>
      </c>
      <c r="M46" s="1051">
        <f t="shared" si="16"/>
        <v>13635365522.009993</v>
      </c>
      <c r="N46" s="1051">
        <f t="shared" si="16"/>
        <v>303754687388.12195</v>
      </c>
      <c r="O46" s="1377">
        <f t="shared" si="16"/>
        <v>0.99999999999999967</v>
      </c>
      <c r="P46" s="1051">
        <f t="shared" si="16"/>
        <v>303754687388.12195</v>
      </c>
      <c r="Q46" s="1377">
        <f t="shared" si="16"/>
        <v>0.99999999999999967</v>
      </c>
      <c r="R46" s="1051">
        <f t="shared" si="16"/>
        <v>0</v>
      </c>
      <c r="S46" s="1051">
        <f t="shared" si="16"/>
        <v>301384094965.31689</v>
      </c>
      <c r="T46" s="1377">
        <f t="shared" si="16"/>
        <v>1.0000000000000002</v>
      </c>
      <c r="U46" s="1051">
        <f t="shared" si="16"/>
        <v>301384094965.31689</v>
      </c>
      <c r="V46" s="1377">
        <f t="shared" si="16"/>
        <v>1</v>
      </c>
      <c r="W46" s="1051">
        <f t="shared" si="16"/>
        <v>0</v>
      </c>
      <c r="X46" s="1051">
        <f t="shared" si="16"/>
        <v>296006449382.15308</v>
      </c>
      <c r="Y46" s="1377">
        <f t="shared" si="16"/>
        <v>1.0000000000000002</v>
      </c>
      <c r="Z46" s="1051">
        <f t="shared" si="16"/>
        <v>296006449382.15302</v>
      </c>
      <c r="AA46" s="1377">
        <f t="shared" si="16"/>
        <v>1</v>
      </c>
      <c r="AB46" s="1051">
        <f t="shared" si="16"/>
        <v>0</v>
      </c>
      <c r="AC46" s="1131"/>
    </row>
    <row r="47" spans="1:29" s="831" customFormat="1" ht="48" customHeight="1">
      <c r="A47" s="1130"/>
      <c r="B47" s="1053"/>
      <c r="C47" s="1050"/>
      <c r="D47" s="1379"/>
      <c r="E47" s="1051"/>
      <c r="F47" s="1377"/>
      <c r="G47" s="1051"/>
      <c r="H47" s="1051"/>
      <c r="I47" s="1051"/>
      <c r="J47" s="1378"/>
      <c r="K47" s="1051"/>
      <c r="L47" s="1378"/>
      <c r="M47" s="1051"/>
      <c r="N47" s="1051"/>
      <c r="O47" s="1051"/>
      <c r="P47" s="1051"/>
      <c r="Q47" s="1051"/>
      <c r="R47" s="1051"/>
      <c r="S47" s="1051"/>
      <c r="T47" s="1051"/>
      <c r="U47" s="1051"/>
      <c r="V47" s="1051"/>
      <c r="W47" s="1051"/>
      <c r="X47" s="1052"/>
      <c r="Y47" s="1052"/>
      <c r="Z47" s="1052"/>
      <c r="AA47" s="1052"/>
      <c r="AB47" s="1052"/>
      <c r="AC47" s="1131"/>
    </row>
    <row r="48" spans="1:29" s="831" customFormat="1" ht="1.5" hidden="1" customHeight="1">
      <c r="A48" s="1130"/>
      <c r="B48" s="1053"/>
      <c r="C48" s="1050"/>
      <c r="D48" s="1379"/>
      <c r="E48" s="1051"/>
      <c r="F48" s="1377"/>
      <c r="G48" s="1051"/>
      <c r="H48" s="1051"/>
      <c r="I48" s="1051"/>
      <c r="J48" s="1378"/>
      <c r="K48" s="1051"/>
      <c r="L48" s="1378"/>
      <c r="M48" s="1051"/>
      <c r="N48" s="1051"/>
      <c r="O48" s="1051"/>
      <c r="P48" s="1051"/>
      <c r="Q48" s="1051"/>
      <c r="R48" s="1051"/>
      <c r="S48" s="1051"/>
      <c r="T48" s="1051"/>
      <c r="U48" s="1051"/>
      <c r="V48" s="1051"/>
      <c r="W48" s="1051"/>
      <c r="X48" s="1052"/>
      <c r="Y48" s="1052"/>
      <c r="Z48" s="1052"/>
      <c r="AA48" s="1052"/>
      <c r="AB48" s="1052"/>
      <c r="AC48" s="1131"/>
    </row>
    <row r="49" spans="1:29" ht="63">
      <c r="A49" s="1128"/>
      <c r="B49" s="1047" t="s">
        <v>846</v>
      </c>
      <c r="C49" s="1054"/>
      <c r="D49" s="1380"/>
      <c r="E49" s="942"/>
      <c r="F49" s="1312"/>
      <c r="G49" s="942"/>
      <c r="H49" s="942"/>
      <c r="I49" s="942"/>
      <c r="J49" s="1381"/>
      <c r="K49" s="942"/>
      <c r="L49" s="1381"/>
      <c r="M49" s="942"/>
      <c r="N49" s="942"/>
      <c r="O49" s="942"/>
      <c r="P49" s="942"/>
      <c r="Q49" s="942"/>
      <c r="R49" s="942"/>
      <c r="S49" s="942"/>
      <c r="T49" s="942"/>
      <c r="U49" s="942"/>
      <c r="V49" s="942"/>
      <c r="W49" s="942"/>
      <c r="X49" s="1055"/>
      <c r="Y49" s="1055"/>
      <c r="Z49" s="1055"/>
      <c r="AA49" s="1055"/>
      <c r="AB49" s="1055"/>
      <c r="AC49" s="1129"/>
    </row>
    <row r="50" spans="1:29" ht="61.8">
      <c r="A50" s="1128"/>
      <c r="B50" s="1056"/>
      <c r="C50" s="1054"/>
      <c r="D50" s="1380"/>
      <c r="E50" s="942"/>
      <c r="F50" s="1312"/>
      <c r="G50" s="942"/>
      <c r="H50" s="942"/>
      <c r="I50" s="942"/>
      <c r="J50" s="1381"/>
      <c r="K50" s="942"/>
      <c r="L50" s="1381"/>
      <c r="M50" s="942"/>
      <c r="N50" s="942"/>
      <c r="O50" s="942"/>
      <c r="P50" s="942"/>
      <c r="Q50" s="942"/>
      <c r="R50" s="942"/>
      <c r="S50" s="942"/>
      <c r="T50" s="942"/>
      <c r="U50" s="942"/>
      <c r="V50" s="942"/>
      <c r="W50" s="942"/>
      <c r="X50" s="1055"/>
      <c r="Y50" s="1055"/>
      <c r="Z50" s="1055"/>
      <c r="AA50" s="1055"/>
      <c r="AB50" s="1055"/>
      <c r="AC50" s="1129"/>
    </row>
    <row r="51" spans="1:29" ht="99.6" customHeight="1">
      <c r="A51" s="1128"/>
      <c r="B51" s="1570" t="s">
        <v>1010</v>
      </c>
      <c r="C51" s="1570"/>
      <c r="D51" s="1570"/>
      <c r="E51" s="1570"/>
      <c r="F51" s="1570"/>
      <c r="G51" s="1570"/>
      <c r="H51" s="1570"/>
      <c r="I51" s="1570"/>
      <c r="J51" s="1570"/>
      <c r="K51" s="1570"/>
      <c r="L51" s="1570"/>
      <c r="M51" s="1570"/>
      <c r="N51" s="1570"/>
      <c r="O51" s="1570"/>
      <c r="P51" s="1570"/>
      <c r="Q51" s="1570"/>
      <c r="R51" s="1570"/>
      <c r="S51" s="1570"/>
      <c r="T51" s="1570"/>
      <c r="U51" s="1570"/>
      <c r="V51" s="1570"/>
      <c r="W51" s="1570"/>
      <c r="X51" s="1570"/>
      <c r="Y51" s="1304"/>
      <c r="Z51" s="1304"/>
      <c r="AA51" s="1304"/>
      <c r="AB51" s="1304"/>
      <c r="AC51" s="1129"/>
    </row>
    <row r="52" spans="1:29" ht="61.8">
      <c r="A52" s="1128"/>
      <c r="B52" s="1056"/>
      <c r="C52" s="1054"/>
      <c r="D52" s="1380"/>
      <c r="E52" s="942"/>
      <c r="F52" s="1312"/>
      <c r="G52" s="942"/>
      <c r="H52" s="942"/>
      <c r="I52" s="942"/>
      <c r="J52" s="1381"/>
      <c r="K52" s="942"/>
      <c r="L52" s="1381"/>
      <c r="M52" s="942"/>
      <c r="N52" s="942"/>
      <c r="O52" s="942"/>
      <c r="P52" s="942"/>
      <c r="Q52" s="942"/>
      <c r="R52" s="942"/>
      <c r="S52" s="942"/>
      <c r="T52" s="942"/>
      <c r="U52" s="942"/>
      <c r="V52" s="942"/>
      <c r="W52" s="942"/>
      <c r="X52" s="1055"/>
      <c r="Y52" s="1055"/>
      <c r="Z52" s="1055"/>
      <c r="AA52" s="1055"/>
      <c r="AB52" s="1055"/>
      <c r="AC52" s="1129"/>
    </row>
    <row r="53" spans="1:29" ht="70.2" customHeight="1">
      <c r="A53" s="1128"/>
      <c r="B53" s="1571" t="s">
        <v>708</v>
      </c>
      <c r="C53" s="1571"/>
      <c r="D53" s="1571"/>
      <c r="E53" s="1571"/>
      <c r="F53" s="1571"/>
      <c r="G53" s="1571"/>
      <c r="H53" s="1571"/>
      <c r="I53" s="1571"/>
      <c r="J53" s="1571"/>
      <c r="K53" s="1571"/>
      <c r="L53" s="1571"/>
      <c r="M53" s="1571"/>
      <c r="N53" s="1571"/>
      <c r="O53" s="1571"/>
      <c r="P53" s="1571"/>
      <c r="Q53" s="1571"/>
      <c r="R53" s="1571"/>
      <c r="S53" s="1571"/>
      <c r="T53" s="1571"/>
      <c r="U53" s="1571"/>
      <c r="V53" s="1571"/>
      <c r="W53" s="1571"/>
      <c r="X53" s="1571"/>
      <c r="Y53" s="1571"/>
      <c r="Z53" s="1571"/>
      <c r="AA53" s="1571"/>
      <c r="AB53" s="1571"/>
      <c r="AC53" s="1129"/>
    </row>
    <row r="54" spans="1:29" ht="61.8">
      <c r="A54" s="1128"/>
      <c r="B54" s="1056"/>
      <c r="C54" s="1054"/>
      <c r="D54" s="1380"/>
      <c r="E54" s="942"/>
      <c r="F54" s="1312"/>
      <c r="G54" s="942"/>
      <c r="H54" s="942"/>
      <c r="I54" s="942"/>
      <c r="J54" s="1381"/>
      <c r="K54" s="942"/>
      <c r="L54" s="1381"/>
      <c r="M54" s="942"/>
      <c r="N54" s="942"/>
      <c r="O54" s="942"/>
      <c r="P54" s="942"/>
      <c r="Q54" s="942"/>
      <c r="R54" s="942"/>
      <c r="S54" s="942"/>
      <c r="T54" s="942"/>
      <c r="U54" s="942"/>
      <c r="V54" s="942"/>
      <c r="W54" s="942"/>
      <c r="X54" s="1055"/>
      <c r="Y54" s="1055"/>
      <c r="Z54" s="1055"/>
      <c r="AA54" s="1055"/>
      <c r="AB54" s="1055"/>
      <c r="AC54" s="1129"/>
    </row>
    <row r="55" spans="1:29" ht="62.4" thickBot="1">
      <c r="A55" s="1151"/>
      <c r="B55" s="1152"/>
      <c r="C55" s="1140"/>
      <c r="D55" s="1382"/>
      <c r="E55" s="1141"/>
      <c r="F55" s="1383"/>
      <c r="G55" s="1141"/>
      <c r="H55" s="1141"/>
      <c r="I55" s="1141"/>
      <c r="J55" s="1384"/>
      <c r="K55" s="1141"/>
      <c r="L55" s="1384"/>
      <c r="M55" s="1141"/>
      <c r="N55" s="1141"/>
      <c r="O55" s="1141"/>
      <c r="P55" s="1141"/>
      <c r="Q55" s="1141"/>
      <c r="R55" s="1141"/>
      <c r="S55" s="1141"/>
      <c r="T55" s="1141"/>
      <c r="U55" s="1141"/>
      <c r="V55" s="1141"/>
      <c r="W55" s="1141"/>
      <c r="X55" s="1143"/>
      <c r="Y55" s="1143"/>
      <c r="Z55" s="1143"/>
      <c r="AA55" s="1143"/>
      <c r="AB55" s="1143"/>
      <c r="AC55" s="1144"/>
    </row>
    <row r="56" spans="1:29" ht="61.8">
      <c r="B56" s="1046"/>
    </row>
    <row r="57" spans="1:29" ht="61.8">
      <c r="B57" s="1046"/>
    </row>
    <row r="58" spans="1:29" ht="61.8">
      <c r="B58" s="1046"/>
    </row>
    <row r="59" spans="1:29" ht="61.8">
      <c r="B59" s="1046"/>
    </row>
    <row r="60" spans="1:29" ht="61.8">
      <c r="B60" s="1046"/>
    </row>
    <row r="61" spans="1:29" ht="61.8">
      <c r="B61" s="1046"/>
    </row>
    <row r="62" spans="1:29" ht="61.8">
      <c r="B62" s="1046"/>
    </row>
    <row r="63" spans="1:29" s="740" customFormat="1" ht="61.8">
      <c r="A63" s="743"/>
      <c r="B63" s="1046"/>
      <c r="D63" s="1307"/>
      <c r="E63" s="741"/>
      <c r="F63" s="1308"/>
      <c r="G63" s="741"/>
      <c r="H63" s="741"/>
      <c r="I63" s="741"/>
      <c r="J63" s="1309"/>
      <c r="K63" s="741"/>
      <c r="L63" s="1309"/>
      <c r="M63" s="741"/>
      <c r="N63" s="741"/>
      <c r="O63" s="741"/>
      <c r="P63" s="741"/>
      <c r="Q63" s="741"/>
      <c r="R63" s="741"/>
      <c r="S63" s="741"/>
      <c r="T63" s="741"/>
      <c r="U63" s="741"/>
      <c r="V63" s="741"/>
      <c r="W63" s="741"/>
      <c r="X63" s="742"/>
      <c r="Y63" s="742"/>
      <c r="Z63" s="742"/>
      <c r="AA63" s="742"/>
      <c r="AB63" s="742"/>
      <c r="AC63" s="743"/>
    </row>
    <row r="64" spans="1:29" s="740" customFormat="1" ht="61.8">
      <c r="A64" s="743"/>
      <c r="B64" s="1046"/>
      <c r="D64" s="1307"/>
      <c r="E64" s="741"/>
      <c r="F64" s="1308"/>
      <c r="G64" s="741"/>
      <c r="H64" s="741"/>
      <c r="I64" s="741"/>
      <c r="J64" s="1309"/>
      <c r="K64" s="741"/>
      <c r="L64" s="1309"/>
      <c r="M64" s="741"/>
      <c r="N64" s="741"/>
      <c r="O64" s="741"/>
      <c r="P64" s="741"/>
      <c r="Q64" s="741"/>
      <c r="R64" s="741"/>
      <c r="S64" s="741"/>
      <c r="T64" s="741"/>
      <c r="U64" s="741"/>
      <c r="V64" s="741"/>
      <c r="W64" s="741"/>
      <c r="X64" s="742"/>
      <c r="Y64" s="742"/>
      <c r="Z64" s="742"/>
      <c r="AA64" s="742"/>
      <c r="AB64" s="742"/>
      <c r="AC64" s="743"/>
    </row>
    <row r="65" spans="1:29" s="740" customFormat="1" ht="61.8">
      <c r="A65" s="743"/>
      <c r="B65" s="1046"/>
      <c r="D65" s="1307"/>
      <c r="E65" s="741"/>
      <c r="F65" s="1308"/>
      <c r="G65" s="741"/>
      <c r="H65" s="741"/>
      <c r="I65" s="741"/>
      <c r="J65" s="1309"/>
      <c r="K65" s="741"/>
      <c r="L65" s="1309"/>
      <c r="M65" s="741"/>
      <c r="N65" s="741"/>
      <c r="O65" s="741"/>
      <c r="P65" s="741"/>
      <c r="Q65" s="741"/>
      <c r="R65" s="741"/>
      <c r="S65" s="741"/>
      <c r="T65" s="741"/>
      <c r="U65" s="741"/>
      <c r="V65" s="741"/>
      <c r="W65" s="741"/>
      <c r="X65" s="742"/>
      <c r="Y65" s="742"/>
      <c r="Z65" s="742"/>
      <c r="AA65" s="742"/>
      <c r="AB65" s="742"/>
      <c r="AC65" s="743"/>
    </row>
    <row r="66" spans="1:29" s="740" customFormat="1" ht="61.8">
      <c r="A66" s="743"/>
      <c r="B66" s="1046"/>
      <c r="D66" s="1307"/>
      <c r="E66" s="741"/>
      <c r="F66" s="1308"/>
      <c r="G66" s="741"/>
      <c r="H66" s="741"/>
      <c r="I66" s="741"/>
      <c r="J66" s="1309"/>
      <c r="K66" s="741"/>
      <c r="L66" s="1309"/>
      <c r="M66" s="741"/>
      <c r="N66" s="741"/>
      <c r="O66" s="741"/>
      <c r="P66" s="741"/>
      <c r="Q66" s="741"/>
      <c r="R66" s="741"/>
      <c r="S66" s="741"/>
      <c r="T66" s="741"/>
      <c r="U66" s="741"/>
      <c r="V66" s="741"/>
      <c r="W66" s="741"/>
      <c r="X66" s="742"/>
      <c r="Y66" s="742"/>
      <c r="Z66" s="742"/>
      <c r="AA66" s="742"/>
      <c r="AB66" s="742"/>
      <c r="AC66" s="743"/>
    </row>
    <row r="67" spans="1:29" s="740" customFormat="1" ht="61.8">
      <c r="A67" s="743"/>
      <c r="B67" s="1046"/>
      <c r="D67" s="1307"/>
      <c r="E67" s="741"/>
      <c r="F67" s="1308"/>
      <c r="G67" s="741"/>
      <c r="H67" s="741"/>
      <c r="I67" s="741"/>
      <c r="J67" s="1309"/>
      <c r="K67" s="741"/>
      <c r="L67" s="1309"/>
      <c r="M67" s="741"/>
      <c r="N67" s="741"/>
      <c r="O67" s="741"/>
      <c r="P67" s="741"/>
      <c r="Q67" s="741"/>
      <c r="R67" s="741"/>
      <c r="S67" s="741"/>
      <c r="T67" s="741"/>
      <c r="U67" s="741"/>
      <c r="V67" s="741"/>
      <c r="W67" s="741"/>
      <c r="X67" s="742"/>
      <c r="Y67" s="742"/>
      <c r="Z67" s="742"/>
      <c r="AA67" s="742"/>
      <c r="AB67" s="742"/>
      <c r="AC67" s="743"/>
    </row>
    <row r="68" spans="1:29" s="740" customFormat="1" ht="61.8">
      <c r="A68" s="743"/>
      <c r="B68" s="1046"/>
      <c r="D68" s="1307"/>
      <c r="E68" s="741"/>
      <c r="F68" s="1308"/>
      <c r="G68" s="741"/>
      <c r="H68" s="741"/>
      <c r="I68" s="741"/>
      <c r="J68" s="1309"/>
      <c r="K68" s="741"/>
      <c r="L68" s="1309"/>
      <c r="M68" s="741"/>
      <c r="N68" s="741"/>
      <c r="O68" s="741"/>
      <c r="P68" s="741"/>
      <c r="Q68" s="741"/>
      <c r="R68" s="741"/>
      <c r="S68" s="741"/>
      <c r="T68" s="741"/>
      <c r="U68" s="741"/>
      <c r="V68" s="741"/>
      <c r="W68" s="741"/>
      <c r="X68" s="742"/>
      <c r="Y68" s="742"/>
      <c r="Z68" s="742"/>
      <c r="AA68" s="742"/>
      <c r="AB68" s="742"/>
      <c r="AC68" s="743"/>
    </row>
    <row r="69" spans="1:29" s="740" customFormat="1" ht="61.8">
      <c r="A69" s="743"/>
      <c r="B69" s="1046"/>
      <c r="D69" s="1307"/>
      <c r="E69" s="741"/>
      <c r="F69" s="1308"/>
      <c r="G69" s="741"/>
      <c r="H69" s="741"/>
      <c r="I69" s="741"/>
      <c r="J69" s="1309"/>
      <c r="K69" s="741"/>
      <c r="L69" s="1309"/>
      <c r="M69" s="741"/>
      <c r="N69" s="741"/>
      <c r="O69" s="741"/>
      <c r="P69" s="741"/>
      <c r="Q69" s="741"/>
      <c r="R69" s="741"/>
      <c r="S69" s="741"/>
      <c r="T69" s="741"/>
      <c r="U69" s="741"/>
      <c r="V69" s="741"/>
      <c r="W69" s="741"/>
      <c r="X69" s="742"/>
      <c r="Y69" s="742"/>
      <c r="Z69" s="742"/>
      <c r="AA69" s="742"/>
      <c r="AB69" s="742"/>
      <c r="AC69" s="743"/>
    </row>
    <row r="70" spans="1:29" s="740" customFormat="1" ht="61.8">
      <c r="A70" s="743"/>
      <c r="B70" s="1046"/>
      <c r="D70" s="1307"/>
      <c r="E70" s="741"/>
      <c r="F70" s="1308"/>
      <c r="G70" s="741"/>
      <c r="H70" s="741"/>
      <c r="I70" s="741"/>
      <c r="J70" s="1309"/>
      <c r="K70" s="741"/>
      <c r="L70" s="1309"/>
      <c r="M70" s="741"/>
      <c r="N70" s="741"/>
      <c r="O70" s="741"/>
      <c r="P70" s="741"/>
      <c r="Q70" s="741"/>
      <c r="R70" s="741"/>
      <c r="S70" s="741"/>
      <c r="T70" s="741"/>
      <c r="U70" s="741"/>
      <c r="V70" s="741"/>
      <c r="W70" s="741"/>
      <c r="X70" s="742"/>
      <c r="Y70" s="742"/>
      <c r="Z70" s="742"/>
      <c r="AA70" s="742"/>
      <c r="AB70" s="742"/>
      <c r="AC70" s="743"/>
    </row>
    <row r="71" spans="1:29" s="740" customFormat="1" ht="61.8">
      <c r="A71" s="743"/>
      <c r="B71" s="1046"/>
      <c r="D71" s="1307"/>
      <c r="E71" s="741"/>
      <c r="F71" s="1308"/>
      <c r="G71" s="741"/>
      <c r="H71" s="741"/>
      <c r="I71" s="741"/>
      <c r="J71" s="1309"/>
      <c r="K71" s="741"/>
      <c r="L71" s="1309"/>
      <c r="M71" s="741"/>
      <c r="N71" s="741"/>
      <c r="O71" s="741"/>
      <c r="P71" s="741"/>
      <c r="Q71" s="741"/>
      <c r="R71" s="741"/>
      <c r="S71" s="741"/>
      <c r="T71" s="741"/>
      <c r="U71" s="741"/>
      <c r="V71" s="741"/>
      <c r="W71" s="741"/>
      <c r="X71" s="742"/>
      <c r="Y71" s="742"/>
      <c r="Z71" s="742"/>
      <c r="AA71" s="742"/>
      <c r="AB71" s="742"/>
      <c r="AC71" s="743"/>
    </row>
    <row r="72" spans="1:29" s="740" customFormat="1" ht="61.8">
      <c r="A72" s="743"/>
      <c r="B72" s="1046"/>
      <c r="D72" s="1307"/>
      <c r="E72" s="741"/>
      <c r="F72" s="1308"/>
      <c r="G72" s="741"/>
      <c r="H72" s="741"/>
      <c r="I72" s="741"/>
      <c r="J72" s="1309"/>
      <c r="K72" s="741"/>
      <c r="L72" s="1309"/>
      <c r="M72" s="741"/>
      <c r="N72" s="741"/>
      <c r="O72" s="741"/>
      <c r="P72" s="741"/>
      <c r="Q72" s="741"/>
      <c r="R72" s="741"/>
      <c r="S72" s="741"/>
      <c r="T72" s="741"/>
      <c r="U72" s="741"/>
      <c r="V72" s="741"/>
      <c r="W72" s="741"/>
      <c r="X72" s="742"/>
      <c r="Y72" s="742"/>
      <c r="Z72" s="742"/>
      <c r="AA72" s="742"/>
      <c r="AB72" s="742"/>
      <c r="AC72" s="743"/>
    </row>
    <row r="73" spans="1:29" s="740" customFormat="1" ht="61.8">
      <c r="A73" s="743"/>
      <c r="B73" s="1046"/>
      <c r="D73" s="1307"/>
      <c r="E73" s="741"/>
      <c r="F73" s="1308"/>
      <c r="G73" s="741"/>
      <c r="H73" s="741"/>
      <c r="I73" s="741"/>
      <c r="J73" s="1309"/>
      <c r="K73" s="741"/>
      <c r="L73" s="1309"/>
      <c r="M73" s="741"/>
      <c r="N73" s="741"/>
      <c r="O73" s="741"/>
      <c r="P73" s="741"/>
      <c r="Q73" s="741"/>
      <c r="R73" s="741"/>
      <c r="S73" s="741"/>
      <c r="T73" s="741"/>
      <c r="U73" s="741"/>
      <c r="V73" s="741"/>
      <c r="W73" s="741"/>
      <c r="X73" s="742"/>
      <c r="Y73" s="742"/>
      <c r="Z73" s="742"/>
      <c r="AA73" s="742"/>
      <c r="AB73" s="742"/>
      <c r="AC73" s="743"/>
    </row>
    <row r="74" spans="1:29" s="740" customFormat="1" ht="61.8">
      <c r="A74" s="743"/>
      <c r="B74" s="1046"/>
      <c r="D74" s="1307"/>
      <c r="E74" s="741"/>
      <c r="F74" s="1308"/>
      <c r="G74" s="741"/>
      <c r="H74" s="741"/>
      <c r="I74" s="741"/>
      <c r="J74" s="1309"/>
      <c r="K74" s="741"/>
      <c r="L74" s="1309"/>
      <c r="M74" s="741"/>
      <c r="N74" s="741"/>
      <c r="O74" s="741"/>
      <c r="P74" s="741"/>
      <c r="Q74" s="741"/>
      <c r="R74" s="741"/>
      <c r="S74" s="741"/>
      <c r="T74" s="741"/>
      <c r="U74" s="741"/>
      <c r="V74" s="741"/>
      <c r="W74" s="741"/>
      <c r="X74" s="742"/>
      <c r="Y74" s="742"/>
      <c r="Z74" s="742"/>
      <c r="AA74" s="742"/>
      <c r="AB74" s="742"/>
      <c r="AC74" s="743"/>
    </row>
    <row r="75" spans="1:29" s="740" customFormat="1" ht="61.8">
      <c r="A75" s="743"/>
      <c r="B75" s="1046"/>
      <c r="D75" s="1307"/>
      <c r="E75" s="741"/>
      <c r="F75" s="1308"/>
      <c r="G75" s="741"/>
      <c r="H75" s="741"/>
      <c r="I75" s="741"/>
      <c r="J75" s="1309"/>
      <c r="K75" s="741"/>
      <c r="L75" s="1309"/>
      <c r="M75" s="741"/>
      <c r="N75" s="741"/>
      <c r="O75" s="741"/>
      <c r="P75" s="741"/>
      <c r="Q75" s="741"/>
      <c r="R75" s="741"/>
      <c r="S75" s="741"/>
      <c r="T75" s="741"/>
      <c r="U75" s="741"/>
      <c r="V75" s="741"/>
      <c r="W75" s="741"/>
      <c r="X75" s="742"/>
      <c r="Y75" s="742"/>
      <c r="Z75" s="742"/>
      <c r="AA75" s="742"/>
      <c r="AB75" s="742"/>
      <c r="AC75" s="743"/>
    </row>
    <row r="76" spans="1:29" s="740" customFormat="1" ht="61.8">
      <c r="A76" s="743"/>
      <c r="B76" s="1046"/>
      <c r="D76" s="1307"/>
      <c r="E76" s="741"/>
      <c r="F76" s="1308"/>
      <c r="G76" s="741"/>
      <c r="H76" s="741"/>
      <c r="I76" s="741"/>
      <c r="J76" s="1309"/>
      <c r="K76" s="741"/>
      <c r="L76" s="1309"/>
      <c r="M76" s="741"/>
      <c r="N76" s="741"/>
      <c r="O76" s="741"/>
      <c r="P76" s="741"/>
      <c r="Q76" s="741"/>
      <c r="R76" s="741"/>
      <c r="S76" s="741"/>
      <c r="T76" s="741"/>
      <c r="U76" s="741"/>
      <c r="V76" s="741"/>
      <c r="W76" s="741"/>
      <c r="X76" s="742"/>
      <c r="Y76" s="742"/>
      <c r="Z76" s="742"/>
      <c r="AA76" s="742"/>
      <c r="AB76" s="742"/>
      <c r="AC76" s="743"/>
    </row>
    <row r="77" spans="1:29" s="740" customFormat="1" ht="61.8">
      <c r="A77" s="743"/>
      <c r="B77" s="1046"/>
      <c r="D77" s="1307"/>
      <c r="E77" s="741"/>
      <c r="F77" s="1308"/>
      <c r="G77" s="741"/>
      <c r="H77" s="741"/>
      <c r="I77" s="741"/>
      <c r="J77" s="1309"/>
      <c r="K77" s="741"/>
      <c r="L77" s="1309"/>
      <c r="M77" s="741"/>
      <c r="N77" s="741"/>
      <c r="O77" s="741"/>
      <c r="P77" s="741"/>
      <c r="Q77" s="741"/>
      <c r="R77" s="741"/>
      <c r="S77" s="741"/>
      <c r="T77" s="741"/>
      <c r="U77" s="741"/>
      <c r="V77" s="741"/>
      <c r="W77" s="741"/>
      <c r="X77" s="742"/>
      <c r="Y77" s="742"/>
      <c r="Z77" s="742"/>
      <c r="AA77" s="742"/>
      <c r="AB77" s="742"/>
      <c r="AC77" s="743"/>
    </row>
  </sheetData>
  <autoFilter ref="B9:X9"/>
  <mergeCells count="14">
    <mergeCell ref="C2:X2"/>
    <mergeCell ref="B4:I5"/>
    <mergeCell ref="J4:AB5"/>
    <mergeCell ref="B51:X51"/>
    <mergeCell ref="B53:AB53"/>
    <mergeCell ref="B7:G7"/>
    <mergeCell ref="H7:R7"/>
    <mergeCell ref="S7:AB7"/>
    <mergeCell ref="B12:B15"/>
    <mergeCell ref="B17:B19"/>
    <mergeCell ref="B23:B34"/>
    <mergeCell ref="B36:B39"/>
    <mergeCell ref="B41:B43"/>
    <mergeCell ref="B46:C46"/>
  </mergeCells>
  <pageMargins left="0.70866141732283472" right="0.70866141732283472" top="0.74803149606299213" bottom="0.74803149606299213" header="0.31496062992125984" footer="0.31496062992125984"/>
  <pageSetup paperSize="1002" scale="15" orientation="landscape" r:id="rId1"/>
  <rowBreaks count="3" manualBreakCount="3">
    <brk id="17" min="1" max="45" man="1"/>
    <brk id="35" min="1" max="45" man="1"/>
    <brk id="48"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3"/>
  <sheetViews>
    <sheetView topLeftCell="D3" zoomScale="20" zoomScaleNormal="20" zoomScaleSheetLayoutView="10" zoomScalePageLayoutView="75" workbookViewId="0">
      <selection activeCell="E10" sqref="E10"/>
    </sheetView>
  </sheetViews>
  <sheetFormatPr baseColWidth="10" defaultColWidth="11.6640625" defaultRowHeight="25.2"/>
  <cols>
    <col min="1" max="1" width="11.6640625" style="743"/>
    <col min="2" max="2" width="208.109375" style="739" customWidth="1"/>
    <col min="3" max="3" width="182.109375" style="740" customWidth="1"/>
    <col min="4" max="4" width="255.109375" style="740" customWidth="1"/>
    <col min="5" max="5" width="165" style="741" customWidth="1"/>
    <col min="6" max="8" width="145.109375" style="741" customWidth="1"/>
    <col min="9" max="9" width="145.109375" style="742" customWidth="1"/>
    <col min="10" max="16384" width="11.6640625" style="743"/>
  </cols>
  <sheetData>
    <row r="1" spans="1:10" hidden="1"/>
    <row r="2" spans="1:10" ht="26.7" hidden="1" customHeight="1" thickBot="1">
      <c r="B2" s="744"/>
      <c r="C2" s="1526" t="s">
        <v>161</v>
      </c>
      <c r="D2" s="1527"/>
      <c r="E2" s="1527"/>
      <c r="F2" s="1527"/>
      <c r="G2" s="1527"/>
      <c r="H2" s="1527"/>
      <c r="I2" s="1527"/>
    </row>
    <row r="3" spans="1:10" ht="62.4" customHeight="1">
      <c r="A3" s="1123"/>
      <c r="B3" s="1124"/>
      <c r="C3" s="1125"/>
      <c r="D3" s="1125"/>
      <c r="E3" s="1125"/>
      <c r="F3" s="1125"/>
      <c r="G3" s="1125"/>
      <c r="H3" s="1125"/>
      <c r="I3" s="1125"/>
      <c r="J3" s="1127"/>
    </row>
    <row r="4" spans="1:10" ht="323.25" customHeight="1">
      <c r="A4" s="1128"/>
      <c r="B4" s="1556"/>
      <c r="C4" s="1556"/>
      <c r="D4" s="1556"/>
      <c r="E4" s="1557" t="s">
        <v>914</v>
      </c>
      <c r="F4" s="1558"/>
      <c r="G4" s="1558"/>
      <c r="H4" s="1558"/>
      <c r="I4" s="1558"/>
      <c r="J4" s="1129"/>
    </row>
    <row r="5" spans="1:10" ht="409.6" customHeight="1">
      <c r="A5" s="1128"/>
      <c r="B5" s="1556"/>
      <c r="C5" s="1556"/>
      <c r="D5" s="1556"/>
      <c r="E5" s="1558"/>
      <c r="F5" s="1558"/>
      <c r="G5" s="1558"/>
      <c r="H5" s="1558"/>
      <c r="I5" s="1558"/>
      <c r="J5" s="1129"/>
    </row>
    <row r="6" spans="1:10" ht="70.2" customHeight="1">
      <c r="A6" s="1128"/>
      <c r="B6" s="745"/>
      <c r="C6" s="746"/>
      <c r="D6" s="884"/>
      <c r="E6" s="747"/>
      <c r="F6" s="748"/>
      <c r="G6" s="748"/>
      <c r="H6" s="748"/>
      <c r="I6" s="748"/>
      <c r="J6" s="1129"/>
    </row>
    <row r="7" spans="1:10" s="891" customFormat="1" ht="67.2" customHeight="1">
      <c r="A7" s="1145"/>
      <c r="B7" s="1559" t="s">
        <v>891</v>
      </c>
      <c r="C7" s="1559"/>
      <c r="D7" s="1559" t="s">
        <v>704</v>
      </c>
      <c r="E7" s="1559"/>
      <c r="F7" s="1560" t="s">
        <v>808</v>
      </c>
      <c r="G7" s="1560"/>
      <c r="H7" s="1560"/>
      <c r="I7" s="1560"/>
      <c r="J7" s="1146"/>
    </row>
    <row r="8" spans="1:10" s="749" customFormat="1" ht="67.2" customHeight="1" thickBot="1">
      <c r="A8" s="1128"/>
      <c r="B8" s="746"/>
      <c r="C8" s="746"/>
      <c r="D8" s="885"/>
      <c r="E8" s="746"/>
      <c r="F8" s="822"/>
      <c r="G8" s="822"/>
      <c r="H8" s="746"/>
      <c r="I8" s="746"/>
      <c r="J8" s="1129"/>
    </row>
    <row r="9" spans="1:10" s="825" customFormat="1" ht="264" customHeight="1">
      <c r="A9" s="1147"/>
      <c r="B9" s="1041" t="s">
        <v>710</v>
      </c>
      <c r="C9" s="1041" t="s">
        <v>711</v>
      </c>
      <c r="D9" s="1041" t="s">
        <v>843</v>
      </c>
      <c r="E9" s="1041" t="s">
        <v>174</v>
      </c>
      <c r="F9" s="1041" t="s">
        <v>598</v>
      </c>
      <c r="G9" s="1041" t="s">
        <v>602</v>
      </c>
      <c r="H9" s="1041" t="s">
        <v>603</v>
      </c>
      <c r="I9" s="1041" t="s">
        <v>604</v>
      </c>
      <c r="J9" s="1148"/>
    </row>
    <row r="10" spans="1:10" s="828" customFormat="1" ht="99" customHeight="1">
      <c r="A10" s="1147"/>
      <c r="B10" s="826" t="s">
        <v>599</v>
      </c>
      <c r="C10" s="827"/>
      <c r="D10" s="887"/>
      <c r="E10" s="882">
        <f>E11+E24+E39+E44+E80+E88+E98</f>
        <v>1439107404525.856</v>
      </c>
      <c r="F10" s="882">
        <v>357288939954.86536</v>
      </c>
      <c r="G10" s="882">
        <v>368887198513.44519</v>
      </c>
      <c r="H10" s="882">
        <v>358363927182.24689</v>
      </c>
      <c r="I10" s="883">
        <v>354567338875.27301</v>
      </c>
      <c r="J10" s="1148"/>
    </row>
    <row r="11" spans="1:10" s="828" customFormat="1" ht="111" customHeight="1">
      <c r="A11" s="1147"/>
      <c r="B11" s="951" t="s">
        <v>627</v>
      </c>
      <c r="C11" s="952"/>
      <c r="D11" s="953"/>
      <c r="E11" s="954">
        <f>SUM(E12:E23)</f>
        <v>45558347430.304176</v>
      </c>
      <c r="F11" s="954">
        <v>7783165308.0500002</v>
      </c>
      <c r="G11" s="954">
        <v>13353706908.8939</v>
      </c>
      <c r="H11" s="954">
        <v>12933943359.26</v>
      </c>
      <c r="I11" s="979">
        <v>11487531854.074347</v>
      </c>
      <c r="J11" s="1148"/>
    </row>
    <row r="12" spans="1:10" s="831" customFormat="1" ht="147" customHeight="1">
      <c r="A12" s="1130"/>
      <c r="B12" s="1572" t="s">
        <v>123</v>
      </c>
      <c r="C12" s="1586" t="s">
        <v>124</v>
      </c>
      <c r="D12" s="945" t="s">
        <v>713</v>
      </c>
      <c r="E12" s="1598">
        <v>14020145880.990332</v>
      </c>
      <c r="F12" s="1598">
        <v>1400000000</v>
      </c>
      <c r="G12" s="1598">
        <v>4268491959.5084</v>
      </c>
      <c r="H12" s="1598">
        <v>4302969048.5600004</v>
      </c>
      <c r="I12" s="1597">
        <v>4048684872.9219317</v>
      </c>
      <c r="J12" s="1131"/>
    </row>
    <row r="13" spans="1:10" s="831" customFormat="1" ht="147" customHeight="1">
      <c r="A13" s="1130"/>
      <c r="B13" s="1573"/>
      <c r="C13" s="1587"/>
      <c r="D13" s="945" t="s">
        <v>714</v>
      </c>
      <c r="E13" s="1598"/>
      <c r="F13" s="1598"/>
      <c r="G13" s="1598"/>
      <c r="H13" s="1598"/>
      <c r="I13" s="1597"/>
      <c r="J13" s="1131"/>
    </row>
    <row r="14" spans="1:10" s="831" customFormat="1" ht="147" customHeight="1">
      <c r="A14" s="1130"/>
      <c r="B14" s="1573"/>
      <c r="C14" s="1588"/>
      <c r="D14" s="945" t="s">
        <v>715</v>
      </c>
      <c r="E14" s="1598"/>
      <c r="F14" s="1598"/>
      <c r="G14" s="1598"/>
      <c r="H14" s="1598"/>
      <c r="I14" s="1597"/>
      <c r="J14" s="1131"/>
    </row>
    <row r="15" spans="1:10" s="831" customFormat="1" ht="147" customHeight="1">
      <c r="A15" s="1130"/>
      <c r="B15" s="1573"/>
      <c r="C15" s="1586" t="s">
        <v>125</v>
      </c>
      <c r="D15" s="945" t="s">
        <v>716</v>
      </c>
      <c r="E15" s="1598">
        <v>12355353890</v>
      </c>
      <c r="F15" s="1598">
        <v>3543000000</v>
      </c>
      <c r="G15" s="1598">
        <v>3187100000</v>
      </c>
      <c r="H15" s="1598">
        <v>3027263000</v>
      </c>
      <c r="I15" s="1597">
        <v>2597990890</v>
      </c>
      <c r="J15" s="1131"/>
    </row>
    <row r="16" spans="1:10" s="831" customFormat="1" ht="147" customHeight="1">
      <c r="A16" s="1130"/>
      <c r="B16" s="1573"/>
      <c r="C16" s="1588"/>
      <c r="D16" s="945" t="s">
        <v>717</v>
      </c>
      <c r="E16" s="1598"/>
      <c r="F16" s="1598"/>
      <c r="G16" s="1598"/>
      <c r="H16" s="1598"/>
      <c r="I16" s="1597"/>
      <c r="J16" s="1131"/>
    </row>
    <row r="17" spans="1:10" s="831" customFormat="1" ht="147" customHeight="1">
      <c r="A17" s="1130"/>
      <c r="B17" s="1573"/>
      <c r="C17" s="1586" t="s">
        <v>126</v>
      </c>
      <c r="D17" s="945" t="s">
        <v>718</v>
      </c>
      <c r="E17" s="1598">
        <v>10107609410.768675</v>
      </c>
      <c r="F17" s="1598">
        <v>1400000000</v>
      </c>
      <c r="G17" s="1598">
        <v>2638868969.6313</v>
      </c>
      <c r="H17" s="1598">
        <v>3002226786.4199996</v>
      </c>
      <c r="I17" s="1597">
        <v>3066513654.6914487</v>
      </c>
      <c r="J17" s="1131"/>
    </row>
    <row r="18" spans="1:10" s="831" customFormat="1" ht="147" customHeight="1">
      <c r="A18" s="1130"/>
      <c r="B18" s="1573"/>
      <c r="C18" s="1588"/>
      <c r="D18" s="945" t="s">
        <v>719</v>
      </c>
      <c r="E18" s="1598"/>
      <c r="F18" s="1598"/>
      <c r="G18" s="1598"/>
      <c r="H18" s="1598"/>
      <c r="I18" s="1597"/>
      <c r="J18" s="1131"/>
    </row>
    <row r="19" spans="1:10" s="831" customFormat="1" ht="201" customHeight="1">
      <c r="A19" s="1130"/>
      <c r="B19" s="1573"/>
      <c r="C19" s="1586" t="s">
        <v>127</v>
      </c>
      <c r="D19" s="945" t="s">
        <v>724</v>
      </c>
      <c r="E19" s="1598">
        <v>9075238248.545166</v>
      </c>
      <c r="F19" s="1598">
        <v>1440165308.05</v>
      </c>
      <c r="G19" s="1598">
        <v>3259245979.7542</v>
      </c>
      <c r="H19" s="1598">
        <v>2601484524.2800002</v>
      </c>
      <c r="I19" s="1597">
        <v>1774342436.4609659</v>
      </c>
      <c r="J19" s="1131"/>
    </row>
    <row r="20" spans="1:10" s="831" customFormat="1" ht="207" customHeight="1">
      <c r="A20" s="1130"/>
      <c r="B20" s="1573"/>
      <c r="C20" s="1587"/>
      <c r="D20" s="945" t="s">
        <v>723</v>
      </c>
      <c r="E20" s="1598"/>
      <c r="F20" s="1598"/>
      <c r="G20" s="1598"/>
      <c r="H20" s="1598"/>
      <c r="I20" s="1597"/>
      <c r="J20" s="1131"/>
    </row>
    <row r="21" spans="1:10" s="831" customFormat="1" ht="213" customHeight="1">
      <c r="A21" s="1130"/>
      <c r="B21" s="1573"/>
      <c r="C21" s="1587"/>
      <c r="D21" s="945" t="s">
        <v>722</v>
      </c>
      <c r="E21" s="1598"/>
      <c r="F21" s="1598"/>
      <c r="G21" s="1598"/>
      <c r="H21" s="1598"/>
      <c r="I21" s="1597"/>
      <c r="J21" s="1131"/>
    </row>
    <row r="22" spans="1:10" s="831" customFormat="1" ht="198" customHeight="1">
      <c r="A22" s="1130"/>
      <c r="B22" s="1573"/>
      <c r="C22" s="1587"/>
      <c r="D22" s="945" t="s">
        <v>720</v>
      </c>
      <c r="E22" s="1598"/>
      <c r="F22" s="1598"/>
      <c r="G22" s="1598"/>
      <c r="H22" s="1598"/>
      <c r="I22" s="1597"/>
      <c r="J22" s="1131"/>
    </row>
    <row r="23" spans="1:10" s="831" customFormat="1" ht="216" customHeight="1">
      <c r="A23" s="1130"/>
      <c r="B23" s="1574"/>
      <c r="C23" s="1588"/>
      <c r="D23" s="945" t="s">
        <v>721</v>
      </c>
      <c r="E23" s="1598"/>
      <c r="F23" s="1598"/>
      <c r="G23" s="1598"/>
      <c r="H23" s="1598"/>
      <c r="I23" s="1597"/>
      <c r="J23" s="1131"/>
    </row>
    <row r="24" spans="1:10" s="833" customFormat="1" ht="147" customHeight="1">
      <c r="A24" s="1149"/>
      <c r="B24" s="990" t="s">
        <v>628</v>
      </c>
      <c r="C24" s="991"/>
      <c r="D24" s="992"/>
      <c r="E24" s="993">
        <v>46641371184.993408</v>
      </c>
      <c r="F24" s="993">
        <v>15198145273.329998</v>
      </c>
      <c r="G24" s="993">
        <v>10633371488.6481</v>
      </c>
      <c r="H24" s="993">
        <v>10332687813.540001</v>
      </c>
      <c r="I24" s="994">
        <v>10477166609.475313</v>
      </c>
      <c r="J24" s="1150"/>
    </row>
    <row r="25" spans="1:10" s="831" customFormat="1" ht="147" customHeight="1">
      <c r="A25" s="1130"/>
      <c r="B25" s="1572" t="s">
        <v>128</v>
      </c>
      <c r="C25" s="1586" t="s">
        <v>129</v>
      </c>
      <c r="D25" s="945" t="s">
        <v>725</v>
      </c>
      <c r="E25" s="1598">
        <v>15905749628.007915</v>
      </c>
      <c r="F25" s="1598">
        <v>3270000000</v>
      </c>
      <c r="G25" s="1598">
        <v>4295570249.3855</v>
      </c>
      <c r="H25" s="1598">
        <v>4144673269.7000003</v>
      </c>
      <c r="I25" s="1597">
        <v>4195506108.9224153</v>
      </c>
      <c r="J25" s="1131"/>
    </row>
    <row r="26" spans="1:10" s="831" customFormat="1" ht="147" customHeight="1">
      <c r="A26" s="1130"/>
      <c r="B26" s="1573"/>
      <c r="C26" s="1587"/>
      <c r="D26" s="945" t="s">
        <v>726</v>
      </c>
      <c r="E26" s="1598"/>
      <c r="F26" s="1598"/>
      <c r="G26" s="1598"/>
      <c r="H26" s="1598"/>
      <c r="I26" s="1597"/>
      <c r="J26" s="1131"/>
    </row>
    <row r="27" spans="1:10" s="831" customFormat="1" ht="147" customHeight="1">
      <c r="A27" s="1130"/>
      <c r="B27" s="1573"/>
      <c r="C27" s="1587"/>
      <c r="D27" s="945" t="s">
        <v>727</v>
      </c>
      <c r="E27" s="1598"/>
      <c r="F27" s="1598"/>
      <c r="G27" s="1598"/>
      <c r="H27" s="1598"/>
      <c r="I27" s="1597"/>
      <c r="J27" s="1131"/>
    </row>
    <row r="28" spans="1:10" s="831" customFormat="1" ht="147" customHeight="1">
      <c r="A28" s="1130"/>
      <c r="B28" s="1573"/>
      <c r="C28" s="1587"/>
      <c r="D28" s="945" t="s">
        <v>728</v>
      </c>
      <c r="E28" s="1598"/>
      <c r="F28" s="1598"/>
      <c r="G28" s="1598"/>
      <c r="H28" s="1598"/>
      <c r="I28" s="1597"/>
      <c r="J28" s="1131"/>
    </row>
    <row r="29" spans="1:10" s="831" customFormat="1" ht="147" customHeight="1">
      <c r="A29" s="1130"/>
      <c r="B29" s="1573"/>
      <c r="C29" s="1587"/>
      <c r="D29" s="945" t="s">
        <v>729</v>
      </c>
      <c r="E29" s="1598"/>
      <c r="F29" s="1598"/>
      <c r="G29" s="1598"/>
      <c r="H29" s="1598"/>
      <c r="I29" s="1597"/>
      <c r="J29" s="1131"/>
    </row>
    <row r="30" spans="1:10" s="831" customFormat="1" ht="147" customHeight="1">
      <c r="A30" s="1130"/>
      <c r="B30" s="1573"/>
      <c r="C30" s="1588"/>
      <c r="D30" s="945" t="s">
        <v>730</v>
      </c>
      <c r="E30" s="1598"/>
      <c r="F30" s="1598"/>
      <c r="G30" s="1598"/>
      <c r="H30" s="1598"/>
      <c r="I30" s="1597"/>
      <c r="J30" s="1131"/>
    </row>
    <row r="31" spans="1:10" s="831" customFormat="1" ht="147" customHeight="1">
      <c r="A31" s="1130"/>
      <c r="B31" s="1573"/>
      <c r="C31" s="1586" t="s">
        <v>130</v>
      </c>
      <c r="D31" s="945" t="s">
        <v>731</v>
      </c>
      <c r="E31" s="1581">
        <v>11314374316.13275</v>
      </c>
      <c r="F31" s="1581">
        <v>2444450000</v>
      </c>
      <c r="G31" s="1581">
        <v>3000510069.6313</v>
      </c>
      <c r="H31" s="1581">
        <v>2915961043.4200001</v>
      </c>
      <c r="I31" s="1578">
        <v>2953453203.0814486</v>
      </c>
      <c r="J31" s="1131"/>
    </row>
    <row r="32" spans="1:10" s="831" customFormat="1" ht="147" customHeight="1">
      <c r="A32" s="1130"/>
      <c r="B32" s="1573"/>
      <c r="C32" s="1587"/>
      <c r="D32" s="945" t="s">
        <v>732</v>
      </c>
      <c r="E32" s="1582"/>
      <c r="F32" s="1582"/>
      <c r="G32" s="1582"/>
      <c r="H32" s="1582"/>
      <c r="I32" s="1579"/>
      <c r="J32" s="1131"/>
    </row>
    <row r="33" spans="1:10" s="831" customFormat="1" ht="147" customHeight="1">
      <c r="A33" s="1130"/>
      <c r="B33" s="1573"/>
      <c r="C33" s="1587"/>
      <c r="D33" s="945" t="s">
        <v>733</v>
      </c>
      <c r="E33" s="1582"/>
      <c r="F33" s="1582"/>
      <c r="G33" s="1582"/>
      <c r="H33" s="1582"/>
      <c r="I33" s="1579"/>
      <c r="J33" s="1131"/>
    </row>
    <row r="34" spans="1:10" s="831" customFormat="1" ht="147" customHeight="1">
      <c r="A34" s="1130"/>
      <c r="B34" s="1573"/>
      <c r="C34" s="1587"/>
      <c r="D34" s="945" t="s">
        <v>734</v>
      </c>
      <c r="E34" s="1582"/>
      <c r="F34" s="1582"/>
      <c r="G34" s="1582"/>
      <c r="H34" s="1582"/>
      <c r="I34" s="1579"/>
      <c r="J34" s="1131"/>
    </row>
    <row r="35" spans="1:10" s="831" customFormat="1" ht="147" customHeight="1">
      <c r="A35" s="1130"/>
      <c r="B35" s="1573"/>
      <c r="C35" s="1588"/>
      <c r="D35" s="945" t="s">
        <v>735</v>
      </c>
      <c r="E35" s="1585"/>
      <c r="F35" s="1585"/>
      <c r="G35" s="1585"/>
      <c r="H35" s="1585"/>
      <c r="I35" s="1584"/>
      <c r="J35" s="1131"/>
    </row>
    <row r="36" spans="1:10" s="831" customFormat="1" ht="147" customHeight="1">
      <c r="A36" s="1130"/>
      <c r="B36" s="1573"/>
      <c r="C36" s="1586" t="s">
        <v>131</v>
      </c>
      <c r="D36" s="945" t="s">
        <v>736</v>
      </c>
      <c r="E36" s="1598">
        <v>19421247240.852749</v>
      </c>
      <c r="F36" s="1598">
        <v>9483695273.329998</v>
      </c>
      <c r="G36" s="1598">
        <v>3337291169.6313</v>
      </c>
      <c r="H36" s="1598">
        <v>3272053500.4200001</v>
      </c>
      <c r="I36" s="1597">
        <v>3328207297.4714489</v>
      </c>
      <c r="J36" s="1131"/>
    </row>
    <row r="37" spans="1:10" s="831" customFormat="1" ht="147" customHeight="1">
      <c r="A37" s="1130"/>
      <c r="B37" s="1573"/>
      <c r="C37" s="1587"/>
      <c r="D37" s="945" t="s">
        <v>737</v>
      </c>
      <c r="E37" s="1598"/>
      <c r="F37" s="1598"/>
      <c r="G37" s="1598"/>
      <c r="H37" s="1598"/>
      <c r="I37" s="1597"/>
      <c r="J37" s="1131"/>
    </row>
    <row r="38" spans="1:10" s="831" customFormat="1" ht="147" customHeight="1">
      <c r="A38" s="1130"/>
      <c r="B38" s="1574"/>
      <c r="C38" s="1588"/>
      <c r="D38" s="945" t="s">
        <v>738</v>
      </c>
      <c r="E38" s="1598"/>
      <c r="F38" s="1598"/>
      <c r="G38" s="1598"/>
      <c r="H38" s="1598"/>
      <c r="I38" s="1597"/>
      <c r="J38" s="1131"/>
    </row>
    <row r="39" spans="1:10" s="833" customFormat="1" ht="147" customHeight="1">
      <c r="A39" s="1149"/>
      <c r="B39" s="959" t="s">
        <v>629</v>
      </c>
      <c r="C39" s="960"/>
      <c r="D39" s="961"/>
      <c r="E39" s="962">
        <v>197915753704.06253</v>
      </c>
      <c r="F39" s="962">
        <v>56049851816.295715</v>
      </c>
      <c r="G39" s="962">
        <v>53120455174.256996</v>
      </c>
      <c r="H39" s="962">
        <v>46054930820.719994</v>
      </c>
      <c r="I39" s="981">
        <v>42690515892.789833</v>
      </c>
      <c r="J39" s="1150"/>
    </row>
    <row r="40" spans="1:10" s="833" customFormat="1" ht="169.5" customHeight="1">
      <c r="A40" s="1149"/>
      <c r="B40" s="1572" t="s">
        <v>132</v>
      </c>
      <c r="C40" s="1586" t="s">
        <v>133</v>
      </c>
      <c r="D40" s="945" t="s">
        <v>739</v>
      </c>
      <c r="E40" s="1581">
        <v>197915753704.06253</v>
      </c>
      <c r="F40" s="1581">
        <v>56049851816.295715</v>
      </c>
      <c r="G40" s="1581">
        <v>53120455174.256996</v>
      </c>
      <c r="H40" s="1581">
        <v>46054930820.719994</v>
      </c>
      <c r="I40" s="1578">
        <v>42690515892.789833</v>
      </c>
      <c r="J40" s="1150"/>
    </row>
    <row r="41" spans="1:10" s="833" customFormat="1" ht="147" customHeight="1">
      <c r="A41" s="1149"/>
      <c r="B41" s="1573"/>
      <c r="C41" s="1587"/>
      <c r="D41" s="945" t="s">
        <v>740</v>
      </c>
      <c r="E41" s="1582"/>
      <c r="F41" s="1582"/>
      <c r="G41" s="1582"/>
      <c r="H41" s="1582"/>
      <c r="I41" s="1579"/>
      <c r="J41" s="1150"/>
    </row>
    <row r="42" spans="1:10" s="833" customFormat="1" ht="147" customHeight="1">
      <c r="A42" s="1149"/>
      <c r="B42" s="1573"/>
      <c r="C42" s="1587"/>
      <c r="D42" s="945" t="s">
        <v>741</v>
      </c>
      <c r="E42" s="1582"/>
      <c r="F42" s="1582"/>
      <c r="G42" s="1582"/>
      <c r="H42" s="1582"/>
      <c r="I42" s="1579"/>
      <c r="J42" s="1150"/>
    </row>
    <row r="43" spans="1:10" s="833" customFormat="1" ht="171" customHeight="1">
      <c r="A43" s="1149"/>
      <c r="B43" s="1574"/>
      <c r="C43" s="1588"/>
      <c r="D43" s="945" t="s">
        <v>742</v>
      </c>
      <c r="E43" s="1585"/>
      <c r="F43" s="1585"/>
      <c r="G43" s="1585"/>
      <c r="H43" s="1585"/>
      <c r="I43" s="1584"/>
      <c r="J43" s="1150"/>
    </row>
    <row r="44" spans="1:10" s="833" customFormat="1" ht="147" customHeight="1">
      <c r="A44" s="1149"/>
      <c r="B44" s="963" t="s">
        <v>630</v>
      </c>
      <c r="C44" s="964"/>
      <c r="D44" s="965"/>
      <c r="E44" s="966">
        <v>1039229095729.1722</v>
      </c>
      <c r="F44" s="966">
        <v>252571483407.18961</v>
      </c>
      <c r="G44" s="966">
        <v>262629497376.49744</v>
      </c>
      <c r="H44" s="966">
        <v>261233709313.07892</v>
      </c>
      <c r="I44" s="982">
        <v>262794405632.40631</v>
      </c>
      <c r="J44" s="1150"/>
    </row>
    <row r="45" spans="1:10" s="831" customFormat="1" ht="147" customHeight="1">
      <c r="A45" s="1130"/>
      <c r="B45" s="1572" t="s">
        <v>134</v>
      </c>
      <c r="C45" s="1586" t="s">
        <v>135</v>
      </c>
      <c r="D45" s="946" t="s">
        <v>743</v>
      </c>
      <c r="E45" s="1594">
        <v>912155869964.03174</v>
      </c>
      <c r="F45" s="1594">
        <v>228869599232.73999</v>
      </c>
      <c r="G45" s="1594">
        <v>227315004265.57428</v>
      </c>
      <c r="H45" s="1594">
        <v>227298794645.57886</v>
      </c>
      <c r="I45" s="1591">
        <v>228672471820.13852</v>
      </c>
      <c r="J45" s="1131"/>
    </row>
    <row r="46" spans="1:10" s="831" customFormat="1" ht="147" customHeight="1">
      <c r="A46" s="1130"/>
      <c r="B46" s="1573"/>
      <c r="C46" s="1588"/>
      <c r="D46" s="947" t="s">
        <v>744</v>
      </c>
      <c r="E46" s="1596"/>
      <c r="F46" s="1596"/>
      <c r="G46" s="1596"/>
      <c r="H46" s="1596"/>
      <c r="I46" s="1593"/>
      <c r="J46" s="1131"/>
    </row>
    <row r="47" spans="1:10" s="831" customFormat="1" ht="147" customHeight="1">
      <c r="A47" s="1130"/>
      <c r="B47" s="1573"/>
      <c r="C47" s="1586" t="s">
        <v>136</v>
      </c>
      <c r="D47" s="945" t="s">
        <v>745</v>
      </c>
      <c r="E47" s="1598">
        <v>10926976613.242748</v>
      </c>
      <c r="F47" s="1598">
        <v>1858500000</v>
      </c>
      <c r="G47" s="1598">
        <v>3117123969.6313</v>
      </c>
      <c r="H47" s="1598">
        <v>2980303536.4200001</v>
      </c>
      <c r="I47" s="1597">
        <v>2971049107.1914487</v>
      </c>
      <c r="J47" s="1131"/>
    </row>
    <row r="48" spans="1:10" s="831" customFormat="1" ht="147" customHeight="1">
      <c r="A48" s="1130"/>
      <c r="B48" s="1573"/>
      <c r="C48" s="1588"/>
      <c r="D48" s="945" t="s">
        <v>746</v>
      </c>
      <c r="E48" s="1598"/>
      <c r="F48" s="1598"/>
      <c r="G48" s="1598"/>
      <c r="H48" s="1598"/>
      <c r="I48" s="1597"/>
      <c r="J48" s="1131"/>
    </row>
    <row r="49" spans="1:10" s="831" customFormat="1" ht="147" customHeight="1">
      <c r="A49" s="1130"/>
      <c r="B49" s="1573"/>
      <c r="C49" s="1586" t="s">
        <v>137</v>
      </c>
      <c r="D49" s="945" t="s">
        <v>747</v>
      </c>
      <c r="E49" s="1581">
        <v>8717609410.7427483</v>
      </c>
      <c r="F49" s="1581">
        <v>1390000000</v>
      </c>
      <c r="G49" s="1581">
        <v>2488868969.6313</v>
      </c>
      <c r="H49" s="1581">
        <v>2402226786.4199996</v>
      </c>
      <c r="I49" s="1578">
        <v>2436513654.6914487</v>
      </c>
      <c r="J49" s="1131"/>
    </row>
    <row r="50" spans="1:10" s="831" customFormat="1" ht="147" customHeight="1">
      <c r="A50" s="1130"/>
      <c r="B50" s="1573"/>
      <c r="C50" s="1588"/>
      <c r="D50" s="945" t="s">
        <v>748</v>
      </c>
      <c r="E50" s="1585"/>
      <c r="F50" s="1585"/>
      <c r="G50" s="1585"/>
      <c r="H50" s="1585"/>
      <c r="I50" s="1584"/>
      <c r="J50" s="1131"/>
    </row>
    <row r="51" spans="1:10" s="831" customFormat="1" ht="147" customHeight="1">
      <c r="A51" s="1130"/>
      <c r="B51" s="1573"/>
      <c r="C51" s="1153" t="s">
        <v>138</v>
      </c>
      <c r="D51" s="945" t="s">
        <v>749</v>
      </c>
      <c r="E51" s="1033">
        <v>2842536470.2475829</v>
      </c>
      <c r="F51" s="1033">
        <v>400000000</v>
      </c>
      <c r="G51" s="1033">
        <v>829622989.87709999</v>
      </c>
      <c r="H51" s="1033">
        <v>800742262.13999999</v>
      </c>
      <c r="I51" s="1032">
        <v>812171218.23048294</v>
      </c>
      <c r="J51" s="1131"/>
    </row>
    <row r="52" spans="1:10" s="831" customFormat="1" ht="147" customHeight="1">
      <c r="A52" s="1130"/>
      <c r="B52" s="1573"/>
      <c r="C52" s="1586" t="s">
        <v>139</v>
      </c>
      <c r="D52" s="945" t="s">
        <v>750</v>
      </c>
      <c r="E52" s="1594">
        <v>5335072940.4951658</v>
      </c>
      <c r="F52" s="1594">
        <v>450000000</v>
      </c>
      <c r="G52" s="1594">
        <v>1659245979.7542</v>
      </c>
      <c r="H52" s="1594">
        <v>1601484524.28</v>
      </c>
      <c r="I52" s="1591">
        <v>1624342436.4609659</v>
      </c>
      <c r="J52" s="1131"/>
    </row>
    <row r="53" spans="1:10" s="831" customFormat="1" ht="147" customHeight="1">
      <c r="A53" s="1130"/>
      <c r="B53" s="1573"/>
      <c r="C53" s="1588"/>
      <c r="D53" s="945" t="s">
        <v>751</v>
      </c>
      <c r="E53" s="1596"/>
      <c r="F53" s="1596"/>
      <c r="G53" s="1596"/>
      <c r="H53" s="1596"/>
      <c r="I53" s="1593"/>
      <c r="J53" s="1131"/>
    </row>
    <row r="54" spans="1:10" s="831" customFormat="1" ht="147" customHeight="1">
      <c r="A54" s="1130"/>
      <c r="B54" s="1573"/>
      <c r="C54" s="1153" t="s">
        <v>140</v>
      </c>
      <c r="D54" s="945" t="s">
        <v>752</v>
      </c>
      <c r="E54" s="1033">
        <v>2832536470.2475829</v>
      </c>
      <c r="F54" s="1033">
        <v>390000000</v>
      </c>
      <c r="G54" s="1033">
        <v>829622989.87709999</v>
      </c>
      <c r="H54" s="1033">
        <v>800742262.13999999</v>
      </c>
      <c r="I54" s="1032">
        <v>812171218.23048294</v>
      </c>
      <c r="J54" s="1131"/>
    </row>
    <row r="55" spans="1:10" s="831" customFormat="1" ht="147" customHeight="1">
      <c r="A55" s="1130"/>
      <c r="B55" s="1573"/>
      <c r="C55" s="1153" t="s">
        <v>141</v>
      </c>
      <c r="D55" s="945" t="s">
        <v>753</v>
      </c>
      <c r="E55" s="1033">
        <v>5175072940.4951658</v>
      </c>
      <c r="F55" s="1033">
        <v>290000000</v>
      </c>
      <c r="G55" s="1033">
        <v>1659245979.7542</v>
      </c>
      <c r="H55" s="1033">
        <v>1601484524.28</v>
      </c>
      <c r="I55" s="1032">
        <v>1624342436.4609659</v>
      </c>
      <c r="J55" s="1131"/>
    </row>
    <row r="56" spans="1:10" s="831" customFormat="1" ht="147" customHeight="1">
      <c r="A56" s="1130"/>
      <c r="B56" s="1573"/>
      <c r="C56" s="1153" t="s">
        <v>142</v>
      </c>
      <c r="D56" s="945" t="s">
        <v>754</v>
      </c>
      <c r="E56" s="1033">
        <v>8716209010.2475834</v>
      </c>
      <c r="F56" s="1033">
        <v>1820000000</v>
      </c>
      <c r="G56" s="1033">
        <v>2470222989.8771</v>
      </c>
      <c r="H56" s="1033">
        <v>2279960262.1400003</v>
      </c>
      <c r="I56" s="1032">
        <v>2146025758.2304831</v>
      </c>
      <c r="J56" s="1131"/>
    </row>
    <row r="57" spans="1:10" s="831" customFormat="1" ht="147" customHeight="1">
      <c r="A57" s="1130"/>
      <c r="B57" s="1573"/>
      <c r="C57" s="1586" t="s">
        <v>143</v>
      </c>
      <c r="D57" s="945" t="s">
        <v>755</v>
      </c>
      <c r="E57" s="1581">
        <v>10730000000.001375</v>
      </c>
      <c r="F57" s="1581">
        <v>1780000000.0000002</v>
      </c>
      <c r="G57" s="1581">
        <v>3049999999.9956503</v>
      </c>
      <c r="H57" s="1581">
        <v>2899999999.9999995</v>
      </c>
      <c r="I57" s="1578">
        <v>3000000000.0057244</v>
      </c>
      <c r="J57" s="1131"/>
    </row>
    <row r="58" spans="1:10" s="831" customFormat="1" ht="147" customHeight="1">
      <c r="A58" s="1130"/>
      <c r="B58" s="1573"/>
      <c r="C58" s="1587"/>
      <c r="D58" s="945" t="s">
        <v>756</v>
      </c>
      <c r="E58" s="1582"/>
      <c r="F58" s="1582"/>
      <c r="G58" s="1582"/>
      <c r="H58" s="1582"/>
      <c r="I58" s="1579"/>
      <c r="J58" s="1131"/>
    </row>
    <row r="59" spans="1:10" s="831" customFormat="1" ht="147" customHeight="1">
      <c r="A59" s="1130"/>
      <c r="B59" s="1573"/>
      <c r="C59" s="1587"/>
      <c r="D59" s="945" t="s">
        <v>757</v>
      </c>
      <c r="E59" s="1582"/>
      <c r="F59" s="1582"/>
      <c r="G59" s="1582"/>
      <c r="H59" s="1582"/>
      <c r="I59" s="1579"/>
      <c r="J59" s="1131"/>
    </row>
    <row r="60" spans="1:10" s="831" customFormat="1" ht="147" customHeight="1">
      <c r="A60" s="1130"/>
      <c r="B60" s="1573"/>
      <c r="C60" s="1587"/>
      <c r="D60" s="945" t="s">
        <v>758</v>
      </c>
      <c r="E60" s="1582"/>
      <c r="F60" s="1582"/>
      <c r="G60" s="1582"/>
      <c r="H60" s="1582"/>
      <c r="I60" s="1579"/>
      <c r="J60" s="1131"/>
    </row>
    <row r="61" spans="1:10" s="831" customFormat="1" ht="147" customHeight="1">
      <c r="A61" s="1130"/>
      <c r="B61" s="1573"/>
      <c r="C61" s="1587"/>
      <c r="D61" s="945" t="s">
        <v>759</v>
      </c>
      <c r="E61" s="1582"/>
      <c r="F61" s="1582"/>
      <c r="G61" s="1582"/>
      <c r="H61" s="1582"/>
      <c r="I61" s="1579"/>
      <c r="J61" s="1131"/>
    </row>
    <row r="62" spans="1:10" s="831" customFormat="1" ht="147" customHeight="1">
      <c r="A62" s="1130"/>
      <c r="B62" s="1573"/>
      <c r="C62" s="1587"/>
      <c r="D62" s="945" t="s">
        <v>760</v>
      </c>
      <c r="E62" s="1582"/>
      <c r="F62" s="1582"/>
      <c r="G62" s="1582"/>
      <c r="H62" s="1582"/>
      <c r="I62" s="1579"/>
      <c r="J62" s="1131"/>
    </row>
    <row r="63" spans="1:10" s="831" customFormat="1" ht="147" customHeight="1">
      <c r="A63" s="1130"/>
      <c r="B63" s="1573"/>
      <c r="C63" s="1587"/>
      <c r="D63" s="945" t="s">
        <v>761</v>
      </c>
      <c r="E63" s="1582"/>
      <c r="F63" s="1582"/>
      <c r="G63" s="1582"/>
      <c r="H63" s="1582"/>
      <c r="I63" s="1579"/>
      <c r="J63" s="1131"/>
    </row>
    <row r="64" spans="1:10" s="831" customFormat="1" ht="147" customHeight="1">
      <c r="A64" s="1130"/>
      <c r="B64" s="1573"/>
      <c r="C64" s="1587"/>
      <c r="D64" s="945" t="s">
        <v>762</v>
      </c>
      <c r="E64" s="1582"/>
      <c r="F64" s="1582"/>
      <c r="G64" s="1582"/>
      <c r="H64" s="1582"/>
      <c r="I64" s="1579"/>
      <c r="J64" s="1131"/>
    </row>
    <row r="65" spans="1:10" s="831" customFormat="1" ht="189" customHeight="1">
      <c r="A65" s="1130"/>
      <c r="B65" s="1573"/>
      <c r="C65" s="1588"/>
      <c r="D65" s="945" t="s">
        <v>763</v>
      </c>
      <c r="E65" s="1585"/>
      <c r="F65" s="1585"/>
      <c r="G65" s="1585"/>
      <c r="H65" s="1585"/>
      <c r="I65" s="1584"/>
      <c r="J65" s="1131"/>
    </row>
    <row r="66" spans="1:10" s="831" customFormat="1" ht="147" customHeight="1">
      <c r="A66" s="1130"/>
      <c r="B66" s="1573"/>
      <c r="C66" s="1586" t="s">
        <v>144</v>
      </c>
      <c r="D66" s="945" t="s">
        <v>764</v>
      </c>
      <c r="E66" s="1594">
        <v>32888488449.944767</v>
      </c>
      <c r="F66" s="1594">
        <v>6840025417.4496002</v>
      </c>
      <c r="G66" s="1594">
        <v>8914309343.7542</v>
      </c>
      <c r="H66" s="1594">
        <v>8560547888.2799997</v>
      </c>
      <c r="I66" s="1591">
        <v>8573605800.4609652</v>
      </c>
      <c r="J66" s="1131"/>
    </row>
    <row r="67" spans="1:10" s="831" customFormat="1" ht="147" customHeight="1">
      <c r="A67" s="1130"/>
      <c r="B67" s="1573"/>
      <c r="C67" s="1587"/>
      <c r="D67" s="945" t="s">
        <v>765</v>
      </c>
      <c r="E67" s="1595"/>
      <c r="F67" s="1595"/>
      <c r="G67" s="1595"/>
      <c r="H67" s="1595"/>
      <c r="I67" s="1592"/>
      <c r="J67" s="1131"/>
    </row>
    <row r="68" spans="1:10" s="831" customFormat="1" ht="147" customHeight="1">
      <c r="A68" s="1130"/>
      <c r="B68" s="1573"/>
      <c r="C68" s="1587"/>
      <c r="D68" s="945" t="s">
        <v>766</v>
      </c>
      <c r="E68" s="1595"/>
      <c r="F68" s="1595"/>
      <c r="G68" s="1595"/>
      <c r="H68" s="1595"/>
      <c r="I68" s="1592"/>
      <c r="J68" s="1131"/>
    </row>
    <row r="69" spans="1:10" s="831" customFormat="1" ht="147" customHeight="1">
      <c r="A69" s="1130"/>
      <c r="B69" s="1573"/>
      <c r="C69" s="1587"/>
      <c r="D69" s="945" t="s">
        <v>767</v>
      </c>
      <c r="E69" s="1595"/>
      <c r="F69" s="1595"/>
      <c r="G69" s="1595"/>
      <c r="H69" s="1595"/>
      <c r="I69" s="1592"/>
      <c r="J69" s="1131"/>
    </row>
    <row r="70" spans="1:10" s="831" customFormat="1" ht="147" customHeight="1">
      <c r="A70" s="1130"/>
      <c r="B70" s="1573"/>
      <c r="C70" s="1587"/>
      <c r="D70" s="945" t="s">
        <v>768</v>
      </c>
      <c r="E70" s="1595"/>
      <c r="F70" s="1595"/>
      <c r="G70" s="1595"/>
      <c r="H70" s="1595"/>
      <c r="I70" s="1592"/>
      <c r="J70" s="1131"/>
    </row>
    <row r="71" spans="1:10" s="831" customFormat="1" ht="147" customHeight="1">
      <c r="A71" s="1130"/>
      <c r="B71" s="1573"/>
      <c r="C71" s="1587"/>
      <c r="D71" s="945" t="s">
        <v>769</v>
      </c>
      <c r="E71" s="1595"/>
      <c r="F71" s="1595"/>
      <c r="G71" s="1595"/>
      <c r="H71" s="1595"/>
      <c r="I71" s="1592"/>
      <c r="J71" s="1131"/>
    </row>
    <row r="72" spans="1:10" s="831" customFormat="1" ht="147" customHeight="1">
      <c r="A72" s="1130"/>
      <c r="B72" s="1573"/>
      <c r="C72" s="1587"/>
      <c r="D72" s="945" t="s">
        <v>770</v>
      </c>
      <c r="E72" s="1595"/>
      <c r="F72" s="1595"/>
      <c r="G72" s="1595"/>
      <c r="H72" s="1595"/>
      <c r="I72" s="1592"/>
      <c r="J72" s="1131"/>
    </row>
    <row r="73" spans="1:10" s="831" customFormat="1" ht="147" customHeight="1">
      <c r="A73" s="1130"/>
      <c r="B73" s="1573"/>
      <c r="C73" s="1587"/>
      <c r="D73" s="945" t="s">
        <v>771</v>
      </c>
      <c r="E73" s="1595"/>
      <c r="F73" s="1595"/>
      <c r="G73" s="1595"/>
      <c r="H73" s="1595"/>
      <c r="I73" s="1592"/>
      <c r="J73" s="1131"/>
    </row>
    <row r="74" spans="1:10" s="831" customFormat="1" ht="147" customHeight="1">
      <c r="A74" s="1130"/>
      <c r="B74" s="1573"/>
      <c r="C74" s="1587"/>
      <c r="D74" s="945" t="s">
        <v>772</v>
      </c>
      <c r="E74" s="1595"/>
      <c r="F74" s="1595"/>
      <c r="G74" s="1595"/>
      <c r="H74" s="1595"/>
      <c r="I74" s="1592"/>
      <c r="J74" s="1131"/>
    </row>
    <row r="75" spans="1:10" s="831" customFormat="1" ht="147" customHeight="1">
      <c r="A75" s="1130"/>
      <c r="B75" s="1573"/>
      <c r="C75" s="1587"/>
      <c r="D75" s="945" t="s">
        <v>773</v>
      </c>
      <c r="E75" s="1595"/>
      <c r="F75" s="1595"/>
      <c r="G75" s="1595"/>
      <c r="H75" s="1595"/>
      <c r="I75" s="1592"/>
      <c r="J75" s="1131"/>
    </row>
    <row r="76" spans="1:10" s="831" customFormat="1" ht="147" customHeight="1">
      <c r="A76" s="1130"/>
      <c r="B76" s="1573"/>
      <c r="C76" s="1587"/>
      <c r="D76" s="945" t="s">
        <v>774</v>
      </c>
      <c r="E76" s="1595"/>
      <c r="F76" s="1595"/>
      <c r="G76" s="1595"/>
      <c r="H76" s="1595"/>
      <c r="I76" s="1592"/>
      <c r="J76" s="1131"/>
    </row>
    <row r="77" spans="1:10" s="831" customFormat="1" ht="147" customHeight="1">
      <c r="A77" s="1130"/>
      <c r="B77" s="1573"/>
      <c r="C77" s="1588"/>
      <c r="D77" s="945" t="s">
        <v>775</v>
      </c>
      <c r="E77" s="1596"/>
      <c r="F77" s="1596"/>
      <c r="G77" s="1596"/>
      <c r="H77" s="1596"/>
      <c r="I77" s="1593"/>
      <c r="J77" s="1131"/>
    </row>
    <row r="78" spans="1:10" s="831" customFormat="1" ht="147" customHeight="1">
      <c r="A78" s="1130"/>
      <c r="B78" s="1573"/>
      <c r="C78" s="1153" t="s">
        <v>145</v>
      </c>
      <c r="D78" s="945" t="s">
        <v>776</v>
      </c>
      <c r="E78" s="1033">
        <v>9168431697.4951668</v>
      </c>
      <c r="F78" s="1033">
        <v>1283358757</v>
      </c>
      <c r="G78" s="1033">
        <v>2659245979.7542</v>
      </c>
      <c r="H78" s="1033">
        <v>2601484524.2800002</v>
      </c>
      <c r="I78" s="1032">
        <v>2624342436.4609661</v>
      </c>
      <c r="J78" s="1131"/>
    </row>
    <row r="79" spans="1:10" s="831" customFormat="1" ht="147" customHeight="1">
      <c r="A79" s="1130"/>
      <c r="B79" s="1574"/>
      <c r="C79" s="1153" t="s">
        <v>146</v>
      </c>
      <c r="D79" s="945" t="s">
        <v>777</v>
      </c>
      <c r="E79" s="1033">
        <v>29740291761.980663</v>
      </c>
      <c r="F79" s="1033">
        <v>7200000000</v>
      </c>
      <c r="G79" s="1033">
        <v>7636983919.0167999</v>
      </c>
      <c r="H79" s="1033">
        <v>7405938097.1199999</v>
      </c>
      <c r="I79" s="1032">
        <v>7497369745.8438635</v>
      </c>
      <c r="J79" s="1131"/>
    </row>
    <row r="80" spans="1:10" s="833" customFormat="1" ht="147" customHeight="1">
      <c r="A80" s="1149"/>
      <c r="B80" s="967" t="s">
        <v>631</v>
      </c>
      <c r="C80" s="968"/>
      <c r="D80" s="969"/>
      <c r="E80" s="970">
        <v>68096371395.763268</v>
      </c>
      <c r="F80" s="970">
        <v>16805250000</v>
      </c>
      <c r="G80" s="970">
        <v>17291589446.13192</v>
      </c>
      <c r="H80" s="970">
        <v>16888703984.528002</v>
      </c>
      <c r="I80" s="983">
        <v>17110827965.103342</v>
      </c>
      <c r="J80" s="1150"/>
    </row>
    <row r="81" spans="1:10" s="831" customFormat="1" ht="210" customHeight="1">
      <c r="A81" s="1130"/>
      <c r="B81" s="1572" t="s">
        <v>147</v>
      </c>
      <c r="C81" s="1586" t="s">
        <v>148</v>
      </c>
      <c r="D81" s="945" t="s">
        <v>778</v>
      </c>
      <c r="E81" s="1581">
        <v>39702539573.725838</v>
      </c>
      <c r="F81" s="1581">
        <v>12000000000</v>
      </c>
      <c r="G81" s="1581">
        <v>9366392398.7709999</v>
      </c>
      <c r="H81" s="1581">
        <v>9098409996.4000015</v>
      </c>
      <c r="I81" s="1578">
        <v>9237737178.5548286</v>
      </c>
      <c r="J81" s="1131"/>
    </row>
    <row r="82" spans="1:10" s="831" customFormat="1" ht="195" customHeight="1">
      <c r="A82" s="1130"/>
      <c r="B82" s="1573"/>
      <c r="C82" s="1588"/>
      <c r="D82" s="945" t="s">
        <v>779</v>
      </c>
      <c r="E82" s="1585"/>
      <c r="F82" s="1585"/>
      <c r="G82" s="1585"/>
      <c r="H82" s="1585"/>
      <c r="I82" s="1584"/>
      <c r="J82" s="1131"/>
    </row>
    <row r="83" spans="1:10" s="831" customFormat="1" ht="198" customHeight="1">
      <c r="A83" s="1130"/>
      <c r="B83" s="1573"/>
      <c r="C83" s="1153" t="s">
        <v>149</v>
      </c>
      <c r="D83" s="945" t="s">
        <v>780</v>
      </c>
      <c r="E83" s="1033">
        <v>13218924041.75</v>
      </c>
      <c r="F83" s="1033">
        <v>3252250000</v>
      </c>
      <c r="G83" s="1033">
        <v>3282807500</v>
      </c>
      <c r="H83" s="1033">
        <v>3320329725</v>
      </c>
      <c r="I83" s="1032">
        <v>3363536816.75</v>
      </c>
      <c r="J83" s="1131"/>
    </row>
    <row r="84" spans="1:10" s="831" customFormat="1" ht="195" customHeight="1">
      <c r="A84" s="1130"/>
      <c r="B84" s="1573"/>
      <c r="C84" s="1586" t="s">
        <v>150</v>
      </c>
      <c r="D84" s="945" t="s">
        <v>781</v>
      </c>
      <c r="E84" s="1581">
        <v>6847298369.5446825</v>
      </c>
      <c r="F84" s="1581">
        <v>553000000</v>
      </c>
      <c r="G84" s="1581">
        <v>2153520577.72962</v>
      </c>
      <c r="H84" s="1581">
        <v>2067737476.7079997</v>
      </c>
      <c r="I84" s="1578">
        <v>2073040315.1070626</v>
      </c>
      <c r="J84" s="1131"/>
    </row>
    <row r="85" spans="1:10" s="831" customFormat="1" ht="183" customHeight="1">
      <c r="A85" s="1130"/>
      <c r="B85" s="1573"/>
      <c r="C85" s="1588"/>
      <c r="D85" s="945" t="s">
        <v>782</v>
      </c>
      <c r="E85" s="1585"/>
      <c r="F85" s="1585"/>
      <c r="G85" s="1585"/>
      <c r="H85" s="1585"/>
      <c r="I85" s="1584"/>
      <c r="J85" s="1131"/>
    </row>
    <row r="86" spans="1:10" s="831" customFormat="1" ht="213" customHeight="1">
      <c r="A86" s="1130"/>
      <c r="B86" s="1573"/>
      <c r="C86" s="1586" t="s">
        <v>151</v>
      </c>
      <c r="D86" s="945" t="s">
        <v>783</v>
      </c>
      <c r="E86" s="1581">
        <v>8327609410.7427483</v>
      </c>
      <c r="F86" s="1581">
        <v>1000000000</v>
      </c>
      <c r="G86" s="1581">
        <v>2488868969.6313</v>
      </c>
      <c r="H86" s="1581">
        <v>2402226786.4199996</v>
      </c>
      <c r="I86" s="1578">
        <v>2436513654.6914487</v>
      </c>
      <c r="J86" s="1131"/>
    </row>
    <row r="87" spans="1:10" s="831" customFormat="1" ht="204" customHeight="1">
      <c r="A87" s="1130"/>
      <c r="B87" s="1574"/>
      <c r="C87" s="1588"/>
      <c r="D87" s="945" t="s">
        <v>784</v>
      </c>
      <c r="E87" s="1585"/>
      <c r="F87" s="1585"/>
      <c r="G87" s="1585"/>
      <c r="H87" s="1585"/>
      <c r="I87" s="1584"/>
      <c r="J87" s="1131"/>
    </row>
    <row r="88" spans="1:10" s="833" customFormat="1" ht="147" customHeight="1">
      <c r="A88" s="1149"/>
      <c r="B88" s="971" t="s">
        <v>632</v>
      </c>
      <c r="C88" s="972"/>
      <c r="D88" s="973"/>
      <c r="E88" s="974">
        <v>28628134181.49033</v>
      </c>
      <c r="F88" s="974">
        <v>6230000000</v>
      </c>
      <c r="G88" s="974">
        <v>8341836959.5084</v>
      </c>
      <c r="H88" s="974">
        <v>7511282398.5599995</v>
      </c>
      <c r="I88" s="984">
        <v>6545014823.4219322</v>
      </c>
      <c r="J88" s="1150"/>
    </row>
    <row r="89" spans="1:10" s="831" customFormat="1" ht="147" customHeight="1">
      <c r="A89" s="1130"/>
      <c r="B89" s="1572" t="s">
        <v>152</v>
      </c>
      <c r="C89" s="1586" t="s">
        <v>153</v>
      </c>
      <c r="D89" s="945" t="s">
        <v>785</v>
      </c>
      <c r="E89" s="1581">
        <v>8066544851.2427483</v>
      </c>
      <c r="F89" s="1581">
        <v>500000000</v>
      </c>
      <c r="G89" s="1581">
        <v>2576813969.6313</v>
      </c>
      <c r="H89" s="1581">
        <v>2481578136.4199996</v>
      </c>
      <c r="I89" s="1578">
        <v>2508152745.1914487</v>
      </c>
      <c r="J89" s="1131"/>
    </row>
    <row r="90" spans="1:10" s="831" customFormat="1" ht="171" customHeight="1">
      <c r="A90" s="1130"/>
      <c r="B90" s="1573"/>
      <c r="C90" s="1587"/>
      <c r="D90" s="945" t="s">
        <v>786</v>
      </c>
      <c r="E90" s="1582"/>
      <c r="F90" s="1582"/>
      <c r="G90" s="1582"/>
      <c r="H90" s="1582"/>
      <c r="I90" s="1579"/>
      <c r="J90" s="1131"/>
    </row>
    <row r="91" spans="1:10" s="831" customFormat="1" ht="147" customHeight="1">
      <c r="A91" s="1130"/>
      <c r="B91" s="1573"/>
      <c r="C91" s="1588"/>
      <c r="D91" s="945" t="s">
        <v>787</v>
      </c>
      <c r="E91" s="1582"/>
      <c r="F91" s="1582"/>
      <c r="G91" s="1582"/>
      <c r="H91" s="1582"/>
      <c r="I91" s="1579"/>
      <c r="J91" s="1131"/>
    </row>
    <row r="92" spans="1:10" s="831" customFormat="1" ht="147" customHeight="1">
      <c r="A92" s="1130"/>
      <c r="B92" s="1573"/>
      <c r="C92" s="1586" t="s">
        <v>154</v>
      </c>
      <c r="D92" s="945" t="s">
        <v>788</v>
      </c>
      <c r="E92" s="1581">
        <v>2992536470.2475829</v>
      </c>
      <c r="F92" s="1581">
        <v>550000000</v>
      </c>
      <c r="G92" s="1581">
        <v>829622989.87709999</v>
      </c>
      <c r="H92" s="1581">
        <v>800742262.13999999</v>
      </c>
      <c r="I92" s="1578">
        <v>812171218.23048294</v>
      </c>
      <c r="J92" s="1131"/>
    </row>
    <row r="93" spans="1:10" s="831" customFormat="1" ht="147" customHeight="1">
      <c r="A93" s="1130"/>
      <c r="B93" s="1573"/>
      <c r="C93" s="1587"/>
      <c r="D93" s="945" t="s">
        <v>789</v>
      </c>
      <c r="E93" s="1582"/>
      <c r="F93" s="1582"/>
      <c r="G93" s="1582"/>
      <c r="H93" s="1582"/>
      <c r="I93" s="1579"/>
      <c r="J93" s="1131"/>
    </row>
    <row r="94" spans="1:10" s="831" customFormat="1" ht="147" customHeight="1">
      <c r="A94" s="1130"/>
      <c r="B94" s="1573"/>
      <c r="C94" s="1587"/>
      <c r="D94" s="945" t="s">
        <v>790</v>
      </c>
      <c r="E94" s="1582"/>
      <c r="F94" s="1582"/>
      <c r="G94" s="1582"/>
      <c r="H94" s="1582"/>
      <c r="I94" s="1579"/>
      <c r="J94" s="1131"/>
    </row>
    <row r="95" spans="1:10" s="831" customFormat="1" ht="147" customHeight="1">
      <c r="A95" s="1130"/>
      <c r="B95" s="1573"/>
      <c r="C95" s="1587"/>
      <c r="D95" s="945" t="s">
        <v>791</v>
      </c>
      <c r="E95" s="1582"/>
      <c r="F95" s="1582"/>
      <c r="G95" s="1582"/>
      <c r="H95" s="1582"/>
      <c r="I95" s="1579"/>
      <c r="J95" s="1131"/>
    </row>
    <row r="96" spans="1:10" s="831" customFormat="1" ht="198" customHeight="1">
      <c r="A96" s="1130"/>
      <c r="B96" s="1573"/>
      <c r="C96" s="1588"/>
      <c r="D96" s="945" t="s">
        <v>792</v>
      </c>
      <c r="E96" s="1585"/>
      <c r="F96" s="1585"/>
      <c r="G96" s="1585"/>
      <c r="H96" s="1585"/>
      <c r="I96" s="1584"/>
      <c r="J96" s="1131"/>
    </row>
    <row r="97" spans="1:10" s="831" customFormat="1" ht="177" customHeight="1">
      <c r="A97" s="1130"/>
      <c r="B97" s="1574"/>
      <c r="C97" s="1153" t="s">
        <v>155</v>
      </c>
      <c r="D97" s="945" t="s">
        <v>793</v>
      </c>
      <c r="E97" s="1035">
        <v>17569052860</v>
      </c>
      <c r="F97" s="1035">
        <v>5180000000</v>
      </c>
      <c r="G97" s="1035">
        <v>4935400000</v>
      </c>
      <c r="H97" s="1035">
        <v>4228962000</v>
      </c>
      <c r="I97" s="1034">
        <v>3224690860</v>
      </c>
      <c r="J97" s="1131"/>
    </row>
    <row r="98" spans="1:10" s="833" customFormat="1" ht="147" customHeight="1">
      <c r="A98" s="1149"/>
      <c r="B98" s="975" t="s">
        <v>633</v>
      </c>
      <c r="C98" s="976"/>
      <c r="D98" s="977"/>
      <c r="E98" s="978">
        <v>13038330900.070332</v>
      </c>
      <c r="F98" s="978">
        <v>2651044150</v>
      </c>
      <c r="G98" s="978">
        <v>3516741159.5084</v>
      </c>
      <c r="H98" s="978">
        <v>3408669492.5599999</v>
      </c>
      <c r="I98" s="985">
        <v>3461876098.0019317</v>
      </c>
      <c r="J98" s="1150"/>
    </row>
    <row r="99" spans="1:10" s="831" customFormat="1" ht="183" customHeight="1">
      <c r="A99" s="1130"/>
      <c r="B99" s="1572" t="s">
        <v>156</v>
      </c>
      <c r="C99" s="1586" t="s">
        <v>912</v>
      </c>
      <c r="D99" s="945" t="s">
        <v>794</v>
      </c>
      <c r="E99" s="1581">
        <v>13038330900.070332</v>
      </c>
      <c r="F99" s="1581">
        <v>2651044150</v>
      </c>
      <c r="G99" s="1581">
        <v>3516741159.5084</v>
      </c>
      <c r="H99" s="1581">
        <v>3408669492.5599999</v>
      </c>
      <c r="I99" s="1578">
        <v>3461876098.0019317</v>
      </c>
      <c r="J99" s="1131"/>
    </row>
    <row r="100" spans="1:10" s="831" customFormat="1" ht="252" customHeight="1">
      <c r="A100" s="1130"/>
      <c r="B100" s="1573"/>
      <c r="C100" s="1587"/>
      <c r="D100" s="945" t="s">
        <v>795</v>
      </c>
      <c r="E100" s="1582"/>
      <c r="F100" s="1582"/>
      <c r="G100" s="1582"/>
      <c r="H100" s="1582"/>
      <c r="I100" s="1579"/>
      <c r="J100" s="1131"/>
    </row>
    <row r="101" spans="1:10" s="831" customFormat="1" ht="255" customHeight="1">
      <c r="A101" s="1130"/>
      <c r="B101" s="1573"/>
      <c r="C101" s="1587"/>
      <c r="D101" s="945" t="s">
        <v>796</v>
      </c>
      <c r="E101" s="1582"/>
      <c r="F101" s="1582"/>
      <c r="G101" s="1582"/>
      <c r="H101" s="1582"/>
      <c r="I101" s="1579"/>
      <c r="J101" s="1131"/>
    </row>
    <row r="102" spans="1:10" s="831" customFormat="1" ht="303" customHeight="1">
      <c r="A102" s="1130"/>
      <c r="B102" s="1573"/>
      <c r="C102" s="1587"/>
      <c r="D102" s="945" t="s">
        <v>797</v>
      </c>
      <c r="E102" s="1582"/>
      <c r="F102" s="1582"/>
      <c r="G102" s="1582"/>
      <c r="H102" s="1582"/>
      <c r="I102" s="1579"/>
      <c r="J102" s="1131"/>
    </row>
    <row r="103" spans="1:10" s="831" customFormat="1" ht="189" customHeight="1">
      <c r="A103" s="1130"/>
      <c r="B103" s="1573"/>
      <c r="C103" s="1587"/>
      <c r="D103" s="945" t="s">
        <v>798</v>
      </c>
      <c r="E103" s="1582"/>
      <c r="F103" s="1582"/>
      <c r="G103" s="1582"/>
      <c r="H103" s="1582"/>
      <c r="I103" s="1579"/>
      <c r="J103" s="1131"/>
    </row>
    <row r="104" spans="1:10" s="831" customFormat="1" ht="189" customHeight="1">
      <c r="A104" s="1130"/>
      <c r="B104" s="1573"/>
      <c r="C104" s="1587"/>
      <c r="D104" s="945" t="s">
        <v>799</v>
      </c>
      <c r="E104" s="1582"/>
      <c r="F104" s="1582"/>
      <c r="G104" s="1582"/>
      <c r="H104" s="1582"/>
      <c r="I104" s="1579"/>
      <c r="J104" s="1131"/>
    </row>
    <row r="105" spans="1:10" s="831" customFormat="1" ht="210" customHeight="1" thickBot="1">
      <c r="A105" s="1130"/>
      <c r="B105" s="1590"/>
      <c r="C105" s="1589"/>
      <c r="D105" s="950" t="s">
        <v>800</v>
      </c>
      <c r="E105" s="1583"/>
      <c r="F105" s="1583"/>
      <c r="G105" s="1583"/>
      <c r="H105" s="1583"/>
      <c r="I105" s="1580"/>
      <c r="J105" s="1131"/>
    </row>
    <row r="106" spans="1:10" s="831" customFormat="1" ht="60">
      <c r="A106" s="1130"/>
      <c r="B106" s="1575"/>
      <c r="C106" s="1575"/>
      <c r="D106" s="1050"/>
      <c r="E106" s="1051"/>
      <c r="F106" s="1051"/>
      <c r="G106" s="1051"/>
      <c r="H106" s="1051"/>
      <c r="I106" s="1052"/>
      <c r="J106" s="1131"/>
    </row>
    <row r="107" spans="1:10" s="831" customFormat="1" ht="48" customHeight="1">
      <c r="A107" s="1130"/>
      <c r="B107" s="1053"/>
      <c r="C107" s="1050"/>
      <c r="D107" s="1050"/>
      <c r="E107" s="1051"/>
      <c r="F107" s="1051"/>
      <c r="G107" s="1051"/>
      <c r="H107" s="1051"/>
      <c r="I107" s="1052"/>
      <c r="J107" s="1131"/>
    </row>
    <row r="108" spans="1:10" s="831" customFormat="1" ht="1.5" hidden="1" customHeight="1">
      <c r="A108" s="1130"/>
      <c r="B108" s="1053"/>
      <c r="C108" s="1050"/>
      <c r="D108" s="1050"/>
      <c r="E108" s="1051"/>
      <c r="F108" s="1051"/>
      <c r="G108" s="1051"/>
      <c r="H108" s="1051"/>
      <c r="I108" s="1052"/>
      <c r="J108" s="1131"/>
    </row>
    <row r="109" spans="1:10" ht="63">
      <c r="A109" s="1128"/>
      <c r="B109" s="1047" t="s">
        <v>846</v>
      </c>
      <c r="C109" s="1054"/>
      <c r="D109" s="1054"/>
      <c r="E109" s="942"/>
      <c r="F109" s="942"/>
      <c r="G109" s="942"/>
      <c r="H109" s="942"/>
      <c r="I109" s="1055"/>
      <c r="J109" s="1129"/>
    </row>
    <row r="110" spans="1:10" ht="61.8">
      <c r="A110" s="1128"/>
      <c r="B110" s="1056"/>
      <c r="C110" s="1054"/>
      <c r="D110" s="1054"/>
      <c r="E110" s="942"/>
      <c r="F110" s="942"/>
      <c r="G110" s="942"/>
      <c r="H110" s="942"/>
      <c r="I110" s="1055"/>
      <c r="J110" s="1129"/>
    </row>
    <row r="111" spans="1:10" ht="99.6" customHeight="1">
      <c r="A111" s="1128"/>
      <c r="B111" s="1570" t="s">
        <v>885</v>
      </c>
      <c r="C111" s="1570"/>
      <c r="D111" s="1570"/>
      <c r="E111" s="1570"/>
      <c r="F111" s="1570"/>
      <c r="G111" s="1570"/>
      <c r="H111" s="1570"/>
      <c r="I111" s="1570"/>
      <c r="J111" s="1129"/>
    </row>
    <row r="112" spans="1:10" ht="99.6" customHeight="1">
      <c r="A112" s="1128"/>
      <c r="B112" s="1570" t="s">
        <v>893</v>
      </c>
      <c r="C112" s="1570"/>
      <c r="D112" s="1570"/>
      <c r="E112" s="1570"/>
      <c r="F112" s="1570"/>
      <c r="G112" s="1570"/>
      <c r="H112" s="1570"/>
      <c r="I112" s="1570"/>
      <c r="J112" s="1129"/>
    </row>
    <row r="113" spans="1:10" ht="147.6" customHeight="1">
      <c r="A113" s="1128"/>
      <c r="B113" s="1570" t="s">
        <v>894</v>
      </c>
      <c r="C113" s="1570"/>
      <c r="D113" s="1570"/>
      <c r="E113" s="1570"/>
      <c r="F113" s="1570"/>
      <c r="G113" s="1570"/>
      <c r="H113" s="1570"/>
      <c r="I113" s="1570"/>
      <c r="J113" s="1129"/>
    </row>
    <row r="114" spans="1:10" ht="99.6" customHeight="1">
      <c r="A114" s="1128"/>
      <c r="B114" s="1570" t="s">
        <v>886</v>
      </c>
      <c r="C114" s="1570"/>
      <c r="D114" s="1570"/>
      <c r="E114" s="1570"/>
      <c r="F114" s="1570"/>
      <c r="G114" s="1570"/>
      <c r="H114" s="1570"/>
      <c r="I114" s="1570"/>
      <c r="J114" s="1129"/>
    </row>
    <row r="115" spans="1:10" ht="99.6" customHeight="1">
      <c r="A115" s="1128"/>
      <c r="B115" s="1570" t="s">
        <v>887</v>
      </c>
      <c r="C115" s="1570"/>
      <c r="D115" s="1570"/>
      <c r="E115" s="1570"/>
      <c r="F115" s="1570"/>
      <c r="G115" s="1570"/>
      <c r="H115" s="1570"/>
      <c r="I115" s="1570"/>
      <c r="J115" s="1129"/>
    </row>
    <row r="116" spans="1:10" ht="99.6" customHeight="1">
      <c r="A116" s="1128"/>
      <c r="B116" s="1599" t="s">
        <v>892</v>
      </c>
      <c r="C116" s="1599"/>
      <c r="D116" s="1599"/>
      <c r="E116" s="1599"/>
      <c r="F116" s="1599"/>
      <c r="G116" s="1599"/>
      <c r="H116" s="1599"/>
      <c r="I116" s="1599"/>
      <c r="J116" s="1129"/>
    </row>
    <row r="117" spans="1:10" ht="62.4">
      <c r="A117" s="1128"/>
      <c r="B117" s="1059"/>
      <c r="C117" s="1060"/>
      <c r="D117" s="1060"/>
      <c r="E117" s="1061"/>
      <c r="F117" s="1061"/>
      <c r="G117" s="1061"/>
      <c r="H117" s="1061"/>
      <c r="I117" s="1062"/>
      <c r="J117" s="1129"/>
    </row>
    <row r="118" spans="1:10" ht="61.8">
      <c r="A118" s="1128"/>
      <c r="B118" s="1056"/>
      <c r="C118" s="1054"/>
      <c r="D118" s="1054"/>
      <c r="E118" s="942"/>
      <c r="F118" s="942"/>
      <c r="G118" s="942"/>
      <c r="H118" s="942"/>
      <c r="I118" s="1055"/>
      <c r="J118" s="1129"/>
    </row>
    <row r="119" spans="1:10" ht="70.2" customHeight="1">
      <c r="A119" s="1128"/>
      <c r="B119" s="1571" t="s">
        <v>708</v>
      </c>
      <c r="C119" s="1571"/>
      <c r="D119" s="1571"/>
      <c r="E119" s="1571"/>
      <c r="F119" s="1571"/>
      <c r="G119" s="1571"/>
      <c r="H119" s="1571"/>
      <c r="I119" s="1571"/>
      <c r="J119" s="1129"/>
    </row>
    <row r="120" spans="1:10" ht="61.8">
      <c r="A120" s="1128"/>
      <c r="B120" s="1056"/>
      <c r="C120" s="1054"/>
      <c r="D120" s="1054"/>
      <c r="E120" s="942"/>
      <c r="F120" s="942"/>
      <c r="G120" s="942"/>
      <c r="H120" s="942"/>
      <c r="I120" s="1055"/>
      <c r="J120" s="1129"/>
    </row>
    <row r="121" spans="1:10" ht="62.4" thickBot="1">
      <c r="A121" s="1151"/>
      <c r="B121" s="1152"/>
      <c r="C121" s="1140"/>
      <c r="D121" s="1140"/>
      <c r="E121" s="1141"/>
      <c r="F121" s="1141"/>
      <c r="G121" s="1141"/>
      <c r="H121" s="1141"/>
      <c r="I121" s="1143"/>
      <c r="J121" s="1144"/>
    </row>
    <row r="122" spans="1:10" ht="61.8">
      <c r="B122" s="1046"/>
    </row>
    <row r="123" spans="1:10" ht="61.8">
      <c r="B123" s="1046"/>
    </row>
    <row r="124" spans="1:10" ht="61.8">
      <c r="B124" s="1046"/>
    </row>
    <row r="125" spans="1:10" ht="61.8">
      <c r="B125" s="1046"/>
    </row>
    <row r="126" spans="1:10" ht="61.8">
      <c r="B126" s="1046"/>
    </row>
    <row r="127" spans="1:10" ht="61.8">
      <c r="B127" s="1046"/>
    </row>
    <row r="128" spans="1:10" ht="61.8">
      <c r="B128" s="1046"/>
    </row>
    <row r="129" spans="2:2" ht="61.8">
      <c r="B129" s="1046"/>
    </row>
    <row r="130" spans="2:2" ht="61.8">
      <c r="B130" s="1046"/>
    </row>
    <row r="131" spans="2:2" ht="61.8">
      <c r="B131" s="1046"/>
    </row>
    <row r="132" spans="2:2" ht="61.8">
      <c r="B132" s="1046"/>
    </row>
    <row r="133" spans="2:2" ht="61.8">
      <c r="B133" s="1046"/>
    </row>
    <row r="134" spans="2:2" ht="61.8">
      <c r="B134" s="1046"/>
    </row>
    <row r="135" spans="2:2" ht="61.8">
      <c r="B135" s="1046"/>
    </row>
    <row r="136" spans="2:2" ht="61.8">
      <c r="B136" s="1046"/>
    </row>
    <row r="137" spans="2:2" ht="61.8">
      <c r="B137" s="1046"/>
    </row>
    <row r="138" spans="2:2" ht="61.8">
      <c r="B138" s="1046"/>
    </row>
    <row r="139" spans="2:2" ht="61.8">
      <c r="B139" s="1046"/>
    </row>
    <row r="140" spans="2:2" ht="61.8">
      <c r="B140" s="1046"/>
    </row>
    <row r="141" spans="2:2" ht="61.8">
      <c r="B141" s="1046"/>
    </row>
    <row r="142" spans="2:2" ht="61.8">
      <c r="B142" s="1046"/>
    </row>
    <row r="143" spans="2:2" ht="61.8">
      <c r="B143" s="1046"/>
    </row>
  </sheetData>
  <autoFilter ref="B9:I9"/>
  <mergeCells count="141">
    <mergeCell ref="C57:C65"/>
    <mergeCell ref="C66:C77"/>
    <mergeCell ref="C81:C82"/>
    <mergeCell ref="C84:C85"/>
    <mergeCell ref="C86:C87"/>
    <mergeCell ref="B114:I114"/>
    <mergeCell ref="B115:I115"/>
    <mergeCell ref="B116:I116"/>
    <mergeCell ref="B119:I119"/>
    <mergeCell ref="B111:I111"/>
    <mergeCell ref="B112:I112"/>
    <mergeCell ref="B113:I113"/>
    <mergeCell ref="B81:B87"/>
    <mergeCell ref="B45:B79"/>
    <mergeCell ref="I57:I65"/>
    <mergeCell ref="E66:E77"/>
    <mergeCell ref="H57:H65"/>
    <mergeCell ref="G57:G65"/>
    <mergeCell ref="F57:F65"/>
    <mergeCell ref="E57:E65"/>
    <mergeCell ref="I81:I82"/>
    <mergeCell ref="E84:E85"/>
    <mergeCell ref="H81:H82"/>
    <mergeCell ref="G81:G82"/>
    <mergeCell ref="C2:I2"/>
    <mergeCell ref="B4:D5"/>
    <mergeCell ref="E4:I5"/>
    <mergeCell ref="B7:C7"/>
    <mergeCell ref="D7:E7"/>
    <mergeCell ref="F7:I7"/>
    <mergeCell ref="I15:I16"/>
    <mergeCell ref="H15:H16"/>
    <mergeCell ref="G15:G16"/>
    <mergeCell ref="F15:F16"/>
    <mergeCell ref="I12:I14"/>
    <mergeCell ref="E15:E16"/>
    <mergeCell ref="H12:H14"/>
    <mergeCell ref="G12:G14"/>
    <mergeCell ref="F12:F14"/>
    <mergeCell ref="E12:E14"/>
    <mergeCell ref="I19:I23"/>
    <mergeCell ref="C89:C91"/>
    <mergeCell ref="C12:C14"/>
    <mergeCell ref="C15:C16"/>
    <mergeCell ref="I17:I18"/>
    <mergeCell ref="E19:E23"/>
    <mergeCell ref="H17:H18"/>
    <mergeCell ref="G17:G18"/>
    <mergeCell ref="F17:F18"/>
    <mergeCell ref="E17:E18"/>
    <mergeCell ref="C17:C18"/>
    <mergeCell ref="C19:C23"/>
    <mergeCell ref="C25:C30"/>
    <mergeCell ref="C31:C35"/>
    <mergeCell ref="C36:C38"/>
    <mergeCell ref="C40:C43"/>
    <mergeCell ref="C45:C46"/>
    <mergeCell ref="F31:F35"/>
    <mergeCell ref="I45:I46"/>
    <mergeCell ref="E47:E48"/>
    <mergeCell ref="H45:H46"/>
    <mergeCell ref="G45:G46"/>
    <mergeCell ref="F45:F46"/>
    <mergeCell ref="E45:E46"/>
    <mergeCell ref="B40:B43"/>
    <mergeCell ref="B25:B38"/>
    <mergeCell ref="B12:B23"/>
    <mergeCell ref="C47:C48"/>
    <mergeCell ref="C49:C50"/>
    <mergeCell ref="C52:C53"/>
    <mergeCell ref="I25:I30"/>
    <mergeCell ref="E31:E35"/>
    <mergeCell ref="H25:H30"/>
    <mergeCell ref="G25:G30"/>
    <mergeCell ref="F25:F30"/>
    <mergeCell ref="E25:E30"/>
    <mergeCell ref="H19:H23"/>
    <mergeCell ref="G19:G23"/>
    <mergeCell ref="F19:F23"/>
    <mergeCell ref="I36:I38"/>
    <mergeCell ref="E40:E43"/>
    <mergeCell ref="H36:H38"/>
    <mergeCell ref="G36:G38"/>
    <mergeCell ref="F36:F38"/>
    <mergeCell ref="E36:E38"/>
    <mergeCell ref="I31:I35"/>
    <mergeCell ref="H31:H35"/>
    <mergeCell ref="G31:G35"/>
    <mergeCell ref="I40:I43"/>
    <mergeCell ref="H40:H43"/>
    <mergeCell ref="G40:G43"/>
    <mergeCell ref="F40:F43"/>
    <mergeCell ref="I49:I50"/>
    <mergeCell ref="E52:E53"/>
    <mergeCell ref="H49:H50"/>
    <mergeCell ref="G49:G50"/>
    <mergeCell ref="F49:F50"/>
    <mergeCell ref="E49:E50"/>
    <mergeCell ref="I47:I48"/>
    <mergeCell ref="H47:H48"/>
    <mergeCell ref="G47:G48"/>
    <mergeCell ref="F47:F48"/>
    <mergeCell ref="I52:I53"/>
    <mergeCell ref="H52:H53"/>
    <mergeCell ref="G52:G53"/>
    <mergeCell ref="F52:F53"/>
    <mergeCell ref="F81:F82"/>
    <mergeCell ref="E81:E82"/>
    <mergeCell ref="I66:I77"/>
    <mergeCell ref="H66:H77"/>
    <mergeCell ref="G66:G77"/>
    <mergeCell ref="F66:F77"/>
    <mergeCell ref="I86:I87"/>
    <mergeCell ref="E89:E91"/>
    <mergeCell ref="H86:H87"/>
    <mergeCell ref="G86:G87"/>
    <mergeCell ref="F86:F87"/>
    <mergeCell ref="E86:E87"/>
    <mergeCell ref="I84:I85"/>
    <mergeCell ref="H84:H85"/>
    <mergeCell ref="G84:G85"/>
    <mergeCell ref="F84:F85"/>
    <mergeCell ref="I99:I105"/>
    <mergeCell ref="B106:C106"/>
    <mergeCell ref="H99:H105"/>
    <mergeCell ref="G99:G105"/>
    <mergeCell ref="F99:F105"/>
    <mergeCell ref="I92:I96"/>
    <mergeCell ref="E99:E105"/>
    <mergeCell ref="H92:H96"/>
    <mergeCell ref="G92:G96"/>
    <mergeCell ref="F92:F96"/>
    <mergeCell ref="E92:E96"/>
    <mergeCell ref="C92:C96"/>
    <mergeCell ref="C99:C105"/>
    <mergeCell ref="B99:B105"/>
    <mergeCell ref="B89:B97"/>
    <mergeCell ref="I89:I91"/>
    <mergeCell ref="H89:H91"/>
    <mergeCell ref="G89:G91"/>
    <mergeCell ref="F89:F91"/>
  </mergeCells>
  <pageMargins left="0.70866141732283472" right="0.70866141732283472" top="0.74803149606299213" bottom="0.74803149606299213" header="0.31496062992125984" footer="0.31496062992125984"/>
  <pageSetup paperSize="1002" scale="15" orientation="landscape" r:id="rId1"/>
  <rowBreaks count="3" manualBreakCount="3">
    <brk id="30" min="1" max="45" man="1"/>
    <brk id="80" min="1" max="45" man="1"/>
    <brk id="108"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9"/>
  <sheetViews>
    <sheetView topLeftCell="E3" zoomScale="10" zoomScaleNormal="10" zoomScaleSheetLayoutView="10" zoomScalePageLayoutView="75" workbookViewId="0">
      <selection activeCell="P13" sqref="P13:P15"/>
    </sheetView>
  </sheetViews>
  <sheetFormatPr baseColWidth="10" defaultColWidth="11.6640625" defaultRowHeight="25.2"/>
  <cols>
    <col min="1" max="1" width="208.109375" style="739" customWidth="1"/>
    <col min="2" max="2" width="182.109375" style="740" customWidth="1"/>
    <col min="3" max="3" width="255.109375" style="740" customWidth="1"/>
    <col min="4" max="11" width="165" style="741" customWidth="1"/>
    <col min="12" max="14" width="167.33203125" style="743" customWidth="1"/>
    <col min="15" max="15" width="153.88671875" style="743" customWidth="1"/>
    <col min="16" max="16" width="141.33203125" style="936" customWidth="1"/>
    <col min="17" max="17" width="29.44140625" style="936" customWidth="1"/>
    <col min="18" max="16384" width="11.6640625" style="743"/>
  </cols>
  <sheetData>
    <row r="1" spans="1:17" hidden="1"/>
    <row r="2" spans="1:17" ht="26.7" hidden="1" customHeight="1" thickBot="1">
      <c r="A2" s="744"/>
      <c r="B2" s="1526" t="s">
        <v>161</v>
      </c>
      <c r="C2" s="1527"/>
      <c r="D2" s="1527"/>
      <c r="E2" s="1527"/>
      <c r="F2" s="1527"/>
      <c r="G2" s="1527"/>
      <c r="H2" s="1527"/>
      <c r="I2" s="1527"/>
      <c r="J2" s="1527"/>
      <c r="K2" s="1527"/>
    </row>
    <row r="3" spans="1:17" ht="323.25" customHeight="1">
      <c r="A3" s="1632"/>
      <c r="B3" s="1632"/>
      <c r="C3" s="1632"/>
      <c r="D3" s="1605" t="s">
        <v>807</v>
      </c>
      <c r="E3" s="1605"/>
      <c r="F3" s="1605"/>
      <c r="G3" s="1605"/>
      <c r="H3" s="1605"/>
      <c r="I3" s="1605"/>
      <c r="J3" s="1605"/>
      <c r="K3" s="1605"/>
    </row>
    <row r="4" spans="1:17" ht="409.6" customHeight="1">
      <c r="A4" s="1632"/>
      <c r="B4" s="1632"/>
      <c r="C4" s="1632"/>
      <c r="D4" s="1605"/>
      <c r="E4" s="1605"/>
      <c r="F4" s="1605"/>
      <c r="G4" s="1605"/>
      <c r="H4" s="1605"/>
      <c r="I4" s="1605"/>
      <c r="J4" s="1605"/>
      <c r="K4" s="1605"/>
    </row>
    <row r="5" spans="1:17" ht="70.2" customHeight="1">
      <c r="A5" s="745"/>
      <c r="B5" s="746"/>
      <c r="C5" s="884"/>
      <c r="D5" s="747"/>
      <c r="E5" s="747"/>
      <c r="F5" s="747"/>
      <c r="G5" s="747"/>
      <c r="H5" s="747"/>
      <c r="I5" s="747"/>
      <c r="J5" s="747"/>
      <c r="K5" s="747"/>
    </row>
    <row r="6" spans="1:17" s="891" customFormat="1" ht="67.2" customHeight="1">
      <c r="A6" s="1631" t="s">
        <v>709</v>
      </c>
      <c r="B6" s="1631"/>
      <c r="C6" s="1631"/>
      <c r="D6" s="1631" t="s">
        <v>704</v>
      </c>
      <c r="E6" s="1631"/>
      <c r="F6" s="1631"/>
      <c r="G6" s="1631"/>
      <c r="H6" s="1631" t="s">
        <v>705</v>
      </c>
      <c r="I6" s="1631"/>
      <c r="J6" s="1631"/>
      <c r="K6" s="1631"/>
      <c r="P6" s="937"/>
      <c r="Q6" s="937"/>
    </row>
    <row r="7" spans="1:17" s="891" customFormat="1" ht="67.2" customHeight="1">
      <c r="A7" s="892"/>
      <c r="B7" s="892"/>
      <c r="C7" s="892"/>
      <c r="D7" s="892"/>
      <c r="E7" s="892"/>
      <c r="F7" s="892"/>
      <c r="G7" s="892"/>
      <c r="H7" s="892"/>
      <c r="I7" s="892"/>
      <c r="J7" s="892"/>
      <c r="K7" s="892"/>
      <c r="P7" s="937"/>
      <c r="Q7" s="937"/>
    </row>
    <row r="8" spans="1:17" s="749" customFormat="1" ht="67.2" customHeight="1" thickBot="1">
      <c r="A8" s="746"/>
      <c r="B8" s="746"/>
      <c r="C8" s="885"/>
      <c r="D8" s="746"/>
      <c r="E8" s="746"/>
      <c r="F8" s="746"/>
      <c r="G8" s="746"/>
      <c r="H8" s="746"/>
      <c r="I8" s="746"/>
      <c r="J8" s="746"/>
      <c r="K8" s="746"/>
      <c r="P8" s="938"/>
      <c r="Q8" s="938"/>
    </row>
    <row r="9" spans="1:17" s="831" customFormat="1" ht="97.2" customHeight="1" thickBot="1">
      <c r="A9" s="844"/>
      <c r="B9" s="845"/>
      <c r="C9" s="884"/>
      <c r="D9" s="1628" t="s">
        <v>624</v>
      </c>
      <c r="E9" s="1629"/>
      <c r="F9" s="1629"/>
      <c r="G9" s="1629"/>
      <c r="H9" s="1629"/>
      <c r="I9" s="1629"/>
      <c r="J9" s="1629"/>
      <c r="K9" s="1630"/>
      <c r="P9" s="939"/>
      <c r="Q9" s="939"/>
    </row>
    <row r="10" spans="1:17" s="1013" customFormat="1" ht="264" customHeight="1">
      <c r="A10" s="823" t="s">
        <v>710</v>
      </c>
      <c r="B10" s="824" t="s">
        <v>711</v>
      </c>
      <c r="C10" s="886" t="s">
        <v>158</v>
      </c>
      <c r="D10" s="943" t="s">
        <v>635</v>
      </c>
      <c r="E10" s="943" t="s">
        <v>634</v>
      </c>
      <c r="F10" s="943" t="s">
        <v>636</v>
      </c>
      <c r="G10" s="943" t="s">
        <v>637</v>
      </c>
      <c r="H10" s="943" t="s">
        <v>638</v>
      </c>
      <c r="I10" s="943" t="s">
        <v>639</v>
      </c>
      <c r="J10" s="943" t="s">
        <v>640</v>
      </c>
      <c r="K10" s="1014" t="s">
        <v>174</v>
      </c>
      <c r="L10" s="1014" t="s">
        <v>802</v>
      </c>
      <c r="M10" s="1014" t="s">
        <v>68</v>
      </c>
      <c r="N10" s="1014" t="s">
        <v>803</v>
      </c>
      <c r="O10" s="1014" t="s">
        <v>805</v>
      </c>
      <c r="P10" s="1014" t="s">
        <v>913</v>
      </c>
      <c r="Q10" s="1012"/>
    </row>
    <row r="11" spans="1:17" s="828" customFormat="1" ht="99" customHeight="1">
      <c r="A11" s="826" t="s">
        <v>599</v>
      </c>
      <c r="B11" s="827"/>
      <c r="C11" s="887"/>
      <c r="D11" s="882">
        <f>'MATRIZ PLURIANUAL (2)'!E5</f>
        <v>35990526507.178024</v>
      </c>
      <c r="E11" s="882">
        <f>'MATRIZ PLURIANUAL (2)'!F5</f>
        <v>128624569189.75002</v>
      </c>
      <c r="F11" s="882">
        <f>'MATRIZ PLURIANUAL (2)'!G5</f>
        <v>752905601773.56787</v>
      </c>
      <c r="G11" s="882">
        <f>'MATRIZ PLURIANUAL (2)'!H5</f>
        <v>12628567563</v>
      </c>
      <c r="H11" s="882">
        <f>'MATRIZ PLURIANUAL (2)'!I5</f>
        <v>287626759570.97601</v>
      </c>
      <c r="I11" s="882">
        <f>'MATRIZ PLURIANUAL (2)'!J5</f>
        <v>217546304145.9285</v>
      </c>
      <c r="J11" s="882">
        <f>'MATRIZ PLURIANUAL (2)'!K5</f>
        <v>17420441297.439999</v>
      </c>
      <c r="K11" s="883">
        <f>'MATRIZ PLURIANUAL (2)'!L5</f>
        <v>1452742770047.8403</v>
      </c>
      <c r="L11" s="883">
        <f>D11+H11+J11</f>
        <v>341037727375.59406</v>
      </c>
      <c r="M11" s="883">
        <f>E11+F11+G11</f>
        <v>894158738526.31787</v>
      </c>
      <c r="N11" s="883">
        <f>I11</f>
        <v>217546304145.9285</v>
      </c>
      <c r="O11" s="883">
        <f>L11+M11</f>
        <v>1235196465901.9119</v>
      </c>
      <c r="P11" s="883">
        <f>K11-I11-F11</f>
        <v>482290864128.34399</v>
      </c>
      <c r="Q11" s="895"/>
    </row>
    <row r="12" spans="1:17" s="828" customFormat="1" ht="111" customHeight="1" thickBot="1">
      <c r="A12" s="951" t="s">
        <v>627</v>
      </c>
      <c r="B12" s="952"/>
      <c r="C12" s="953"/>
      <c r="D12" s="954">
        <f>'MATRIZ PLURIANUAL (2)'!E6</f>
        <v>2168787958.5382471</v>
      </c>
      <c r="E12" s="954">
        <f>'MATRIZ PLURIANUAL (2)'!F6</f>
        <v>11408079167.619999</v>
      </c>
      <c r="F12" s="954">
        <f>'MATRIZ PLURIANUAL (2)'!G6</f>
        <v>0</v>
      </c>
      <c r="G12" s="954">
        <f>'MATRIZ PLURIANUAL (2)'!H6</f>
        <v>0</v>
      </c>
      <c r="H12" s="954">
        <f>'MATRIZ PLURIANUAL (2)'!I6</f>
        <v>22404836224.720001</v>
      </c>
      <c r="I12" s="954">
        <f>'MATRIZ PLURIANUAL (2)'!J6</f>
        <v>7130000000</v>
      </c>
      <c r="J12" s="954">
        <f>'MATRIZ PLURIANUAL (2)'!K6</f>
        <v>219204048.97000003</v>
      </c>
      <c r="K12" s="979">
        <f>'MATRIZ PLURIANUAL (2)'!L6</f>
        <v>43330907399.848251</v>
      </c>
      <c r="L12" s="999">
        <f t="shared" ref="L12:L75" si="0">D12+H12+J12</f>
        <v>24792828232.228249</v>
      </c>
      <c r="M12" s="999">
        <f t="shared" ref="M12:M75" si="1">E12+F12+G12</f>
        <v>11408079167.619999</v>
      </c>
      <c r="N12" s="999">
        <f t="shared" ref="N12:N75" si="2">I12</f>
        <v>7130000000</v>
      </c>
      <c r="O12" s="999">
        <f t="shared" ref="O12:O75" si="3">L12+M12</f>
        <v>36200907399.848251</v>
      </c>
      <c r="P12" s="999">
        <f t="shared" ref="P12:P75" si="4">K12-I12-F12</f>
        <v>36200907399.848251</v>
      </c>
      <c r="Q12" s="895"/>
    </row>
    <row r="13" spans="1:17" s="831" customFormat="1" ht="234" customHeight="1">
      <c r="A13" s="1572" t="s">
        <v>123</v>
      </c>
      <c r="B13" s="1586" t="s">
        <v>124</v>
      </c>
      <c r="C13" s="945" t="s">
        <v>713</v>
      </c>
      <c r="D13" s="1609">
        <f>'MATRIZ PLURIANUAL (2)'!E7</f>
        <v>963905759.35033202</v>
      </c>
      <c r="E13" s="1609">
        <f>'MATRIZ PLURIANUAL (2)'!F7</f>
        <v>0</v>
      </c>
      <c r="F13" s="1609">
        <f>'MATRIZ PLURIANUAL (2)'!G7</f>
        <v>0</v>
      </c>
      <c r="G13" s="1609">
        <f>'MATRIZ PLURIANUAL (2)'!H7</f>
        <v>0</v>
      </c>
      <c r="H13" s="1609">
        <f>'MATRIZ PLURIANUAL (2)'!I7</f>
        <v>9113260544.3199997</v>
      </c>
      <c r="I13" s="1609">
        <f>'MATRIZ PLURIANUAL (2)'!J7</f>
        <v>2850000000</v>
      </c>
      <c r="J13" s="1609">
        <f>'MATRIZ PLURIANUAL (2)'!K7</f>
        <v>92979577.319999993</v>
      </c>
      <c r="K13" s="1610">
        <f>'MATRIZ PLURIANUAL (2)'!L7</f>
        <v>13020145880.990332</v>
      </c>
      <c r="L13" s="1634">
        <f t="shared" si="0"/>
        <v>10170145880.990332</v>
      </c>
      <c r="M13" s="1637">
        <f t="shared" si="1"/>
        <v>0</v>
      </c>
      <c r="N13" s="1603">
        <f t="shared" si="2"/>
        <v>2850000000</v>
      </c>
      <c r="O13" s="1603">
        <f>L13+M13</f>
        <v>10170145880.990332</v>
      </c>
      <c r="P13" s="1603">
        <f t="shared" si="4"/>
        <v>10170145880.990332</v>
      </c>
      <c r="Q13" s="939"/>
    </row>
    <row r="14" spans="1:17" s="831" customFormat="1" ht="234" customHeight="1">
      <c r="A14" s="1573"/>
      <c r="B14" s="1587"/>
      <c r="C14" s="945" t="s">
        <v>714</v>
      </c>
      <c r="D14" s="1609"/>
      <c r="E14" s="1609"/>
      <c r="F14" s="1609"/>
      <c r="G14" s="1609"/>
      <c r="H14" s="1609"/>
      <c r="I14" s="1609"/>
      <c r="J14" s="1609"/>
      <c r="K14" s="1610"/>
      <c r="L14" s="1626">
        <f t="shared" si="0"/>
        <v>0</v>
      </c>
      <c r="M14" s="1609">
        <f t="shared" si="1"/>
        <v>0</v>
      </c>
      <c r="N14" s="1600">
        <f t="shared" si="2"/>
        <v>0</v>
      </c>
      <c r="O14" s="1600">
        <f t="shared" si="3"/>
        <v>0</v>
      </c>
      <c r="P14" s="1600">
        <f t="shared" si="4"/>
        <v>0</v>
      </c>
      <c r="Q14" s="939"/>
    </row>
    <row r="15" spans="1:17" s="831" customFormat="1" ht="234" customHeight="1">
      <c r="A15" s="1573"/>
      <c r="B15" s="1588"/>
      <c r="C15" s="945" t="s">
        <v>715</v>
      </c>
      <c r="D15" s="1609"/>
      <c r="E15" s="1609"/>
      <c r="F15" s="1609"/>
      <c r="G15" s="1609"/>
      <c r="H15" s="1609"/>
      <c r="I15" s="1609"/>
      <c r="J15" s="1609"/>
      <c r="K15" s="1610"/>
      <c r="L15" s="1626">
        <f t="shared" si="0"/>
        <v>0</v>
      </c>
      <c r="M15" s="1609">
        <f t="shared" si="1"/>
        <v>0</v>
      </c>
      <c r="N15" s="1600">
        <f t="shared" si="2"/>
        <v>0</v>
      </c>
      <c r="O15" s="1600">
        <f t="shared" si="3"/>
        <v>0</v>
      </c>
      <c r="P15" s="1600">
        <f t="shared" si="4"/>
        <v>0</v>
      </c>
      <c r="Q15" s="941"/>
    </row>
    <row r="16" spans="1:17" s="831" customFormat="1" ht="234" customHeight="1">
      <c r="A16" s="1573"/>
      <c r="B16" s="1586" t="s">
        <v>125</v>
      </c>
      <c r="C16" s="945" t="s">
        <v>716</v>
      </c>
      <c r="D16" s="1609">
        <f>'MATRIZ PLURIANUAL (2)'!E12</f>
        <v>0</v>
      </c>
      <c r="E16" s="1609">
        <f>'MATRIZ PLURIANUAL (2)'!F12</f>
        <v>11408079167.619999</v>
      </c>
      <c r="F16" s="1609">
        <f>'MATRIZ PLURIANUAL (2)'!G12</f>
        <v>0</v>
      </c>
      <c r="G16" s="1609">
        <f>'MATRIZ PLURIANUAL (2)'!H12</f>
        <v>0</v>
      </c>
      <c r="H16" s="1609">
        <f>'MATRIZ PLURIANUAL (2)'!I12</f>
        <v>0</v>
      </c>
      <c r="I16" s="1609">
        <f>'MATRIZ PLURIANUAL (2)'!J12</f>
        <v>150000000</v>
      </c>
      <c r="J16" s="1609">
        <f>'MATRIZ PLURIANUAL (2)'!K12</f>
        <v>10000000</v>
      </c>
      <c r="K16" s="1610">
        <f>'MATRIZ PLURIANUAL (2)'!L12</f>
        <v>11568079167.619999</v>
      </c>
      <c r="L16" s="1626">
        <f t="shared" si="0"/>
        <v>10000000</v>
      </c>
      <c r="M16" s="1609">
        <f t="shared" si="1"/>
        <v>11408079167.619999</v>
      </c>
      <c r="N16" s="1600">
        <f t="shared" si="2"/>
        <v>150000000</v>
      </c>
      <c r="O16" s="1600">
        <f t="shared" si="3"/>
        <v>11418079167.619999</v>
      </c>
      <c r="P16" s="1600">
        <f t="shared" si="4"/>
        <v>11418079167.619999</v>
      </c>
      <c r="Q16" s="939"/>
    </row>
    <row r="17" spans="1:17" s="831" customFormat="1" ht="234" customHeight="1">
      <c r="A17" s="1573"/>
      <c r="B17" s="1588"/>
      <c r="C17" s="945" t="s">
        <v>717</v>
      </c>
      <c r="D17" s="1609"/>
      <c r="E17" s="1609"/>
      <c r="F17" s="1609"/>
      <c r="G17" s="1609"/>
      <c r="H17" s="1609"/>
      <c r="I17" s="1609"/>
      <c r="J17" s="1609"/>
      <c r="K17" s="1610"/>
      <c r="L17" s="1626">
        <f t="shared" si="0"/>
        <v>0</v>
      </c>
      <c r="M17" s="1609">
        <f t="shared" si="1"/>
        <v>0</v>
      </c>
      <c r="N17" s="1600">
        <f t="shared" si="2"/>
        <v>0</v>
      </c>
      <c r="O17" s="1600">
        <f t="shared" si="3"/>
        <v>0</v>
      </c>
      <c r="P17" s="1600">
        <f t="shared" si="4"/>
        <v>0</v>
      </c>
      <c r="Q17" s="939"/>
    </row>
    <row r="18" spans="1:17" s="831" customFormat="1" ht="234" customHeight="1">
      <c r="A18" s="1573"/>
      <c r="B18" s="1586" t="s">
        <v>126</v>
      </c>
      <c r="C18" s="945" t="s">
        <v>718</v>
      </c>
      <c r="D18" s="1609">
        <f>'MATRIZ PLURIANUAL (2)'!E15</f>
        <v>722929319.51274896</v>
      </c>
      <c r="E18" s="1609">
        <f>'MATRIZ PLURIANUAL (2)'!F15</f>
        <v>0</v>
      </c>
      <c r="F18" s="1609">
        <f>'MATRIZ PLURIANUAL (2)'!G15</f>
        <v>0</v>
      </c>
      <c r="G18" s="1609">
        <f>'MATRIZ PLURIANUAL (2)'!H15</f>
        <v>0</v>
      </c>
      <c r="H18" s="1609">
        <f>'MATRIZ PLURIANUAL (2)'!I15</f>
        <v>7534945408.2399998</v>
      </c>
      <c r="I18" s="1609">
        <f>'MATRIZ PLURIANUAL (2)'!J15</f>
        <v>1380000000</v>
      </c>
      <c r="J18" s="1609">
        <f>'MATRIZ PLURIANUAL (2)'!K15</f>
        <v>69734682.99000001</v>
      </c>
      <c r="K18" s="1610">
        <f>'MATRIZ PLURIANUAL (2)'!L15</f>
        <v>9707609410.767168</v>
      </c>
      <c r="L18" s="1626">
        <f t="shared" si="0"/>
        <v>8327609410.7427483</v>
      </c>
      <c r="M18" s="1609">
        <f t="shared" si="1"/>
        <v>0</v>
      </c>
      <c r="N18" s="1600">
        <f t="shared" si="2"/>
        <v>1380000000</v>
      </c>
      <c r="O18" s="1600">
        <f t="shared" si="3"/>
        <v>8327609410.7427483</v>
      </c>
      <c r="P18" s="1600">
        <f t="shared" si="4"/>
        <v>8327609410.767168</v>
      </c>
      <c r="Q18" s="939"/>
    </row>
    <row r="19" spans="1:17" s="831" customFormat="1" ht="234" customHeight="1">
      <c r="A19" s="1573"/>
      <c r="B19" s="1588"/>
      <c r="C19" s="945" t="s">
        <v>719</v>
      </c>
      <c r="D19" s="1609"/>
      <c r="E19" s="1609"/>
      <c r="F19" s="1609"/>
      <c r="G19" s="1609"/>
      <c r="H19" s="1609"/>
      <c r="I19" s="1609"/>
      <c r="J19" s="1609"/>
      <c r="K19" s="1610"/>
      <c r="L19" s="1626">
        <f t="shared" si="0"/>
        <v>0</v>
      </c>
      <c r="M19" s="1609">
        <f t="shared" si="1"/>
        <v>0</v>
      </c>
      <c r="N19" s="1600">
        <f t="shared" si="2"/>
        <v>0</v>
      </c>
      <c r="O19" s="1600">
        <f t="shared" si="3"/>
        <v>0</v>
      </c>
      <c r="P19" s="1600">
        <f t="shared" si="4"/>
        <v>0</v>
      </c>
      <c r="Q19" s="939"/>
    </row>
    <row r="20" spans="1:17" s="831" customFormat="1" ht="234" customHeight="1">
      <c r="A20" s="1573"/>
      <c r="B20" s="1586" t="s">
        <v>127</v>
      </c>
      <c r="C20" s="945" t="s">
        <v>724</v>
      </c>
      <c r="D20" s="1609">
        <f>'MATRIZ PLURIANUAL (2)'!E18</f>
        <v>481952879.67516601</v>
      </c>
      <c r="E20" s="1609">
        <f>'MATRIZ PLURIANUAL (2)'!F18</f>
        <v>0</v>
      </c>
      <c r="F20" s="1609">
        <f>'MATRIZ PLURIANUAL (2)'!G18</f>
        <v>0</v>
      </c>
      <c r="G20" s="1609">
        <v>0</v>
      </c>
      <c r="H20" s="1609">
        <f>'MATRIZ PLURIANUAL (2)'!I18</f>
        <v>5756630272.1599998</v>
      </c>
      <c r="I20" s="1609">
        <f>'MATRIZ PLURIANUAL (2)'!J18</f>
        <v>2750000000</v>
      </c>
      <c r="J20" s="1609">
        <f>'MATRIZ PLURIANUAL (2)'!K18</f>
        <v>46489788.659999996</v>
      </c>
      <c r="K20" s="1610">
        <f>'MATRIZ PLURIANUAL (2)'!L18</f>
        <v>9035072940.4951668</v>
      </c>
      <c r="L20" s="1626">
        <f t="shared" si="0"/>
        <v>6285072940.4951658</v>
      </c>
      <c r="M20" s="1609">
        <f t="shared" si="1"/>
        <v>0</v>
      </c>
      <c r="N20" s="1600">
        <f t="shared" si="2"/>
        <v>2750000000</v>
      </c>
      <c r="O20" s="1600">
        <f t="shared" si="3"/>
        <v>6285072940.4951658</v>
      </c>
      <c r="P20" s="1600">
        <f t="shared" si="4"/>
        <v>6285072940.4951668</v>
      </c>
      <c r="Q20" s="939"/>
    </row>
    <row r="21" spans="1:17" s="831" customFormat="1" ht="234" customHeight="1">
      <c r="A21" s="1573"/>
      <c r="B21" s="1587"/>
      <c r="C21" s="945" t="s">
        <v>723</v>
      </c>
      <c r="D21" s="1609"/>
      <c r="E21" s="1609"/>
      <c r="F21" s="1609"/>
      <c r="G21" s="1609"/>
      <c r="H21" s="1609"/>
      <c r="I21" s="1609"/>
      <c r="J21" s="1609"/>
      <c r="K21" s="1610"/>
      <c r="L21" s="1626">
        <f t="shared" si="0"/>
        <v>0</v>
      </c>
      <c r="M21" s="1609">
        <f t="shared" si="1"/>
        <v>0</v>
      </c>
      <c r="N21" s="1600">
        <f t="shared" si="2"/>
        <v>0</v>
      </c>
      <c r="O21" s="1600">
        <f t="shared" si="3"/>
        <v>0</v>
      </c>
      <c r="P21" s="1600">
        <f t="shared" si="4"/>
        <v>0</v>
      </c>
      <c r="Q21" s="939"/>
    </row>
    <row r="22" spans="1:17" s="831" customFormat="1" ht="234" customHeight="1">
      <c r="A22" s="1573"/>
      <c r="B22" s="1587"/>
      <c r="C22" s="945" t="s">
        <v>722</v>
      </c>
      <c r="D22" s="1609"/>
      <c r="E22" s="1609"/>
      <c r="F22" s="1609"/>
      <c r="G22" s="1609"/>
      <c r="H22" s="1609"/>
      <c r="I22" s="1609"/>
      <c r="J22" s="1609"/>
      <c r="K22" s="1610"/>
      <c r="L22" s="1626">
        <f t="shared" si="0"/>
        <v>0</v>
      </c>
      <c r="M22" s="1609">
        <f t="shared" si="1"/>
        <v>0</v>
      </c>
      <c r="N22" s="1600">
        <f t="shared" si="2"/>
        <v>0</v>
      </c>
      <c r="O22" s="1600">
        <f t="shared" si="3"/>
        <v>0</v>
      </c>
      <c r="P22" s="1600">
        <f t="shared" si="4"/>
        <v>0</v>
      </c>
      <c r="Q22" s="939"/>
    </row>
    <row r="23" spans="1:17" s="831" customFormat="1" ht="234" customHeight="1">
      <c r="A23" s="1573"/>
      <c r="B23" s="1587"/>
      <c r="C23" s="945" t="s">
        <v>720</v>
      </c>
      <c r="D23" s="1609"/>
      <c r="E23" s="1609"/>
      <c r="F23" s="1609"/>
      <c r="G23" s="1609"/>
      <c r="H23" s="1609"/>
      <c r="I23" s="1609"/>
      <c r="J23" s="1609"/>
      <c r="K23" s="1610"/>
      <c r="L23" s="1626">
        <f t="shared" si="0"/>
        <v>0</v>
      </c>
      <c r="M23" s="1609">
        <f t="shared" si="1"/>
        <v>0</v>
      </c>
      <c r="N23" s="1600">
        <f t="shared" si="2"/>
        <v>0</v>
      </c>
      <c r="O23" s="1600">
        <f t="shared" si="3"/>
        <v>0</v>
      </c>
      <c r="P23" s="1600">
        <f t="shared" si="4"/>
        <v>0</v>
      </c>
      <c r="Q23" s="939"/>
    </row>
    <row r="24" spans="1:17" s="831" customFormat="1" ht="234" customHeight="1">
      <c r="A24" s="1574"/>
      <c r="B24" s="1588"/>
      <c r="C24" s="945" t="s">
        <v>721</v>
      </c>
      <c r="D24" s="1609"/>
      <c r="E24" s="1609"/>
      <c r="F24" s="1609"/>
      <c r="G24" s="1609"/>
      <c r="H24" s="1609"/>
      <c r="I24" s="1609"/>
      <c r="J24" s="1609"/>
      <c r="K24" s="1610"/>
      <c r="L24" s="1626">
        <f t="shared" si="0"/>
        <v>0</v>
      </c>
      <c r="M24" s="1609">
        <f t="shared" si="1"/>
        <v>0</v>
      </c>
      <c r="N24" s="1600">
        <f t="shared" si="2"/>
        <v>0</v>
      </c>
      <c r="O24" s="1600">
        <f t="shared" si="3"/>
        <v>0</v>
      </c>
      <c r="P24" s="1600">
        <f t="shared" si="4"/>
        <v>0</v>
      </c>
      <c r="Q24" s="939"/>
    </row>
    <row r="25" spans="1:17" s="833" customFormat="1" ht="147" customHeight="1">
      <c r="A25" s="955" t="s">
        <v>628</v>
      </c>
      <c r="B25" s="956"/>
      <c r="C25" s="957"/>
      <c r="D25" s="958">
        <f>'MATRIZ PLURIANUAL (2)'!E24</f>
        <v>5154558393.7734127</v>
      </c>
      <c r="E25" s="958">
        <f>'MATRIZ PLURIANUAL (2)'!F24</f>
        <v>11769751135.76</v>
      </c>
      <c r="F25" s="958">
        <f>'MATRIZ PLURIANUAL (2)'!G24</f>
        <v>0</v>
      </c>
      <c r="G25" s="958">
        <f>'MATRIZ PLURIANUAL (2)'!H24</f>
        <v>0</v>
      </c>
      <c r="H25" s="958">
        <f>'MATRIZ PLURIANUAL (2)'!I24</f>
        <v>34361466496.880005</v>
      </c>
      <c r="I25" s="958">
        <f>'MATRIZ PLURIANUAL (2)'!J24</f>
        <v>0</v>
      </c>
      <c r="J25" s="958">
        <f>'MATRIZ PLURIANUAL (2)'!K24</f>
        <v>267917431.02000001</v>
      </c>
      <c r="K25" s="1000">
        <f>'MATRIZ PLURIANUAL (2)'!L24</f>
        <v>51553693457.433418</v>
      </c>
      <c r="L25" s="1001">
        <f t="shared" si="0"/>
        <v>39783942321.673416</v>
      </c>
      <c r="M25" s="958">
        <f t="shared" si="1"/>
        <v>11769751135.76</v>
      </c>
      <c r="N25" s="980">
        <f t="shared" si="2"/>
        <v>0</v>
      </c>
      <c r="O25" s="980">
        <f t="shared" si="3"/>
        <v>51553693457.433418</v>
      </c>
      <c r="P25" s="980">
        <f t="shared" si="4"/>
        <v>51553693457.433418</v>
      </c>
      <c r="Q25" s="940"/>
    </row>
    <row r="26" spans="1:17" s="831" customFormat="1" ht="237" customHeight="1">
      <c r="A26" s="1572" t="s">
        <v>128</v>
      </c>
      <c r="B26" s="1586" t="s">
        <v>129</v>
      </c>
      <c r="C26" s="945" t="s">
        <v>725</v>
      </c>
      <c r="D26" s="1609">
        <f>'MATRIZ PLURIANUAL (2)'!E25</f>
        <v>1307372199.1879151</v>
      </c>
      <c r="E26" s="1609">
        <f>'MATRIZ PLURIANUAL (2)'!F25</f>
        <v>590577276.76999998</v>
      </c>
      <c r="F26" s="1609">
        <f>'MATRIZ PLURIANUAL (2)'!G25</f>
        <v>0</v>
      </c>
      <c r="G26" s="1609">
        <f>'MATRIZ PLURIANUAL (2)'!H25</f>
        <v>0</v>
      </c>
      <c r="H26" s="1609">
        <f>'MATRIZ PLURIANUAL (2)'!I25</f>
        <v>18791575680.400002</v>
      </c>
      <c r="I26" s="1609">
        <f>'MATRIZ PLURIANUAL (2)'!J25</f>
        <v>0</v>
      </c>
      <c r="J26" s="1609">
        <f>'MATRIZ PLURIANUAL (2)'!K25</f>
        <v>116224471.65000001</v>
      </c>
      <c r="K26" s="1610">
        <f>'MATRIZ PLURIANUAL (2)'!L25</f>
        <v>20805749628.007919</v>
      </c>
      <c r="L26" s="1626">
        <f t="shared" si="0"/>
        <v>20215172351.237919</v>
      </c>
      <c r="M26" s="1609">
        <f t="shared" si="1"/>
        <v>590577276.76999998</v>
      </c>
      <c r="N26" s="1600">
        <f t="shared" si="2"/>
        <v>0</v>
      </c>
      <c r="O26" s="1600">
        <f t="shared" si="3"/>
        <v>20805749628.007919</v>
      </c>
      <c r="P26" s="1600">
        <f t="shared" si="4"/>
        <v>20805749628.007919</v>
      </c>
      <c r="Q26" s="939"/>
    </row>
    <row r="27" spans="1:17" s="831" customFormat="1" ht="237" customHeight="1">
      <c r="A27" s="1573"/>
      <c r="B27" s="1587"/>
      <c r="C27" s="945" t="s">
        <v>726</v>
      </c>
      <c r="D27" s="1609"/>
      <c r="E27" s="1609"/>
      <c r="F27" s="1609"/>
      <c r="G27" s="1609"/>
      <c r="H27" s="1609"/>
      <c r="I27" s="1609"/>
      <c r="J27" s="1609"/>
      <c r="K27" s="1610"/>
      <c r="L27" s="1626">
        <f t="shared" si="0"/>
        <v>0</v>
      </c>
      <c r="M27" s="1609">
        <f t="shared" si="1"/>
        <v>0</v>
      </c>
      <c r="N27" s="1600">
        <f t="shared" si="2"/>
        <v>0</v>
      </c>
      <c r="O27" s="1600">
        <f t="shared" si="3"/>
        <v>0</v>
      </c>
      <c r="P27" s="1600">
        <f t="shared" si="4"/>
        <v>0</v>
      </c>
      <c r="Q27" s="939"/>
    </row>
    <row r="28" spans="1:17" s="831" customFormat="1" ht="237" customHeight="1">
      <c r="A28" s="1573"/>
      <c r="B28" s="1587"/>
      <c r="C28" s="945" t="s">
        <v>727</v>
      </c>
      <c r="D28" s="1609"/>
      <c r="E28" s="1609"/>
      <c r="F28" s="1609"/>
      <c r="G28" s="1609"/>
      <c r="H28" s="1609"/>
      <c r="I28" s="1609"/>
      <c r="J28" s="1609"/>
      <c r="K28" s="1610"/>
      <c r="L28" s="1626">
        <f t="shared" si="0"/>
        <v>0</v>
      </c>
      <c r="M28" s="1609">
        <f t="shared" si="1"/>
        <v>0</v>
      </c>
      <c r="N28" s="1600">
        <f t="shared" si="2"/>
        <v>0</v>
      </c>
      <c r="O28" s="1600">
        <f t="shared" si="3"/>
        <v>0</v>
      </c>
      <c r="P28" s="1600">
        <f t="shared" si="4"/>
        <v>0</v>
      </c>
      <c r="Q28" s="939"/>
    </row>
    <row r="29" spans="1:17" s="831" customFormat="1" ht="237" customHeight="1">
      <c r="A29" s="1573"/>
      <c r="B29" s="1587"/>
      <c r="C29" s="945" t="s">
        <v>728</v>
      </c>
      <c r="D29" s="1609"/>
      <c r="E29" s="1609"/>
      <c r="F29" s="1609"/>
      <c r="G29" s="1609"/>
      <c r="H29" s="1609"/>
      <c r="I29" s="1609"/>
      <c r="J29" s="1609"/>
      <c r="K29" s="1610"/>
      <c r="L29" s="1626">
        <f t="shared" si="0"/>
        <v>0</v>
      </c>
      <c r="M29" s="1609">
        <f t="shared" si="1"/>
        <v>0</v>
      </c>
      <c r="N29" s="1600">
        <f t="shared" si="2"/>
        <v>0</v>
      </c>
      <c r="O29" s="1600">
        <f t="shared" si="3"/>
        <v>0</v>
      </c>
      <c r="P29" s="1600">
        <f t="shared" si="4"/>
        <v>0</v>
      </c>
      <c r="Q29" s="939"/>
    </row>
    <row r="30" spans="1:17" s="831" customFormat="1" ht="237" customHeight="1">
      <c r="A30" s="1573"/>
      <c r="B30" s="1587"/>
      <c r="C30" s="945" t="s">
        <v>729</v>
      </c>
      <c r="D30" s="1609"/>
      <c r="E30" s="1609"/>
      <c r="F30" s="1609"/>
      <c r="G30" s="1609"/>
      <c r="H30" s="1609"/>
      <c r="I30" s="1609"/>
      <c r="J30" s="1609"/>
      <c r="K30" s="1610"/>
      <c r="L30" s="1626">
        <f t="shared" si="0"/>
        <v>0</v>
      </c>
      <c r="M30" s="1609">
        <f t="shared" si="1"/>
        <v>0</v>
      </c>
      <c r="N30" s="1600">
        <f t="shared" si="2"/>
        <v>0</v>
      </c>
      <c r="O30" s="1600">
        <f t="shared" si="3"/>
        <v>0</v>
      </c>
      <c r="P30" s="1600">
        <f t="shared" si="4"/>
        <v>0</v>
      </c>
      <c r="Q30" s="939"/>
    </row>
    <row r="31" spans="1:17" s="831" customFormat="1" ht="237" customHeight="1">
      <c r="A31" s="1573"/>
      <c r="B31" s="1588"/>
      <c r="C31" s="945" t="s">
        <v>730</v>
      </c>
      <c r="D31" s="1609"/>
      <c r="E31" s="1609"/>
      <c r="F31" s="1609"/>
      <c r="G31" s="1609"/>
      <c r="H31" s="1609"/>
      <c r="I31" s="1609"/>
      <c r="J31" s="1609"/>
      <c r="K31" s="1610"/>
      <c r="L31" s="1626">
        <f t="shared" si="0"/>
        <v>0</v>
      </c>
      <c r="M31" s="1609">
        <f t="shared" si="1"/>
        <v>0</v>
      </c>
      <c r="N31" s="1600">
        <f t="shared" si="2"/>
        <v>0</v>
      </c>
      <c r="O31" s="1600">
        <f t="shared" si="3"/>
        <v>0</v>
      </c>
      <c r="P31" s="1600">
        <f t="shared" si="4"/>
        <v>0</v>
      </c>
      <c r="Q31" s="939"/>
    </row>
    <row r="32" spans="1:17" s="831" customFormat="1" ht="237" customHeight="1">
      <c r="A32" s="1573"/>
      <c r="B32" s="1586" t="s">
        <v>130</v>
      </c>
      <c r="C32" s="945" t="s">
        <v>731</v>
      </c>
      <c r="D32" s="1612">
        <f>'MATRIZ PLURIANUAL (2)'!E32</f>
        <v>1172929319.512749</v>
      </c>
      <c r="E32" s="1612">
        <f>'MATRIZ PLURIANUAL (2)'!F32</f>
        <v>2073093025.96</v>
      </c>
      <c r="F32" s="1612">
        <f>'MATRIZ PLURIANUAL (2)'!G32</f>
        <v>0</v>
      </c>
      <c r="G32" s="1612">
        <f>'MATRIZ PLURIANUAL (2)'!H32</f>
        <v>0</v>
      </c>
      <c r="H32" s="1612">
        <f>'MATRIZ PLURIANUAL (2)'!I32</f>
        <v>7534945408.2399998</v>
      </c>
      <c r="I32" s="1612">
        <f>'MATRIZ PLURIANUAL (2)'!J32</f>
        <v>0</v>
      </c>
      <c r="J32" s="1612">
        <f>'MATRIZ PLURIANUAL (2)'!K32</f>
        <v>69734682.99000001</v>
      </c>
      <c r="K32" s="1615">
        <f>'MATRIZ PLURIANUAL (2)'!L32</f>
        <v>10850702436.702749</v>
      </c>
      <c r="L32" s="1626">
        <f t="shared" si="0"/>
        <v>8777609410.7427483</v>
      </c>
      <c r="M32" s="1609">
        <f t="shared" si="1"/>
        <v>2073093025.96</v>
      </c>
      <c r="N32" s="1600">
        <f t="shared" si="2"/>
        <v>0</v>
      </c>
      <c r="O32" s="1600">
        <f t="shared" si="3"/>
        <v>10850702436.702747</v>
      </c>
      <c r="P32" s="1600">
        <f t="shared" si="4"/>
        <v>10850702436.702749</v>
      </c>
      <c r="Q32" s="939"/>
    </row>
    <row r="33" spans="1:17" s="831" customFormat="1" ht="237" customHeight="1">
      <c r="A33" s="1573"/>
      <c r="B33" s="1587"/>
      <c r="C33" s="945" t="s">
        <v>732</v>
      </c>
      <c r="D33" s="1613"/>
      <c r="E33" s="1613"/>
      <c r="F33" s="1613"/>
      <c r="G33" s="1613"/>
      <c r="H33" s="1613"/>
      <c r="I33" s="1613"/>
      <c r="J33" s="1613"/>
      <c r="K33" s="1616"/>
      <c r="L33" s="1626">
        <f t="shared" si="0"/>
        <v>0</v>
      </c>
      <c r="M33" s="1609">
        <f t="shared" si="1"/>
        <v>0</v>
      </c>
      <c r="N33" s="1600">
        <f t="shared" si="2"/>
        <v>0</v>
      </c>
      <c r="O33" s="1600">
        <f t="shared" si="3"/>
        <v>0</v>
      </c>
      <c r="P33" s="1600">
        <f t="shared" si="4"/>
        <v>0</v>
      </c>
      <c r="Q33" s="939"/>
    </row>
    <row r="34" spans="1:17" s="831" customFormat="1" ht="237" customHeight="1">
      <c r="A34" s="1573"/>
      <c r="B34" s="1587"/>
      <c r="C34" s="945" t="s">
        <v>733</v>
      </c>
      <c r="D34" s="1613"/>
      <c r="E34" s="1613"/>
      <c r="F34" s="1613"/>
      <c r="G34" s="1613"/>
      <c r="H34" s="1613"/>
      <c r="I34" s="1613"/>
      <c r="J34" s="1613"/>
      <c r="K34" s="1616"/>
      <c r="L34" s="1626">
        <f t="shared" si="0"/>
        <v>0</v>
      </c>
      <c r="M34" s="1609">
        <f t="shared" si="1"/>
        <v>0</v>
      </c>
      <c r="N34" s="1600">
        <f t="shared" si="2"/>
        <v>0</v>
      </c>
      <c r="O34" s="1600">
        <f t="shared" si="3"/>
        <v>0</v>
      </c>
      <c r="P34" s="1600">
        <f t="shared" si="4"/>
        <v>0</v>
      </c>
      <c r="Q34" s="939"/>
    </row>
    <row r="35" spans="1:17" s="831" customFormat="1" ht="237" customHeight="1">
      <c r="A35" s="1573"/>
      <c r="B35" s="1587"/>
      <c r="C35" s="945" t="s">
        <v>734</v>
      </c>
      <c r="D35" s="1613"/>
      <c r="E35" s="1613"/>
      <c r="F35" s="1613"/>
      <c r="G35" s="1613"/>
      <c r="H35" s="1613"/>
      <c r="I35" s="1613"/>
      <c r="J35" s="1613"/>
      <c r="K35" s="1616"/>
      <c r="L35" s="1626">
        <f t="shared" si="0"/>
        <v>0</v>
      </c>
      <c r="M35" s="1609">
        <f t="shared" si="1"/>
        <v>0</v>
      </c>
      <c r="N35" s="1600">
        <f t="shared" si="2"/>
        <v>0</v>
      </c>
      <c r="O35" s="1600">
        <f t="shared" si="3"/>
        <v>0</v>
      </c>
      <c r="P35" s="1600">
        <f t="shared" si="4"/>
        <v>0</v>
      </c>
      <c r="Q35" s="939"/>
    </row>
    <row r="36" spans="1:17" s="831" customFormat="1" ht="237" customHeight="1">
      <c r="A36" s="1573"/>
      <c r="B36" s="1588"/>
      <c r="C36" s="945" t="s">
        <v>735</v>
      </c>
      <c r="D36" s="1618"/>
      <c r="E36" s="1618"/>
      <c r="F36" s="1618"/>
      <c r="G36" s="1618"/>
      <c r="H36" s="1618"/>
      <c r="I36" s="1618"/>
      <c r="J36" s="1618"/>
      <c r="K36" s="1619"/>
      <c r="L36" s="1626">
        <f t="shared" si="0"/>
        <v>0</v>
      </c>
      <c r="M36" s="1609">
        <f t="shared" si="1"/>
        <v>0</v>
      </c>
      <c r="N36" s="1600">
        <f t="shared" si="2"/>
        <v>0</v>
      </c>
      <c r="O36" s="1600">
        <f t="shared" si="3"/>
        <v>0</v>
      </c>
      <c r="P36" s="1600">
        <f t="shared" si="4"/>
        <v>0</v>
      </c>
      <c r="Q36" s="939"/>
    </row>
    <row r="37" spans="1:17" s="831" customFormat="1" ht="237" customHeight="1">
      <c r="A37" s="1573"/>
      <c r="B37" s="1586" t="s">
        <v>131</v>
      </c>
      <c r="C37" s="945" t="s">
        <v>736</v>
      </c>
      <c r="D37" s="1609">
        <f>'MATRIZ PLURIANUAL (2)'!E38</f>
        <v>2674256875.0727487</v>
      </c>
      <c r="E37" s="1609">
        <f>'MATRIZ PLURIANUAL (2)'!F38</f>
        <v>9106080833.0299988</v>
      </c>
      <c r="F37" s="1609">
        <f>'MATRIZ PLURIANUAL (2)'!G38</f>
        <v>0</v>
      </c>
      <c r="G37" s="1609">
        <f>'MATRIZ PLURIANUAL (2)'!H38</f>
        <v>0</v>
      </c>
      <c r="H37" s="1609">
        <f>'MATRIZ PLURIANUAL (2)'!I38</f>
        <v>8034945408.2399998</v>
      </c>
      <c r="I37" s="1609">
        <f>'MATRIZ PLURIANUAL (2)'!J38</f>
        <v>0</v>
      </c>
      <c r="J37" s="1609">
        <f>'MATRIZ PLURIANUAL (2)'!K38</f>
        <v>81958276.379999995</v>
      </c>
      <c r="K37" s="1610">
        <f>'MATRIZ PLURIANUAL (2)'!L38</f>
        <v>19897241392.722748</v>
      </c>
      <c r="L37" s="1626">
        <f t="shared" si="0"/>
        <v>10791160559.692747</v>
      </c>
      <c r="M37" s="1609">
        <f t="shared" si="1"/>
        <v>9106080833.0299988</v>
      </c>
      <c r="N37" s="1600">
        <f t="shared" si="2"/>
        <v>0</v>
      </c>
      <c r="O37" s="1600">
        <f t="shared" si="3"/>
        <v>19897241392.722748</v>
      </c>
      <c r="P37" s="1600">
        <f t="shared" si="4"/>
        <v>19897241392.722748</v>
      </c>
      <c r="Q37" s="939"/>
    </row>
    <row r="38" spans="1:17" s="831" customFormat="1" ht="237" customHeight="1">
      <c r="A38" s="1573"/>
      <c r="B38" s="1587"/>
      <c r="C38" s="945" t="s">
        <v>737</v>
      </c>
      <c r="D38" s="1609"/>
      <c r="E38" s="1609"/>
      <c r="F38" s="1609"/>
      <c r="G38" s="1609"/>
      <c r="H38" s="1609"/>
      <c r="I38" s="1609"/>
      <c r="J38" s="1609"/>
      <c r="K38" s="1610"/>
      <c r="L38" s="1626">
        <f t="shared" si="0"/>
        <v>0</v>
      </c>
      <c r="M38" s="1609">
        <f t="shared" si="1"/>
        <v>0</v>
      </c>
      <c r="N38" s="1600">
        <f t="shared" si="2"/>
        <v>0</v>
      </c>
      <c r="O38" s="1600">
        <f t="shared" si="3"/>
        <v>0</v>
      </c>
      <c r="P38" s="1600">
        <f t="shared" si="4"/>
        <v>0</v>
      </c>
      <c r="Q38" s="939"/>
    </row>
    <row r="39" spans="1:17" s="831" customFormat="1" ht="237" customHeight="1">
      <c r="A39" s="1574"/>
      <c r="B39" s="1588"/>
      <c r="C39" s="945" t="s">
        <v>738</v>
      </c>
      <c r="D39" s="1609"/>
      <c r="E39" s="1609"/>
      <c r="F39" s="1609"/>
      <c r="G39" s="1609"/>
      <c r="H39" s="1609"/>
      <c r="I39" s="1609"/>
      <c r="J39" s="1609"/>
      <c r="K39" s="1610"/>
      <c r="L39" s="1626">
        <f t="shared" si="0"/>
        <v>0</v>
      </c>
      <c r="M39" s="1609">
        <f t="shared" si="1"/>
        <v>0</v>
      </c>
      <c r="N39" s="1600">
        <f t="shared" si="2"/>
        <v>0</v>
      </c>
      <c r="O39" s="1600">
        <f t="shared" si="3"/>
        <v>0</v>
      </c>
      <c r="P39" s="1600">
        <f t="shared" si="4"/>
        <v>0</v>
      </c>
      <c r="Q39" s="939"/>
    </row>
    <row r="40" spans="1:17" s="833" customFormat="1" ht="147" customHeight="1">
      <c r="A40" s="959" t="s">
        <v>629</v>
      </c>
      <c r="B40" s="960"/>
      <c r="C40" s="961"/>
      <c r="D40" s="962">
        <f>'MATRIZ PLURIANUAL (2)'!E42</f>
        <v>8355887669.2378302</v>
      </c>
      <c r="E40" s="962">
        <f>'MATRIZ PLURIANUAL (2)'!F42</f>
        <v>4044215467.4700003</v>
      </c>
      <c r="F40" s="962">
        <f>'MATRIZ PLURIANUAL (2)'!G42</f>
        <v>0</v>
      </c>
      <c r="G40" s="962">
        <f>'MATRIZ PLURIANUAL (2)'!H42</f>
        <v>0</v>
      </c>
      <c r="H40" s="962">
        <f>'MATRIZ PLURIANUAL (2)'!I42</f>
        <v>57207609853.410004</v>
      </c>
      <c r="I40" s="962">
        <f>'MATRIZ PLURIANUAL (2)'!J42</f>
        <v>122900000000</v>
      </c>
      <c r="J40" s="962">
        <f>'MATRIZ PLURIANUAL (2)'!K42</f>
        <v>14095788414.608999</v>
      </c>
      <c r="K40" s="1002">
        <f>'MATRIZ PLURIANUAL (2)'!L42</f>
        <v>206603501404.72684</v>
      </c>
      <c r="L40" s="1003">
        <f t="shared" si="0"/>
        <v>79659285937.256836</v>
      </c>
      <c r="M40" s="962">
        <f t="shared" si="1"/>
        <v>4044215467.4700003</v>
      </c>
      <c r="N40" s="981">
        <f t="shared" si="2"/>
        <v>122900000000</v>
      </c>
      <c r="O40" s="981">
        <f t="shared" si="3"/>
        <v>83703501404.726837</v>
      </c>
      <c r="P40" s="981">
        <f t="shared" si="4"/>
        <v>83703501404.726837</v>
      </c>
      <c r="Q40" s="940"/>
    </row>
    <row r="41" spans="1:17" s="833" customFormat="1" ht="229.2" customHeight="1">
      <c r="A41" s="1572" t="s">
        <v>132</v>
      </c>
      <c r="B41" s="1586" t="s">
        <v>133</v>
      </c>
      <c r="C41" s="945" t="s">
        <v>739</v>
      </c>
      <c r="D41" s="1581">
        <f>'MATRIZ PLURIANUAL (2)'!E43</f>
        <v>8355887669.2378302</v>
      </c>
      <c r="E41" s="1581">
        <f>'MATRIZ PLURIANUAL (2)'!F43</f>
        <v>4044215467.4700003</v>
      </c>
      <c r="F41" s="1581">
        <f>'MATRIZ PLURIANUAL (2)'!G43</f>
        <v>0</v>
      </c>
      <c r="G41" s="1581">
        <f>'MATRIZ PLURIANUAL (2)'!H43</f>
        <v>0</v>
      </c>
      <c r="H41" s="1581">
        <f>'MATRIZ PLURIANUAL (2)'!I43</f>
        <v>57207609853.410004</v>
      </c>
      <c r="I41" s="1581">
        <f>'MATRIZ PLURIANUAL (2)'!J43</f>
        <v>122900000000</v>
      </c>
      <c r="J41" s="1581">
        <f>'MATRIZ PLURIANUAL (2)'!K43</f>
        <v>14095788414.608999</v>
      </c>
      <c r="K41" s="1606">
        <f>'MATRIZ PLURIANUAL (2)'!L43</f>
        <v>206603501404.72684</v>
      </c>
      <c r="L41" s="1635">
        <f t="shared" si="0"/>
        <v>79659285937.256836</v>
      </c>
      <c r="M41" s="1598">
        <f t="shared" si="1"/>
        <v>4044215467.4700003</v>
      </c>
      <c r="N41" s="1597">
        <f t="shared" si="2"/>
        <v>122900000000</v>
      </c>
      <c r="O41" s="1597">
        <f t="shared" si="3"/>
        <v>83703501404.726837</v>
      </c>
      <c r="P41" s="1597">
        <f t="shared" si="4"/>
        <v>83703501404.726837</v>
      </c>
      <c r="Q41" s="940"/>
    </row>
    <row r="42" spans="1:17" s="833" customFormat="1" ht="229.2" customHeight="1">
      <c r="A42" s="1573"/>
      <c r="B42" s="1587"/>
      <c r="C42" s="945" t="s">
        <v>740</v>
      </c>
      <c r="D42" s="1582"/>
      <c r="E42" s="1582"/>
      <c r="F42" s="1582"/>
      <c r="G42" s="1582"/>
      <c r="H42" s="1582"/>
      <c r="I42" s="1582"/>
      <c r="J42" s="1582"/>
      <c r="K42" s="1607"/>
      <c r="L42" s="1635">
        <f t="shared" si="0"/>
        <v>0</v>
      </c>
      <c r="M42" s="1598">
        <f t="shared" si="1"/>
        <v>0</v>
      </c>
      <c r="N42" s="1597">
        <f t="shared" si="2"/>
        <v>0</v>
      </c>
      <c r="O42" s="1597">
        <f t="shared" si="3"/>
        <v>0</v>
      </c>
      <c r="P42" s="1597">
        <f t="shared" si="4"/>
        <v>0</v>
      </c>
      <c r="Q42" s="940"/>
    </row>
    <row r="43" spans="1:17" s="833" customFormat="1" ht="229.2" customHeight="1">
      <c r="A43" s="1573"/>
      <c r="B43" s="1587"/>
      <c r="C43" s="945" t="s">
        <v>741</v>
      </c>
      <c r="D43" s="1582"/>
      <c r="E43" s="1582"/>
      <c r="F43" s="1582"/>
      <c r="G43" s="1582"/>
      <c r="H43" s="1582"/>
      <c r="I43" s="1582"/>
      <c r="J43" s="1582"/>
      <c r="K43" s="1607"/>
      <c r="L43" s="1635">
        <f t="shared" si="0"/>
        <v>0</v>
      </c>
      <c r="M43" s="1598">
        <f t="shared" si="1"/>
        <v>0</v>
      </c>
      <c r="N43" s="1597">
        <f t="shared" si="2"/>
        <v>0</v>
      </c>
      <c r="O43" s="1597">
        <f t="shared" si="3"/>
        <v>0</v>
      </c>
      <c r="P43" s="1597">
        <f t="shared" si="4"/>
        <v>0</v>
      </c>
      <c r="Q43" s="940"/>
    </row>
    <row r="44" spans="1:17" s="833" customFormat="1" ht="229.2" customHeight="1">
      <c r="A44" s="1574"/>
      <c r="B44" s="1588"/>
      <c r="C44" s="945" t="s">
        <v>742</v>
      </c>
      <c r="D44" s="1585"/>
      <c r="E44" s="1585"/>
      <c r="F44" s="1585"/>
      <c r="G44" s="1585"/>
      <c r="H44" s="1585"/>
      <c r="I44" s="1585"/>
      <c r="J44" s="1585"/>
      <c r="K44" s="1608"/>
      <c r="L44" s="1635">
        <f t="shared" si="0"/>
        <v>0</v>
      </c>
      <c r="M44" s="1598">
        <f t="shared" si="1"/>
        <v>0</v>
      </c>
      <c r="N44" s="1597">
        <f t="shared" si="2"/>
        <v>0</v>
      </c>
      <c r="O44" s="1597">
        <f t="shared" si="3"/>
        <v>0</v>
      </c>
      <c r="P44" s="1597">
        <f t="shared" si="4"/>
        <v>0</v>
      </c>
      <c r="Q44" s="940"/>
    </row>
    <row r="45" spans="1:17" s="833" customFormat="1" ht="147" customHeight="1">
      <c r="A45" s="963" t="s">
        <v>630</v>
      </c>
      <c r="B45" s="964"/>
      <c r="C45" s="965"/>
      <c r="D45" s="966">
        <f>'MATRIZ PLURIANUAL (2)'!E48</f>
        <v>11877045931.396614</v>
      </c>
      <c r="E45" s="966">
        <f>'MATRIZ PLURIANUAL (2)'!F48</f>
        <v>72611829777.649994</v>
      </c>
      <c r="F45" s="966">
        <f>'MATRIZ PLURIANUAL (2)'!G48</f>
        <v>752905601773.56787</v>
      </c>
      <c r="G45" s="966">
        <f>'MATRIZ PLURIANUAL (2)'!H48</f>
        <v>0</v>
      </c>
      <c r="H45" s="966">
        <f>'MATRIZ PLURIANUAL (2)'!I48</f>
        <v>108672857768.95001</v>
      </c>
      <c r="I45" s="966">
        <f>'MATRIZ PLURIANUAL (2)'!J48</f>
        <v>87116304145.928497</v>
      </c>
      <c r="J45" s="966">
        <f>'MATRIZ PLURIANUAL (2)'!K48</f>
        <v>2101948854.3850002</v>
      </c>
      <c r="K45" s="1004">
        <f>'MATRIZ PLURIANUAL (2)'!L48</f>
        <v>1035285588251.8779</v>
      </c>
      <c r="L45" s="1005">
        <f t="shared" si="0"/>
        <v>122651852554.73161</v>
      </c>
      <c r="M45" s="966">
        <f t="shared" si="1"/>
        <v>825517431551.2179</v>
      </c>
      <c r="N45" s="982">
        <f t="shared" si="2"/>
        <v>87116304145.928497</v>
      </c>
      <c r="O45" s="982">
        <f t="shared" si="3"/>
        <v>948169284105.94946</v>
      </c>
      <c r="P45" s="982">
        <f t="shared" si="4"/>
        <v>195263682332.38159</v>
      </c>
      <c r="Q45" s="940"/>
    </row>
    <row r="46" spans="1:17" s="831" customFormat="1" ht="273" customHeight="1">
      <c r="A46" s="1572" t="s">
        <v>134</v>
      </c>
      <c r="B46" s="1604" t="s">
        <v>135</v>
      </c>
      <c r="C46" s="945" t="s">
        <v>743</v>
      </c>
      <c r="D46" s="1620">
        <f>'MATRIZ PLURIANUAL (2)'!E49</f>
        <v>1927811518.700664</v>
      </c>
      <c r="E46" s="1620">
        <f>'MATRIZ PLURIANUAL (2)'!F49</f>
        <v>48505021079.989998</v>
      </c>
      <c r="F46" s="1620">
        <f>'MATRIZ PLURIANUAL (2)'!G49</f>
        <v>752905601773.56787</v>
      </c>
      <c r="G46" s="1620">
        <f>'MATRIZ PLURIANUAL (2)'!H49</f>
        <v>0</v>
      </c>
      <c r="H46" s="1620">
        <f>'MATRIZ PLURIANUAL (2)'!I49</f>
        <v>35137995793.380005</v>
      </c>
      <c r="I46" s="1620">
        <f>'MATRIZ PLURIANUAL (2)'!J49</f>
        <v>70882037540.743195</v>
      </c>
      <c r="J46" s="1620">
        <f>'MATRIZ PLURIANUAL (2)'!K49</f>
        <v>185959154.63999999</v>
      </c>
      <c r="K46" s="1623">
        <f>'MATRIZ PLURIANUAL (2)'!L49</f>
        <v>909544426861.02173</v>
      </c>
      <c r="L46" s="1633">
        <f t="shared" si="0"/>
        <v>37251766466.720665</v>
      </c>
      <c r="M46" s="1636">
        <f t="shared" si="1"/>
        <v>801410622853.55786</v>
      </c>
      <c r="N46" s="1602">
        <f t="shared" si="2"/>
        <v>70882037540.743195</v>
      </c>
      <c r="O46" s="1602">
        <f t="shared" si="3"/>
        <v>838662389320.27856</v>
      </c>
      <c r="P46" s="1602">
        <f t="shared" si="4"/>
        <v>85756787546.710693</v>
      </c>
      <c r="Q46" s="939"/>
    </row>
    <row r="47" spans="1:17" s="831" customFormat="1" ht="273" customHeight="1">
      <c r="A47" s="1573"/>
      <c r="B47" s="1604"/>
      <c r="C47" s="945" t="s">
        <v>744</v>
      </c>
      <c r="D47" s="1622"/>
      <c r="E47" s="1622"/>
      <c r="F47" s="1622"/>
      <c r="G47" s="1622"/>
      <c r="H47" s="1622"/>
      <c r="I47" s="1622"/>
      <c r="J47" s="1622"/>
      <c r="K47" s="1625"/>
      <c r="L47" s="1633">
        <f t="shared" si="0"/>
        <v>0</v>
      </c>
      <c r="M47" s="1636">
        <f t="shared" si="1"/>
        <v>0</v>
      </c>
      <c r="N47" s="1602">
        <f t="shared" si="2"/>
        <v>0</v>
      </c>
      <c r="O47" s="1602">
        <f t="shared" si="3"/>
        <v>0</v>
      </c>
      <c r="P47" s="1602">
        <f t="shared" si="4"/>
        <v>0</v>
      </c>
      <c r="Q47" s="939"/>
    </row>
    <row r="48" spans="1:17" s="831" customFormat="1" ht="273" customHeight="1">
      <c r="A48" s="1573"/>
      <c r="B48" s="1604" t="s">
        <v>136</v>
      </c>
      <c r="C48" s="945" t="s">
        <v>745</v>
      </c>
      <c r="D48" s="1609">
        <f>'MATRIZ PLURIANUAL (2)'!E51</f>
        <v>922929319.51274884</v>
      </c>
      <c r="E48" s="1609">
        <f>'MATRIZ PLURIANUAL (2)'!F51</f>
        <v>1939625517.6600001</v>
      </c>
      <c r="F48" s="1609">
        <f>'MATRIZ PLURIANUAL (2)'!G51</f>
        <v>0</v>
      </c>
      <c r="G48" s="1609">
        <f>'MATRIZ PLURIANUAL (2)'!H51</f>
        <v>0</v>
      </c>
      <c r="H48" s="1609">
        <f>'MATRIZ PLURIANUAL (2)'!I51</f>
        <v>8034945408.2399998</v>
      </c>
      <c r="I48" s="1609">
        <f>'MATRIZ PLURIANUAL (2)'!J51</f>
        <v>0</v>
      </c>
      <c r="J48" s="1609">
        <f>'MATRIZ PLURIANUAL (2)'!K51</f>
        <v>69734682.99000001</v>
      </c>
      <c r="K48" s="1610">
        <f>'MATRIZ PLURIANUAL (2)'!L51</f>
        <v>10967234928.402748</v>
      </c>
      <c r="L48" s="1626">
        <f t="shared" si="0"/>
        <v>9027609410.7427483</v>
      </c>
      <c r="M48" s="1609">
        <f t="shared" si="1"/>
        <v>1939625517.6600001</v>
      </c>
      <c r="N48" s="1600">
        <f t="shared" si="2"/>
        <v>0</v>
      </c>
      <c r="O48" s="1600">
        <f t="shared" si="3"/>
        <v>10967234928.402748</v>
      </c>
      <c r="P48" s="1600">
        <f t="shared" si="4"/>
        <v>10967234928.402748</v>
      </c>
      <c r="Q48" s="939"/>
    </row>
    <row r="49" spans="1:17" s="831" customFormat="1" ht="273" customHeight="1">
      <c r="A49" s="1573"/>
      <c r="B49" s="1604"/>
      <c r="C49" s="945" t="s">
        <v>746</v>
      </c>
      <c r="D49" s="1609"/>
      <c r="E49" s="1609"/>
      <c r="F49" s="1609"/>
      <c r="G49" s="1609"/>
      <c r="H49" s="1609"/>
      <c r="I49" s="1609"/>
      <c r="J49" s="1609"/>
      <c r="K49" s="1610"/>
      <c r="L49" s="1626">
        <f t="shared" si="0"/>
        <v>0</v>
      </c>
      <c r="M49" s="1609">
        <f t="shared" si="1"/>
        <v>0</v>
      </c>
      <c r="N49" s="1600">
        <f t="shared" si="2"/>
        <v>0</v>
      </c>
      <c r="O49" s="1600">
        <f t="shared" si="3"/>
        <v>0</v>
      </c>
      <c r="P49" s="1600">
        <f t="shared" si="4"/>
        <v>0</v>
      </c>
      <c r="Q49" s="939"/>
    </row>
    <row r="50" spans="1:17" s="831" customFormat="1" ht="273" customHeight="1">
      <c r="A50" s="1573"/>
      <c r="B50" s="1604" t="s">
        <v>137</v>
      </c>
      <c r="C50" s="945" t="s">
        <v>747</v>
      </c>
      <c r="D50" s="1612">
        <f>'MATRIZ PLURIANUAL (2)'!E54</f>
        <v>1112929319.512749</v>
      </c>
      <c r="E50" s="1612">
        <f>'MATRIZ PLURIANUAL (2)'!F54</f>
        <v>0</v>
      </c>
      <c r="F50" s="1612">
        <f>'MATRIZ PLURIANUAL (2)'!G54</f>
        <v>0</v>
      </c>
      <c r="G50" s="1612">
        <f>'MATRIZ PLURIANUAL (2)'!H54</f>
        <v>0</v>
      </c>
      <c r="H50" s="1612">
        <f>'MATRIZ PLURIANUAL (2)'!I54</f>
        <v>7534945408.2399998</v>
      </c>
      <c r="I50" s="1612">
        <f>'MATRIZ PLURIANUAL (2)'!J54</f>
        <v>0</v>
      </c>
      <c r="J50" s="1612">
        <f>'MATRIZ PLURIANUAL (2)'!K54</f>
        <v>69734682.99000001</v>
      </c>
      <c r="K50" s="1615">
        <f>'MATRIZ PLURIANUAL (2)'!L54</f>
        <v>8717609410.7427483</v>
      </c>
      <c r="L50" s="1626">
        <f t="shared" si="0"/>
        <v>8717609410.7427483</v>
      </c>
      <c r="M50" s="1609">
        <f t="shared" si="1"/>
        <v>0</v>
      </c>
      <c r="N50" s="1600">
        <f t="shared" si="2"/>
        <v>0</v>
      </c>
      <c r="O50" s="1600">
        <f t="shared" si="3"/>
        <v>8717609410.7427483</v>
      </c>
      <c r="P50" s="1600">
        <f t="shared" si="4"/>
        <v>8717609410.7427483</v>
      </c>
      <c r="Q50" s="939"/>
    </row>
    <row r="51" spans="1:17" s="831" customFormat="1" ht="273" customHeight="1">
      <c r="A51" s="1573"/>
      <c r="B51" s="1604"/>
      <c r="C51" s="945" t="s">
        <v>748</v>
      </c>
      <c r="D51" s="1618"/>
      <c r="E51" s="1618"/>
      <c r="F51" s="1618"/>
      <c r="G51" s="1618"/>
      <c r="H51" s="1618"/>
      <c r="I51" s="1618"/>
      <c r="J51" s="1618"/>
      <c r="K51" s="1619"/>
      <c r="L51" s="1626">
        <f t="shared" si="0"/>
        <v>0</v>
      </c>
      <c r="M51" s="1609">
        <f t="shared" si="1"/>
        <v>0</v>
      </c>
      <c r="N51" s="1600">
        <f t="shared" si="2"/>
        <v>0</v>
      </c>
      <c r="O51" s="1600">
        <f t="shared" si="3"/>
        <v>0</v>
      </c>
      <c r="P51" s="1600">
        <f t="shared" si="4"/>
        <v>0</v>
      </c>
      <c r="Q51" s="939"/>
    </row>
    <row r="52" spans="1:17" s="831" customFormat="1" ht="273" customHeight="1">
      <c r="A52" s="1573"/>
      <c r="B52" s="944" t="s">
        <v>138</v>
      </c>
      <c r="C52" s="945" t="s">
        <v>749</v>
      </c>
      <c r="D52" s="948">
        <f>'MATRIZ PLURIANUAL (2)'!E57</f>
        <v>340976439.83758301</v>
      </c>
      <c r="E52" s="948">
        <f>'MATRIZ PLURIANUAL (2)'!F57</f>
        <v>0</v>
      </c>
      <c r="F52" s="948">
        <f>'MATRIZ PLURIANUAL (2)'!G57</f>
        <v>0</v>
      </c>
      <c r="G52" s="948">
        <f>'MATRIZ PLURIANUAL (2)'!H57</f>
        <v>0</v>
      </c>
      <c r="H52" s="948">
        <f>'MATRIZ PLURIANUAL (2)'!I57</f>
        <v>2478315136.0799999</v>
      </c>
      <c r="I52" s="948">
        <f>'MATRIZ PLURIANUAL (2)'!J57</f>
        <v>0</v>
      </c>
      <c r="J52" s="948">
        <f>'MATRIZ PLURIANUAL (2)'!K57</f>
        <v>23244894.329999998</v>
      </c>
      <c r="K52" s="995">
        <f>'MATRIZ PLURIANUAL (2)'!L57</f>
        <v>2842536470.2475829</v>
      </c>
      <c r="L52" s="996">
        <f t="shared" si="0"/>
        <v>2842536470.2475829</v>
      </c>
      <c r="M52" s="948">
        <f t="shared" si="1"/>
        <v>0</v>
      </c>
      <c r="N52" s="997">
        <f t="shared" si="2"/>
        <v>0</v>
      </c>
      <c r="O52" s="997">
        <f t="shared" si="3"/>
        <v>2842536470.2475829</v>
      </c>
      <c r="P52" s="1154">
        <f t="shared" si="4"/>
        <v>2842536470.2475829</v>
      </c>
      <c r="Q52" s="939"/>
    </row>
    <row r="53" spans="1:17" s="831" customFormat="1" ht="273" customHeight="1">
      <c r="A53" s="1573"/>
      <c r="B53" s="1604" t="s">
        <v>139</v>
      </c>
      <c r="C53" s="945" t="s">
        <v>750</v>
      </c>
      <c r="D53" s="1620">
        <f>'MATRIZ PLURIANUAL (2)'!E59</f>
        <v>631952879.67516601</v>
      </c>
      <c r="E53" s="1620">
        <f>'MATRIZ PLURIANUAL (2)'!F59</f>
        <v>0</v>
      </c>
      <c r="F53" s="1620">
        <f>'MATRIZ PLURIANUAL (2)'!G59</f>
        <v>0</v>
      </c>
      <c r="G53" s="1620">
        <f>'MATRIZ PLURIANUAL (2)'!H59</f>
        <v>0</v>
      </c>
      <c r="H53" s="1620">
        <f>'MATRIZ PLURIANUAL (2)'!I59</f>
        <v>4656630272.1599998</v>
      </c>
      <c r="I53" s="1620">
        <f>'MATRIZ PLURIANUAL (2)'!J59</f>
        <v>0</v>
      </c>
      <c r="J53" s="1620">
        <f>'MATRIZ PLURIANUAL (2)'!K59</f>
        <v>46489788.659999996</v>
      </c>
      <c r="K53" s="1623">
        <f>'MATRIZ PLURIANUAL (2)'!L59</f>
        <v>5335072940.4951658</v>
      </c>
      <c r="L53" s="1633">
        <f t="shared" si="0"/>
        <v>5335072940.4951658</v>
      </c>
      <c r="M53" s="1636">
        <f t="shared" si="1"/>
        <v>0</v>
      </c>
      <c r="N53" s="1602">
        <f t="shared" si="2"/>
        <v>0</v>
      </c>
      <c r="O53" s="1602">
        <f t="shared" si="3"/>
        <v>5335072940.4951658</v>
      </c>
      <c r="P53" s="1602">
        <f t="shared" si="4"/>
        <v>5335072940.4951658</v>
      </c>
      <c r="Q53" s="939"/>
    </row>
    <row r="54" spans="1:17" s="831" customFormat="1" ht="273" customHeight="1">
      <c r="A54" s="1573"/>
      <c r="B54" s="1604"/>
      <c r="C54" s="945" t="s">
        <v>751</v>
      </c>
      <c r="D54" s="1622"/>
      <c r="E54" s="1622"/>
      <c r="F54" s="1622"/>
      <c r="G54" s="1622"/>
      <c r="H54" s="1622"/>
      <c r="I54" s="1622"/>
      <c r="J54" s="1622"/>
      <c r="K54" s="1625"/>
      <c r="L54" s="1633">
        <f t="shared" si="0"/>
        <v>0</v>
      </c>
      <c r="M54" s="1636">
        <f t="shared" si="1"/>
        <v>0</v>
      </c>
      <c r="N54" s="1602">
        <f t="shared" si="2"/>
        <v>0</v>
      </c>
      <c r="O54" s="1602">
        <f t="shared" si="3"/>
        <v>0</v>
      </c>
      <c r="P54" s="1602">
        <f t="shared" si="4"/>
        <v>0</v>
      </c>
      <c r="Q54" s="939"/>
    </row>
    <row r="55" spans="1:17" s="831" customFormat="1" ht="273" customHeight="1">
      <c r="A55" s="1573"/>
      <c r="B55" s="944" t="s">
        <v>801</v>
      </c>
      <c r="C55" s="945" t="s">
        <v>752</v>
      </c>
      <c r="D55" s="948">
        <f>'MATRIZ PLURIANUAL (2)'!E61</f>
        <v>330976439.83758301</v>
      </c>
      <c r="E55" s="948">
        <f>'MATRIZ PLURIANUAL (2)'!F61</f>
        <v>0</v>
      </c>
      <c r="F55" s="948">
        <f>'MATRIZ PLURIANUAL (2)'!G61</f>
        <v>0</v>
      </c>
      <c r="G55" s="948">
        <f>'MATRIZ PLURIANUAL (2)'!H61</f>
        <v>0</v>
      </c>
      <c r="H55" s="948">
        <f>'MATRIZ PLURIANUAL (2)'!I61</f>
        <v>2478315136.0799999</v>
      </c>
      <c r="I55" s="948">
        <f>'MATRIZ PLURIANUAL (2)'!J61</f>
        <v>0</v>
      </c>
      <c r="J55" s="948">
        <f>'MATRIZ PLURIANUAL (2)'!K61</f>
        <v>23244894.329999998</v>
      </c>
      <c r="K55" s="995">
        <f>'MATRIZ PLURIANUAL (2)'!L61</f>
        <v>2832536470.2475829</v>
      </c>
      <c r="L55" s="996">
        <f t="shared" si="0"/>
        <v>2832536470.2475829</v>
      </c>
      <c r="M55" s="948">
        <f t="shared" si="1"/>
        <v>0</v>
      </c>
      <c r="N55" s="997">
        <f t="shared" si="2"/>
        <v>0</v>
      </c>
      <c r="O55" s="997">
        <f t="shared" si="3"/>
        <v>2832536470.2475829</v>
      </c>
      <c r="P55" s="1154">
        <f t="shared" si="4"/>
        <v>2832536470.2475829</v>
      </c>
      <c r="Q55" s="939"/>
    </row>
    <row r="56" spans="1:17" s="831" customFormat="1" ht="273" customHeight="1">
      <c r="A56" s="1573"/>
      <c r="B56" s="944" t="s">
        <v>141</v>
      </c>
      <c r="C56" s="945" t="s">
        <v>753</v>
      </c>
      <c r="D56" s="948">
        <f>'MATRIZ PLURIANUAL (2)'!E63</f>
        <v>571952879.67516601</v>
      </c>
      <c r="E56" s="948">
        <f>'MATRIZ PLURIANUAL (2)'!F63</f>
        <v>0</v>
      </c>
      <c r="F56" s="948">
        <f>'MATRIZ PLURIANUAL (2)'!G63</f>
        <v>0</v>
      </c>
      <c r="G56" s="948">
        <f>'MATRIZ PLURIANUAL (2)'!H63</f>
        <v>0</v>
      </c>
      <c r="H56" s="948">
        <f>'MATRIZ PLURIANUAL (2)'!I63</f>
        <v>4556630272.1599998</v>
      </c>
      <c r="I56" s="948">
        <f>'MATRIZ PLURIANUAL (2)'!J63</f>
        <v>0</v>
      </c>
      <c r="J56" s="948">
        <f>'MATRIZ PLURIANUAL (2)'!K63</f>
        <v>46489788.659999996</v>
      </c>
      <c r="K56" s="995">
        <f>'MATRIZ PLURIANUAL (2)'!L63</f>
        <v>5175072940.4951658</v>
      </c>
      <c r="L56" s="996">
        <f t="shared" si="0"/>
        <v>5175072940.4951658</v>
      </c>
      <c r="M56" s="948">
        <f t="shared" si="1"/>
        <v>0</v>
      </c>
      <c r="N56" s="997">
        <f t="shared" si="2"/>
        <v>0</v>
      </c>
      <c r="O56" s="997">
        <f t="shared" si="3"/>
        <v>5175072940.4951658</v>
      </c>
      <c r="P56" s="1154">
        <f t="shared" si="4"/>
        <v>5175072940.4951658</v>
      </c>
      <c r="Q56" s="939"/>
    </row>
    <row r="57" spans="1:17" s="831" customFormat="1" ht="273" customHeight="1">
      <c r="A57" s="1573"/>
      <c r="B57" s="944" t="s">
        <v>142</v>
      </c>
      <c r="C57" s="945" t="s">
        <v>754</v>
      </c>
      <c r="D57" s="948">
        <f>'MATRIZ PLURIANUAL (2)'!E65</f>
        <v>240976439.83758301</v>
      </c>
      <c r="E57" s="948">
        <f>'MATRIZ PLURIANUAL (2)'!F65</f>
        <v>7378278540</v>
      </c>
      <c r="F57" s="948">
        <f>'MATRIZ PLURIANUAL (2)'!G65</f>
        <v>0</v>
      </c>
      <c r="G57" s="948">
        <f>'MATRIZ PLURIANUAL (2)'!H65</f>
        <v>0</v>
      </c>
      <c r="H57" s="948">
        <f>'MATRIZ PLURIANUAL (2)'!I65</f>
        <v>2178315136.0799999</v>
      </c>
      <c r="I57" s="948">
        <f>'MATRIZ PLURIANUAL (2)'!J65</f>
        <v>0</v>
      </c>
      <c r="J57" s="948">
        <f>'MATRIZ PLURIANUAL (2)'!K65</f>
        <v>23244894.329999998</v>
      </c>
      <c r="K57" s="995">
        <f>'MATRIZ PLURIANUAL (2)'!L65</f>
        <v>9820815010.2475834</v>
      </c>
      <c r="L57" s="996">
        <f t="shared" si="0"/>
        <v>2442536470.2475829</v>
      </c>
      <c r="M57" s="948">
        <f t="shared" si="1"/>
        <v>7378278540</v>
      </c>
      <c r="N57" s="997">
        <f t="shared" si="2"/>
        <v>0</v>
      </c>
      <c r="O57" s="997">
        <f t="shared" si="3"/>
        <v>9820815010.2475834</v>
      </c>
      <c r="P57" s="1154">
        <f t="shared" si="4"/>
        <v>9820815010.2475834</v>
      </c>
      <c r="Q57" s="939"/>
    </row>
    <row r="58" spans="1:17" s="831" customFormat="1" ht="273" customHeight="1">
      <c r="A58" s="1573"/>
      <c r="B58" s="1604" t="s">
        <v>143</v>
      </c>
      <c r="C58" s="945" t="s">
        <v>755</v>
      </c>
      <c r="D58" s="1612">
        <f>'MATRIZ PLURIANUAL (2)'!E67</f>
        <v>451464659.75637442</v>
      </c>
      <c r="E58" s="1612">
        <f>'MATRIZ PLURIANUAL (2)'!F67</f>
        <v>400000000</v>
      </c>
      <c r="F58" s="1612">
        <f>'MATRIZ PLURIANUAL (2)'!G67</f>
        <v>0</v>
      </c>
      <c r="G58" s="1612">
        <f>'MATRIZ PLURIANUAL (2)'!H67</f>
        <v>0</v>
      </c>
      <c r="H58" s="1612">
        <f>'MATRIZ PLURIANUAL (2)'!I67</f>
        <v>4337472704.1199999</v>
      </c>
      <c r="I58" s="1612">
        <f>'MATRIZ PLURIANUAL (2)'!J67</f>
        <v>5529266605.1852999</v>
      </c>
      <c r="J58" s="1612">
        <f>'MATRIZ PLURIANUAL (2)'!K67</f>
        <v>34867341.495000005</v>
      </c>
      <c r="K58" s="1615">
        <f>'MATRIZ PLURIANUAL (2)'!L67</f>
        <v>10753071310.556675</v>
      </c>
      <c r="L58" s="1626">
        <f t="shared" si="0"/>
        <v>4823804705.3713741</v>
      </c>
      <c r="M58" s="1609">
        <f t="shared" si="1"/>
        <v>400000000</v>
      </c>
      <c r="N58" s="1600">
        <f t="shared" si="2"/>
        <v>5529266605.1852999</v>
      </c>
      <c r="O58" s="1600">
        <f>L58+M58</f>
        <v>5223804705.3713741</v>
      </c>
      <c r="P58" s="1600">
        <f t="shared" si="4"/>
        <v>5223804705.3713751</v>
      </c>
      <c r="Q58" s="939"/>
    </row>
    <row r="59" spans="1:17" s="831" customFormat="1" ht="273" customHeight="1">
      <c r="A59" s="1573"/>
      <c r="B59" s="1604"/>
      <c r="C59" s="945" t="s">
        <v>756</v>
      </c>
      <c r="D59" s="1613"/>
      <c r="E59" s="1613"/>
      <c r="F59" s="1613"/>
      <c r="G59" s="1613"/>
      <c r="H59" s="1613"/>
      <c r="I59" s="1613"/>
      <c r="J59" s="1613"/>
      <c r="K59" s="1616"/>
      <c r="L59" s="1626">
        <f t="shared" si="0"/>
        <v>0</v>
      </c>
      <c r="M59" s="1609">
        <f t="shared" si="1"/>
        <v>0</v>
      </c>
      <c r="N59" s="1600">
        <f t="shared" si="2"/>
        <v>0</v>
      </c>
      <c r="O59" s="1600">
        <f t="shared" si="3"/>
        <v>0</v>
      </c>
      <c r="P59" s="1600">
        <f t="shared" si="4"/>
        <v>0</v>
      </c>
      <c r="Q59" s="939"/>
    </row>
    <row r="60" spans="1:17" s="831" customFormat="1" ht="273" customHeight="1">
      <c r="A60" s="1573"/>
      <c r="B60" s="1604"/>
      <c r="C60" s="945" t="s">
        <v>757</v>
      </c>
      <c r="D60" s="1613"/>
      <c r="E60" s="1613"/>
      <c r="F60" s="1613"/>
      <c r="G60" s="1613"/>
      <c r="H60" s="1613"/>
      <c r="I60" s="1613"/>
      <c r="J60" s="1613"/>
      <c r="K60" s="1616"/>
      <c r="L60" s="1626">
        <f t="shared" si="0"/>
        <v>0</v>
      </c>
      <c r="M60" s="1609">
        <f t="shared" si="1"/>
        <v>0</v>
      </c>
      <c r="N60" s="1600">
        <f t="shared" si="2"/>
        <v>0</v>
      </c>
      <c r="O60" s="1600">
        <f t="shared" si="3"/>
        <v>0</v>
      </c>
      <c r="P60" s="1600">
        <f t="shared" si="4"/>
        <v>0</v>
      </c>
      <c r="Q60" s="939"/>
    </row>
    <row r="61" spans="1:17" s="831" customFormat="1" ht="273" customHeight="1">
      <c r="A61" s="1573"/>
      <c r="B61" s="1604"/>
      <c r="C61" s="945" t="s">
        <v>758</v>
      </c>
      <c r="D61" s="1613"/>
      <c r="E61" s="1613"/>
      <c r="F61" s="1613"/>
      <c r="G61" s="1613"/>
      <c r="H61" s="1613"/>
      <c r="I61" s="1613"/>
      <c r="J61" s="1613"/>
      <c r="K61" s="1616"/>
      <c r="L61" s="1626">
        <f t="shared" si="0"/>
        <v>0</v>
      </c>
      <c r="M61" s="1609">
        <f t="shared" si="1"/>
        <v>0</v>
      </c>
      <c r="N61" s="1600">
        <f t="shared" si="2"/>
        <v>0</v>
      </c>
      <c r="O61" s="1600">
        <f t="shared" si="3"/>
        <v>0</v>
      </c>
      <c r="P61" s="1600">
        <f t="shared" si="4"/>
        <v>0</v>
      </c>
      <c r="Q61" s="939"/>
    </row>
    <row r="62" spans="1:17" s="831" customFormat="1" ht="273" customHeight="1">
      <c r="A62" s="1573"/>
      <c r="B62" s="1604"/>
      <c r="C62" s="945" t="s">
        <v>759</v>
      </c>
      <c r="D62" s="1613"/>
      <c r="E62" s="1613"/>
      <c r="F62" s="1613"/>
      <c r="G62" s="1613"/>
      <c r="H62" s="1613"/>
      <c r="I62" s="1613"/>
      <c r="J62" s="1613"/>
      <c r="K62" s="1616"/>
      <c r="L62" s="1626">
        <f t="shared" si="0"/>
        <v>0</v>
      </c>
      <c r="M62" s="1609">
        <f t="shared" si="1"/>
        <v>0</v>
      </c>
      <c r="N62" s="1600">
        <f t="shared" si="2"/>
        <v>0</v>
      </c>
      <c r="O62" s="1600">
        <f t="shared" si="3"/>
        <v>0</v>
      </c>
      <c r="P62" s="1600">
        <f t="shared" si="4"/>
        <v>0</v>
      </c>
      <c r="Q62" s="939"/>
    </row>
    <row r="63" spans="1:17" s="831" customFormat="1" ht="273" customHeight="1">
      <c r="A63" s="1573"/>
      <c r="B63" s="1604"/>
      <c r="C63" s="945" t="s">
        <v>760</v>
      </c>
      <c r="D63" s="1613"/>
      <c r="E63" s="1613"/>
      <c r="F63" s="1613"/>
      <c r="G63" s="1613"/>
      <c r="H63" s="1613"/>
      <c r="I63" s="1613"/>
      <c r="J63" s="1613"/>
      <c r="K63" s="1616"/>
      <c r="L63" s="1626">
        <f t="shared" si="0"/>
        <v>0</v>
      </c>
      <c r="M63" s="1609">
        <f t="shared" si="1"/>
        <v>0</v>
      </c>
      <c r="N63" s="1600">
        <f t="shared" si="2"/>
        <v>0</v>
      </c>
      <c r="O63" s="1600">
        <f t="shared" si="3"/>
        <v>0</v>
      </c>
      <c r="P63" s="1600">
        <f t="shared" si="4"/>
        <v>0</v>
      </c>
      <c r="Q63" s="939"/>
    </row>
    <row r="64" spans="1:17" s="831" customFormat="1" ht="273" customHeight="1">
      <c r="A64" s="1573"/>
      <c r="B64" s="1604"/>
      <c r="C64" s="945" t="s">
        <v>761</v>
      </c>
      <c r="D64" s="1613"/>
      <c r="E64" s="1613"/>
      <c r="F64" s="1613"/>
      <c r="G64" s="1613"/>
      <c r="H64" s="1613"/>
      <c r="I64" s="1613"/>
      <c r="J64" s="1613"/>
      <c r="K64" s="1616"/>
      <c r="L64" s="1626">
        <f t="shared" si="0"/>
        <v>0</v>
      </c>
      <c r="M64" s="1609">
        <f t="shared" si="1"/>
        <v>0</v>
      </c>
      <c r="N64" s="1600">
        <f t="shared" si="2"/>
        <v>0</v>
      </c>
      <c r="O64" s="1600">
        <f t="shared" si="3"/>
        <v>0</v>
      </c>
      <c r="P64" s="1600">
        <f t="shared" si="4"/>
        <v>0</v>
      </c>
      <c r="Q64" s="939"/>
    </row>
    <row r="65" spans="1:17" s="831" customFormat="1" ht="273" customHeight="1">
      <c r="A65" s="1573"/>
      <c r="B65" s="1604"/>
      <c r="C65" s="945" t="s">
        <v>762</v>
      </c>
      <c r="D65" s="1613"/>
      <c r="E65" s="1613"/>
      <c r="F65" s="1613"/>
      <c r="G65" s="1613"/>
      <c r="H65" s="1613"/>
      <c r="I65" s="1613"/>
      <c r="J65" s="1613"/>
      <c r="K65" s="1616"/>
      <c r="L65" s="1626">
        <f t="shared" si="0"/>
        <v>0</v>
      </c>
      <c r="M65" s="1609">
        <f t="shared" si="1"/>
        <v>0</v>
      </c>
      <c r="N65" s="1600">
        <f t="shared" si="2"/>
        <v>0</v>
      </c>
      <c r="O65" s="1600">
        <f t="shared" si="3"/>
        <v>0</v>
      </c>
      <c r="P65" s="1600">
        <f t="shared" si="4"/>
        <v>0</v>
      </c>
      <c r="Q65" s="939"/>
    </row>
    <row r="66" spans="1:17" s="831" customFormat="1" ht="273" customHeight="1">
      <c r="A66" s="1573"/>
      <c r="B66" s="1604"/>
      <c r="C66" s="945" t="s">
        <v>763</v>
      </c>
      <c r="D66" s="1618"/>
      <c r="E66" s="1618"/>
      <c r="F66" s="1618"/>
      <c r="G66" s="1618"/>
      <c r="H66" s="1618"/>
      <c r="I66" s="1618"/>
      <c r="J66" s="1618"/>
      <c r="K66" s="1619"/>
      <c r="L66" s="1626">
        <f t="shared" si="0"/>
        <v>0</v>
      </c>
      <c r="M66" s="1609">
        <f t="shared" si="1"/>
        <v>0</v>
      </c>
      <c r="N66" s="1600">
        <f t="shared" si="2"/>
        <v>0</v>
      </c>
      <c r="O66" s="1600">
        <f t="shared" si="3"/>
        <v>0</v>
      </c>
      <c r="P66" s="1600">
        <f t="shared" si="4"/>
        <v>0</v>
      </c>
      <c r="Q66" s="939"/>
    </row>
    <row r="67" spans="1:17" s="831" customFormat="1" ht="273" customHeight="1">
      <c r="A67" s="1573"/>
      <c r="B67" s="1604" t="s">
        <v>144</v>
      </c>
      <c r="C67" s="945" t="s">
        <v>764</v>
      </c>
      <c r="D67" s="1620">
        <f>'MATRIZ PLURIANUAL (2)'!E72</f>
        <v>751952879.67516601</v>
      </c>
      <c r="E67" s="1620">
        <f>'MATRIZ PLURIANUAL (2)'!F72</f>
        <v>14388904640</v>
      </c>
      <c r="F67" s="1620">
        <f>'MATRIZ PLURIANUAL (2)'!G72</f>
        <v>0</v>
      </c>
      <c r="G67" s="1620">
        <f>'MATRIZ PLURIANUAL (2)'!H72</f>
        <v>0</v>
      </c>
      <c r="H67" s="1620">
        <f>'MATRIZ PLURIANUAL (2)'!I72</f>
        <v>12996141141.609999</v>
      </c>
      <c r="I67" s="1620">
        <f>'MATRIZ PLURIANUAL (2)'!J72</f>
        <v>4705000000</v>
      </c>
      <c r="J67" s="1620">
        <f>'MATRIZ PLURIANUAL (2)'!K72</f>
        <v>46489788.659999996</v>
      </c>
      <c r="K67" s="1623">
        <f>'MATRIZ PLURIANUAL (2)'!L72</f>
        <v>32888488449.945164</v>
      </c>
      <c r="L67" s="1633">
        <f t="shared" si="0"/>
        <v>13794583809.945164</v>
      </c>
      <c r="M67" s="1636">
        <f t="shared" si="1"/>
        <v>14388904640</v>
      </c>
      <c r="N67" s="1602">
        <f t="shared" si="2"/>
        <v>4705000000</v>
      </c>
      <c r="O67" s="1602">
        <f t="shared" si="3"/>
        <v>28183488449.945164</v>
      </c>
      <c r="P67" s="1602">
        <f t="shared" si="4"/>
        <v>28183488449.945164</v>
      </c>
      <c r="Q67" s="939"/>
    </row>
    <row r="68" spans="1:17" s="831" customFormat="1" ht="273" customHeight="1">
      <c r="A68" s="1573"/>
      <c r="B68" s="1604"/>
      <c r="C68" s="945" t="s">
        <v>765</v>
      </c>
      <c r="D68" s="1621"/>
      <c r="E68" s="1621"/>
      <c r="F68" s="1621"/>
      <c r="G68" s="1621"/>
      <c r="H68" s="1621"/>
      <c r="I68" s="1621"/>
      <c r="J68" s="1621"/>
      <c r="K68" s="1624"/>
      <c r="L68" s="1633">
        <f t="shared" si="0"/>
        <v>0</v>
      </c>
      <c r="M68" s="1636">
        <f t="shared" si="1"/>
        <v>0</v>
      </c>
      <c r="N68" s="1602">
        <f t="shared" si="2"/>
        <v>0</v>
      </c>
      <c r="O68" s="1602">
        <f t="shared" si="3"/>
        <v>0</v>
      </c>
      <c r="P68" s="1602">
        <f t="shared" si="4"/>
        <v>0</v>
      </c>
      <c r="Q68" s="939"/>
    </row>
    <row r="69" spans="1:17" s="831" customFormat="1" ht="273" customHeight="1">
      <c r="A69" s="1573"/>
      <c r="B69" s="1604"/>
      <c r="C69" s="945" t="s">
        <v>766</v>
      </c>
      <c r="D69" s="1621"/>
      <c r="E69" s="1621"/>
      <c r="F69" s="1621"/>
      <c r="G69" s="1621"/>
      <c r="H69" s="1621"/>
      <c r="I69" s="1621"/>
      <c r="J69" s="1621"/>
      <c r="K69" s="1624"/>
      <c r="L69" s="1633">
        <f t="shared" si="0"/>
        <v>0</v>
      </c>
      <c r="M69" s="1636">
        <f t="shared" si="1"/>
        <v>0</v>
      </c>
      <c r="N69" s="1602">
        <f t="shared" si="2"/>
        <v>0</v>
      </c>
      <c r="O69" s="1602">
        <f t="shared" si="3"/>
        <v>0</v>
      </c>
      <c r="P69" s="1602">
        <f t="shared" si="4"/>
        <v>0</v>
      </c>
      <c r="Q69" s="939"/>
    </row>
    <row r="70" spans="1:17" s="831" customFormat="1" ht="273" customHeight="1">
      <c r="A70" s="1573"/>
      <c r="B70" s="1604"/>
      <c r="C70" s="945" t="s">
        <v>767</v>
      </c>
      <c r="D70" s="1621"/>
      <c r="E70" s="1621"/>
      <c r="F70" s="1621"/>
      <c r="G70" s="1621"/>
      <c r="H70" s="1621"/>
      <c r="I70" s="1621"/>
      <c r="J70" s="1621"/>
      <c r="K70" s="1624"/>
      <c r="L70" s="1633">
        <f t="shared" si="0"/>
        <v>0</v>
      </c>
      <c r="M70" s="1636">
        <f t="shared" si="1"/>
        <v>0</v>
      </c>
      <c r="N70" s="1602">
        <f t="shared" si="2"/>
        <v>0</v>
      </c>
      <c r="O70" s="1602">
        <f t="shared" si="3"/>
        <v>0</v>
      </c>
      <c r="P70" s="1602">
        <f t="shared" si="4"/>
        <v>0</v>
      </c>
      <c r="Q70" s="939"/>
    </row>
    <row r="71" spans="1:17" s="831" customFormat="1" ht="273" customHeight="1">
      <c r="A71" s="1573"/>
      <c r="B71" s="1604"/>
      <c r="C71" s="945" t="s">
        <v>768</v>
      </c>
      <c r="D71" s="1621"/>
      <c r="E71" s="1621"/>
      <c r="F71" s="1621"/>
      <c r="G71" s="1621"/>
      <c r="H71" s="1621"/>
      <c r="I71" s="1621"/>
      <c r="J71" s="1621"/>
      <c r="K71" s="1624"/>
      <c r="L71" s="1633">
        <f t="shared" si="0"/>
        <v>0</v>
      </c>
      <c r="M71" s="1636">
        <f t="shared" si="1"/>
        <v>0</v>
      </c>
      <c r="N71" s="1602">
        <f t="shared" si="2"/>
        <v>0</v>
      </c>
      <c r="O71" s="1602">
        <f t="shared" si="3"/>
        <v>0</v>
      </c>
      <c r="P71" s="1602">
        <f t="shared" si="4"/>
        <v>0</v>
      </c>
      <c r="Q71" s="939"/>
    </row>
    <row r="72" spans="1:17" s="831" customFormat="1" ht="273" customHeight="1">
      <c r="A72" s="1573"/>
      <c r="B72" s="1604"/>
      <c r="C72" s="945" t="s">
        <v>769</v>
      </c>
      <c r="D72" s="1621"/>
      <c r="E72" s="1621"/>
      <c r="F72" s="1621"/>
      <c r="G72" s="1621"/>
      <c r="H72" s="1621"/>
      <c r="I72" s="1621"/>
      <c r="J72" s="1621"/>
      <c r="K72" s="1624"/>
      <c r="L72" s="1633">
        <f t="shared" si="0"/>
        <v>0</v>
      </c>
      <c r="M72" s="1636">
        <f t="shared" si="1"/>
        <v>0</v>
      </c>
      <c r="N72" s="1602">
        <f t="shared" si="2"/>
        <v>0</v>
      </c>
      <c r="O72" s="1602">
        <f t="shared" si="3"/>
        <v>0</v>
      </c>
      <c r="P72" s="1602">
        <f t="shared" si="4"/>
        <v>0</v>
      </c>
      <c r="Q72" s="939"/>
    </row>
    <row r="73" spans="1:17" s="831" customFormat="1" ht="273" customHeight="1">
      <c r="A73" s="1573"/>
      <c r="B73" s="1604"/>
      <c r="C73" s="945" t="s">
        <v>770</v>
      </c>
      <c r="D73" s="1621"/>
      <c r="E73" s="1621"/>
      <c r="F73" s="1621"/>
      <c r="G73" s="1621"/>
      <c r="H73" s="1621"/>
      <c r="I73" s="1621"/>
      <c r="J73" s="1621"/>
      <c r="K73" s="1624"/>
      <c r="L73" s="1633">
        <f t="shared" si="0"/>
        <v>0</v>
      </c>
      <c r="M73" s="1636">
        <f t="shared" si="1"/>
        <v>0</v>
      </c>
      <c r="N73" s="1602">
        <f t="shared" si="2"/>
        <v>0</v>
      </c>
      <c r="O73" s="1602">
        <f t="shared" si="3"/>
        <v>0</v>
      </c>
      <c r="P73" s="1602">
        <f t="shared" si="4"/>
        <v>0</v>
      </c>
      <c r="Q73" s="939"/>
    </row>
    <row r="74" spans="1:17" s="831" customFormat="1" ht="273" customHeight="1">
      <c r="A74" s="1573"/>
      <c r="B74" s="1604"/>
      <c r="C74" s="945" t="s">
        <v>771</v>
      </c>
      <c r="D74" s="1621"/>
      <c r="E74" s="1621"/>
      <c r="F74" s="1621"/>
      <c r="G74" s="1621"/>
      <c r="H74" s="1621"/>
      <c r="I74" s="1621"/>
      <c r="J74" s="1621"/>
      <c r="K74" s="1624"/>
      <c r="L74" s="1633">
        <f t="shared" si="0"/>
        <v>0</v>
      </c>
      <c r="M74" s="1636">
        <f t="shared" si="1"/>
        <v>0</v>
      </c>
      <c r="N74" s="1602">
        <f t="shared" si="2"/>
        <v>0</v>
      </c>
      <c r="O74" s="1602">
        <f t="shared" si="3"/>
        <v>0</v>
      </c>
      <c r="P74" s="1602">
        <f t="shared" si="4"/>
        <v>0</v>
      </c>
      <c r="Q74" s="939"/>
    </row>
    <row r="75" spans="1:17" s="831" customFormat="1" ht="273" customHeight="1">
      <c r="A75" s="1573"/>
      <c r="B75" s="1604"/>
      <c r="C75" s="945" t="s">
        <v>772</v>
      </c>
      <c r="D75" s="1621"/>
      <c r="E75" s="1621"/>
      <c r="F75" s="1621"/>
      <c r="G75" s="1621"/>
      <c r="H75" s="1621"/>
      <c r="I75" s="1621"/>
      <c r="J75" s="1621"/>
      <c r="K75" s="1624"/>
      <c r="L75" s="1633">
        <f t="shared" si="0"/>
        <v>0</v>
      </c>
      <c r="M75" s="1636">
        <f t="shared" si="1"/>
        <v>0</v>
      </c>
      <c r="N75" s="1602">
        <f t="shared" si="2"/>
        <v>0</v>
      </c>
      <c r="O75" s="1602">
        <f t="shared" si="3"/>
        <v>0</v>
      </c>
      <c r="P75" s="1602">
        <f t="shared" si="4"/>
        <v>0</v>
      </c>
      <c r="Q75" s="939"/>
    </row>
    <row r="76" spans="1:17" s="831" customFormat="1" ht="273" customHeight="1">
      <c r="A76" s="1573"/>
      <c r="B76" s="1604"/>
      <c r="C76" s="945" t="s">
        <v>773</v>
      </c>
      <c r="D76" s="1621"/>
      <c r="E76" s="1621"/>
      <c r="F76" s="1621"/>
      <c r="G76" s="1621"/>
      <c r="H76" s="1621"/>
      <c r="I76" s="1621"/>
      <c r="J76" s="1621"/>
      <c r="K76" s="1624"/>
      <c r="L76" s="1633">
        <f t="shared" ref="L76:L106" si="5">D76+H76+J76</f>
        <v>0</v>
      </c>
      <c r="M76" s="1636">
        <f t="shared" ref="M76:M106" si="6">E76+F76+G76</f>
        <v>0</v>
      </c>
      <c r="N76" s="1602">
        <f t="shared" ref="N76:N106" si="7">I76</f>
        <v>0</v>
      </c>
      <c r="O76" s="1602">
        <f t="shared" ref="O76:O106" si="8">L76+M76</f>
        <v>0</v>
      </c>
      <c r="P76" s="1602">
        <f t="shared" ref="P76:P106" si="9">K76-I76-F76</f>
        <v>0</v>
      </c>
      <c r="Q76" s="939"/>
    </row>
    <row r="77" spans="1:17" s="831" customFormat="1" ht="273" customHeight="1">
      <c r="A77" s="1573"/>
      <c r="B77" s="1604"/>
      <c r="C77" s="945" t="s">
        <v>774</v>
      </c>
      <c r="D77" s="1621"/>
      <c r="E77" s="1621"/>
      <c r="F77" s="1621"/>
      <c r="G77" s="1621"/>
      <c r="H77" s="1621"/>
      <c r="I77" s="1621"/>
      <c r="J77" s="1621"/>
      <c r="K77" s="1624"/>
      <c r="L77" s="1633">
        <f t="shared" si="5"/>
        <v>0</v>
      </c>
      <c r="M77" s="1636">
        <f t="shared" si="6"/>
        <v>0</v>
      </c>
      <c r="N77" s="1602">
        <f t="shared" si="7"/>
        <v>0</v>
      </c>
      <c r="O77" s="1602">
        <f t="shared" si="8"/>
        <v>0</v>
      </c>
      <c r="P77" s="1602">
        <f t="shared" si="9"/>
        <v>0</v>
      </c>
      <c r="Q77" s="939"/>
    </row>
    <row r="78" spans="1:17" s="831" customFormat="1" ht="273" customHeight="1">
      <c r="A78" s="1573"/>
      <c r="B78" s="1604"/>
      <c r="C78" s="945" t="s">
        <v>775</v>
      </c>
      <c r="D78" s="1622"/>
      <c r="E78" s="1622"/>
      <c r="F78" s="1622"/>
      <c r="G78" s="1622"/>
      <c r="H78" s="1622"/>
      <c r="I78" s="1622"/>
      <c r="J78" s="1622"/>
      <c r="K78" s="1625"/>
      <c r="L78" s="1633">
        <f t="shared" si="5"/>
        <v>0</v>
      </c>
      <c r="M78" s="1636">
        <f t="shared" si="6"/>
        <v>0</v>
      </c>
      <c r="N78" s="1602">
        <f t="shared" si="7"/>
        <v>0</v>
      </c>
      <c r="O78" s="1602">
        <f t="shared" si="8"/>
        <v>0</v>
      </c>
      <c r="P78" s="1602">
        <f t="shared" si="9"/>
        <v>0</v>
      </c>
      <c r="Q78" s="939"/>
    </row>
    <row r="79" spans="1:17" s="831" customFormat="1" ht="273" customHeight="1">
      <c r="A79" s="1573"/>
      <c r="B79" s="944" t="s">
        <v>145</v>
      </c>
      <c r="C79" s="945" t="s">
        <v>776</v>
      </c>
      <c r="D79" s="948">
        <f>'MATRIZ PLURIANUAL (2)'!E74</f>
        <v>765311636.67516601</v>
      </c>
      <c r="E79" s="948">
        <f>'MATRIZ PLURIANUAL (2)'!F74</f>
        <v>0</v>
      </c>
      <c r="F79" s="948">
        <f>'MATRIZ PLURIANUAL (2)'!G74</f>
        <v>0</v>
      </c>
      <c r="G79" s="948">
        <f>'MATRIZ PLURIANUAL (2)'!H74</f>
        <v>0</v>
      </c>
      <c r="H79" s="948">
        <f>'MATRIZ PLURIANUAL (2)'!I74</f>
        <v>5356630272.1599998</v>
      </c>
      <c r="I79" s="948">
        <f>'MATRIZ PLURIANUAL (2)'!J74</f>
        <v>3000000000</v>
      </c>
      <c r="J79" s="948">
        <f>'MATRIZ PLURIANUAL (2)'!K74</f>
        <v>46489788.659999996</v>
      </c>
      <c r="K79" s="995">
        <f>'MATRIZ PLURIANUAL (2)'!L74</f>
        <v>9168431697.4951668</v>
      </c>
      <c r="L79" s="996">
        <f t="shared" si="5"/>
        <v>6168431697.4951658</v>
      </c>
      <c r="M79" s="948">
        <f t="shared" si="6"/>
        <v>0</v>
      </c>
      <c r="N79" s="997">
        <f t="shared" si="7"/>
        <v>3000000000</v>
      </c>
      <c r="O79" s="997">
        <f t="shared" si="8"/>
        <v>6168431697.4951658</v>
      </c>
      <c r="P79" s="1154">
        <f t="shared" si="9"/>
        <v>6168431697.4951668</v>
      </c>
      <c r="Q79" s="939"/>
    </row>
    <row r="80" spans="1:17" s="831" customFormat="1" ht="273" customHeight="1">
      <c r="A80" s="1574"/>
      <c r="B80" s="944" t="s">
        <v>146</v>
      </c>
      <c r="C80" s="945" t="s">
        <v>777</v>
      </c>
      <c r="D80" s="948">
        <f>'MATRIZ PLURIANUAL (2)'!E76</f>
        <v>3827811518.700664</v>
      </c>
      <c r="E80" s="948">
        <f>'MATRIZ PLURIANUAL (2)'!F76</f>
        <v>0</v>
      </c>
      <c r="F80" s="948">
        <f>'MATRIZ PLURIANUAL (2)'!G76</f>
        <v>0</v>
      </c>
      <c r="G80" s="948">
        <f>'MATRIZ PLURIANUAL (2)'!H76</f>
        <v>0</v>
      </c>
      <c r="H80" s="948">
        <f>'MATRIZ PLURIANUAL (2)'!I76</f>
        <v>18926521088.639999</v>
      </c>
      <c r="I80" s="948">
        <f>'MATRIZ PLURIANUAL (2)'!J76</f>
        <v>3000000000</v>
      </c>
      <c r="J80" s="948">
        <f>'MATRIZ PLURIANUAL (2)'!K76</f>
        <v>1485959154.6400001</v>
      </c>
      <c r="K80" s="995">
        <f>'MATRIZ PLURIANUAL (2)'!L76</f>
        <v>27240291761.980663</v>
      </c>
      <c r="L80" s="996">
        <f t="shared" si="5"/>
        <v>24240291761.980663</v>
      </c>
      <c r="M80" s="948">
        <f t="shared" si="6"/>
        <v>0</v>
      </c>
      <c r="N80" s="997">
        <f t="shared" si="7"/>
        <v>3000000000</v>
      </c>
      <c r="O80" s="997">
        <f t="shared" si="8"/>
        <v>24240291761.980663</v>
      </c>
      <c r="P80" s="1154">
        <f t="shared" si="9"/>
        <v>24240291761.980663</v>
      </c>
      <c r="Q80" s="939"/>
    </row>
    <row r="81" spans="1:17" s="833" customFormat="1" ht="147" customHeight="1">
      <c r="A81" s="967" t="s">
        <v>631</v>
      </c>
      <c r="B81" s="968"/>
      <c r="C81" s="969"/>
      <c r="D81" s="970">
        <f>'MATRIZ PLURIANUAL (2)'!E78</f>
        <v>4612790885.5312614</v>
      </c>
      <c r="E81" s="970">
        <f>'MATRIZ PLURIANUAL (2)'!F78</f>
        <v>5726771777.1599998</v>
      </c>
      <c r="F81" s="970">
        <f>'MATRIZ PLURIANUAL (2)'!G78</f>
        <v>0</v>
      </c>
      <c r="G81" s="970">
        <f>'MATRIZ PLURIANUAL (2)'!H78</f>
        <v>12628567563</v>
      </c>
      <c r="H81" s="970">
        <f>'MATRIZ PLURIANUAL (2)'!I78</f>
        <v>43853468138.376007</v>
      </c>
      <c r="I81" s="970">
        <f>'MATRIZ PLURIANUAL (2)'!J78</f>
        <v>400000000</v>
      </c>
      <c r="J81" s="970">
        <f>'MATRIZ PLURIANUAL (2)'!K78</f>
        <v>549623393.81599998</v>
      </c>
      <c r="K81" s="1010">
        <f>'MATRIZ PLURIANUAL (2)'!L78</f>
        <v>67771221757.88327</v>
      </c>
      <c r="L81" s="1011">
        <f t="shared" si="5"/>
        <v>49015882417.723274</v>
      </c>
      <c r="M81" s="970">
        <f t="shared" si="6"/>
        <v>18355339340.16</v>
      </c>
      <c r="N81" s="983">
        <f t="shared" si="7"/>
        <v>400000000</v>
      </c>
      <c r="O81" s="983">
        <f t="shared" si="8"/>
        <v>67371221757.88327</v>
      </c>
      <c r="P81" s="983">
        <f t="shared" si="9"/>
        <v>67371221757.88327</v>
      </c>
      <c r="Q81" s="940"/>
    </row>
    <row r="82" spans="1:17" s="831" customFormat="1" ht="210" customHeight="1">
      <c r="A82" s="1572" t="s">
        <v>147</v>
      </c>
      <c r="B82" s="1586" t="s">
        <v>148</v>
      </c>
      <c r="C82" s="945" t="s">
        <v>778</v>
      </c>
      <c r="D82" s="1612">
        <f>'MATRIZ PLURIANUAL (2)'!E79</f>
        <v>3166014398.3758302</v>
      </c>
      <c r="E82" s="1612">
        <f>'MATRIZ PLURIANUAL (2)'!F79</f>
        <v>3689995122.25</v>
      </c>
      <c r="F82" s="1612">
        <f>'MATRIZ PLURIANUAL (2)'!G79</f>
        <v>0</v>
      </c>
      <c r="G82" s="1612">
        <f>'MATRIZ PLURIANUAL (2)'!H79</f>
        <v>0</v>
      </c>
      <c r="H82" s="1612">
        <f>'MATRIZ PLURIANUAL (2)'!I79</f>
        <v>24129155882.760014</v>
      </c>
      <c r="I82" s="1612">
        <f>'MATRIZ PLURIANUAL (2)'!J79</f>
        <v>0</v>
      </c>
      <c r="J82" s="1612">
        <f>'MATRIZ PLURIANUAL (2)'!K79</f>
        <v>422448943.30000001</v>
      </c>
      <c r="K82" s="1615">
        <f>'MATRIZ PLURIANUAL (2)'!L79</f>
        <v>31407614346.685841</v>
      </c>
      <c r="L82" s="1626">
        <f t="shared" si="5"/>
        <v>27717619224.435844</v>
      </c>
      <c r="M82" s="1609">
        <f t="shared" si="6"/>
        <v>3689995122.25</v>
      </c>
      <c r="N82" s="1600">
        <f t="shared" si="7"/>
        <v>0</v>
      </c>
      <c r="O82" s="1600">
        <f t="shared" si="8"/>
        <v>31407614346.685844</v>
      </c>
      <c r="P82" s="1600">
        <f t="shared" si="9"/>
        <v>31407614346.685841</v>
      </c>
      <c r="Q82" s="939"/>
    </row>
    <row r="83" spans="1:17" s="831" customFormat="1" ht="195" customHeight="1">
      <c r="A83" s="1573"/>
      <c r="B83" s="1588"/>
      <c r="C83" s="945" t="s">
        <v>779</v>
      </c>
      <c r="D83" s="1618"/>
      <c r="E83" s="1618"/>
      <c r="F83" s="1618"/>
      <c r="G83" s="1618"/>
      <c r="H83" s="1618"/>
      <c r="I83" s="1618"/>
      <c r="J83" s="1618"/>
      <c r="K83" s="1619"/>
      <c r="L83" s="1626">
        <f t="shared" si="5"/>
        <v>0</v>
      </c>
      <c r="M83" s="1609">
        <f t="shared" si="6"/>
        <v>0</v>
      </c>
      <c r="N83" s="1600">
        <f t="shared" si="7"/>
        <v>0</v>
      </c>
      <c r="O83" s="1600">
        <f t="shared" si="8"/>
        <v>0</v>
      </c>
      <c r="P83" s="1600">
        <f t="shared" si="9"/>
        <v>0</v>
      </c>
      <c r="Q83" s="939"/>
    </row>
    <row r="84" spans="1:17" s="831" customFormat="1" ht="198" customHeight="1">
      <c r="A84" s="1573"/>
      <c r="B84" s="944" t="s">
        <v>149</v>
      </c>
      <c r="C84" s="945" t="s">
        <v>780</v>
      </c>
      <c r="D84" s="948">
        <f>'MATRIZ PLURIANUAL (2)'!E82</f>
        <v>0</v>
      </c>
      <c r="E84" s="948">
        <f>'MATRIZ PLURIANUAL (2)'!F82</f>
        <v>1383924041.75</v>
      </c>
      <c r="F84" s="948">
        <f>'MATRIZ PLURIANUAL (2)'!G82</f>
        <v>0</v>
      </c>
      <c r="G84" s="948">
        <f>'MATRIZ PLURIANUAL (2)'!H82</f>
        <v>12628567563</v>
      </c>
      <c r="H84" s="948">
        <f>'MATRIZ PLURIANUAL (2)'!I82</f>
        <v>600000000</v>
      </c>
      <c r="I84" s="948">
        <f>'MATRIZ PLURIANUAL (2)'!J82</f>
        <v>0</v>
      </c>
      <c r="J84" s="948">
        <f>'MATRIZ PLURIANUAL (2)'!K82</f>
        <v>0</v>
      </c>
      <c r="K84" s="995">
        <f>'MATRIZ PLURIANUAL (2)'!L82</f>
        <v>14612491604.75</v>
      </c>
      <c r="L84" s="996">
        <f t="shared" si="5"/>
        <v>600000000</v>
      </c>
      <c r="M84" s="948">
        <f t="shared" si="6"/>
        <v>14012491604.75</v>
      </c>
      <c r="N84" s="997">
        <f t="shared" si="7"/>
        <v>0</v>
      </c>
      <c r="O84" s="997">
        <f t="shared" si="8"/>
        <v>14612491604.75</v>
      </c>
      <c r="P84" s="1154">
        <f t="shared" si="9"/>
        <v>14612491604.75</v>
      </c>
      <c r="Q84" s="939"/>
    </row>
    <row r="85" spans="1:17" s="831" customFormat="1" ht="195" customHeight="1">
      <c r="A85" s="1573"/>
      <c r="B85" s="1586" t="s">
        <v>150</v>
      </c>
      <c r="C85" s="945" t="s">
        <v>781</v>
      </c>
      <c r="D85" s="1612">
        <f>'MATRIZ PLURIANUAL (2)'!E84</f>
        <v>723847167.64268255</v>
      </c>
      <c r="E85" s="1612">
        <f>'MATRIZ PLURIANUAL (2)'!F84</f>
        <v>652852613.15999997</v>
      </c>
      <c r="F85" s="1612">
        <f>'MATRIZ PLURIANUAL (2)'!G84</f>
        <v>0</v>
      </c>
      <c r="G85" s="1612">
        <f>'MATRIZ PLURIANUAL (2)'!H84</f>
        <v>0</v>
      </c>
      <c r="H85" s="1612">
        <f>'MATRIZ PLURIANUAL (2)'!I84</f>
        <v>11889366847.375999</v>
      </c>
      <c r="I85" s="1612">
        <f>'MATRIZ PLURIANUAL (2)'!J84</f>
        <v>400000000</v>
      </c>
      <c r="J85" s="1612">
        <f>'MATRIZ PLURIANUAL (2)'!K84</f>
        <v>57439767.526000001</v>
      </c>
      <c r="K85" s="1615">
        <f>'MATRIZ PLURIANUAL (2)'!L84</f>
        <v>13723506395.704681</v>
      </c>
      <c r="L85" s="1626">
        <f t="shared" si="5"/>
        <v>12670653782.544682</v>
      </c>
      <c r="M85" s="1609">
        <f t="shared" si="6"/>
        <v>652852613.15999997</v>
      </c>
      <c r="N85" s="1600">
        <f t="shared" si="7"/>
        <v>400000000</v>
      </c>
      <c r="O85" s="1600">
        <f t="shared" si="8"/>
        <v>13323506395.704681</v>
      </c>
      <c r="P85" s="1600">
        <f t="shared" si="9"/>
        <v>13323506395.704681</v>
      </c>
      <c r="Q85" s="939"/>
    </row>
    <row r="86" spans="1:17" s="831" customFormat="1" ht="183" customHeight="1">
      <c r="A86" s="1573"/>
      <c r="B86" s="1588"/>
      <c r="C86" s="945" t="s">
        <v>782</v>
      </c>
      <c r="D86" s="1618"/>
      <c r="E86" s="1618"/>
      <c r="F86" s="1618"/>
      <c r="G86" s="1618"/>
      <c r="H86" s="1618"/>
      <c r="I86" s="1618"/>
      <c r="J86" s="1618"/>
      <c r="K86" s="1619"/>
      <c r="L86" s="1626">
        <f t="shared" si="5"/>
        <v>0</v>
      </c>
      <c r="M86" s="1609">
        <f t="shared" si="6"/>
        <v>0</v>
      </c>
      <c r="N86" s="1600">
        <f t="shared" si="7"/>
        <v>0</v>
      </c>
      <c r="O86" s="1600">
        <f t="shared" si="8"/>
        <v>0</v>
      </c>
      <c r="P86" s="1600">
        <f t="shared" si="9"/>
        <v>0</v>
      </c>
      <c r="Q86" s="939"/>
    </row>
    <row r="87" spans="1:17" s="831" customFormat="1" ht="213" customHeight="1">
      <c r="A87" s="1573"/>
      <c r="B87" s="1586" t="s">
        <v>151</v>
      </c>
      <c r="C87" s="945" t="s">
        <v>783</v>
      </c>
      <c r="D87" s="1612">
        <f>'MATRIZ PLURIANUAL (2)'!E87</f>
        <v>722929319.51274896</v>
      </c>
      <c r="E87" s="1612">
        <f>'MATRIZ PLURIANUAL (2)'!F87</f>
        <v>0</v>
      </c>
      <c r="F87" s="1612">
        <f>'MATRIZ PLURIANUAL (2)'!G87</f>
        <v>0</v>
      </c>
      <c r="G87" s="1612">
        <f>'MATRIZ PLURIANUAL (2)'!H87</f>
        <v>0</v>
      </c>
      <c r="H87" s="1612">
        <f>'MATRIZ PLURIANUAL (2)'!I87</f>
        <v>7234945408.2399998</v>
      </c>
      <c r="I87" s="1612">
        <f>'MATRIZ PLURIANUAL (2)'!J87</f>
        <v>0</v>
      </c>
      <c r="J87" s="1612">
        <f>'MATRIZ PLURIANUAL (2)'!K87</f>
        <v>69734682.99000001</v>
      </c>
      <c r="K87" s="1615">
        <f>'MATRIZ PLURIANUAL (2)'!L87</f>
        <v>8027609410.7427483</v>
      </c>
      <c r="L87" s="1626">
        <f t="shared" si="5"/>
        <v>8027609410.7427483</v>
      </c>
      <c r="M87" s="1609">
        <f t="shared" si="6"/>
        <v>0</v>
      </c>
      <c r="N87" s="1600">
        <f t="shared" si="7"/>
        <v>0</v>
      </c>
      <c r="O87" s="1600">
        <f t="shared" si="8"/>
        <v>8027609410.7427483</v>
      </c>
      <c r="P87" s="1600">
        <f t="shared" si="9"/>
        <v>8027609410.7427483</v>
      </c>
      <c r="Q87" s="939"/>
    </row>
    <row r="88" spans="1:17" s="831" customFormat="1" ht="204" customHeight="1">
      <c r="A88" s="1574"/>
      <c r="B88" s="1588"/>
      <c r="C88" s="945" t="s">
        <v>784</v>
      </c>
      <c r="D88" s="1618"/>
      <c r="E88" s="1618"/>
      <c r="F88" s="1618"/>
      <c r="G88" s="1618"/>
      <c r="H88" s="1618"/>
      <c r="I88" s="1618"/>
      <c r="J88" s="1618"/>
      <c r="K88" s="1619"/>
      <c r="L88" s="1626">
        <f t="shared" si="5"/>
        <v>0</v>
      </c>
      <c r="M88" s="1609">
        <f t="shared" si="6"/>
        <v>0</v>
      </c>
      <c r="N88" s="1600">
        <f t="shared" si="7"/>
        <v>0</v>
      </c>
      <c r="O88" s="1600">
        <f t="shared" si="8"/>
        <v>0</v>
      </c>
      <c r="P88" s="1600">
        <f t="shared" si="9"/>
        <v>0</v>
      </c>
      <c r="Q88" s="939"/>
    </row>
    <row r="89" spans="1:17" s="833" customFormat="1" ht="147" customHeight="1">
      <c r="A89" s="971" t="s">
        <v>632</v>
      </c>
      <c r="B89" s="972"/>
      <c r="C89" s="973"/>
      <c r="D89" s="974">
        <f>'MATRIZ PLURIANUAL (2)'!E90</f>
        <v>1116405759.350332</v>
      </c>
      <c r="E89" s="974">
        <f>'MATRIZ PLURIANUAL (2)'!F90</f>
        <v>22173593538.790001</v>
      </c>
      <c r="F89" s="974">
        <f>'MATRIZ PLURIANUAL (2)'!G90</f>
        <v>0</v>
      </c>
      <c r="G89" s="974">
        <f>'MATRIZ PLURIANUAL (2)'!H90</f>
        <v>0</v>
      </c>
      <c r="H89" s="974">
        <f>'MATRIZ PLURIANUAL (2)'!I90</f>
        <v>11913260544.32</v>
      </c>
      <c r="I89" s="974">
        <f>'MATRIZ PLURIANUAL (2)'!J90</f>
        <v>0</v>
      </c>
      <c r="J89" s="974">
        <f>'MATRIZ PLURIANUAL (2)'!K90</f>
        <v>92979577.319999993</v>
      </c>
      <c r="K89" s="1008">
        <f>'MATRIZ PLURIANUAL (2)'!L90</f>
        <v>35296239419.780327</v>
      </c>
      <c r="L89" s="1009">
        <f t="shared" si="5"/>
        <v>13122645880.990332</v>
      </c>
      <c r="M89" s="974">
        <f t="shared" si="6"/>
        <v>22173593538.790001</v>
      </c>
      <c r="N89" s="984">
        <f t="shared" si="7"/>
        <v>0</v>
      </c>
      <c r="O89" s="984">
        <f t="shared" si="8"/>
        <v>35296239419.780334</v>
      </c>
      <c r="P89" s="984">
        <f t="shared" si="9"/>
        <v>35296239419.780327</v>
      </c>
      <c r="Q89" s="940"/>
    </row>
    <row r="90" spans="1:17" s="831" customFormat="1" ht="297" customHeight="1">
      <c r="A90" s="1572" t="s">
        <v>152</v>
      </c>
      <c r="B90" s="1586" t="s">
        <v>153</v>
      </c>
      <c r="C90" s="945" t="s">
        <v>785</v>
      </c>
      <c r="D90" s="1612">
        <f>'MATRIZ PLURIANUAL (2)'!E91</f>
        <v>725429319.51274896</v>
      </c>
      <c r="E90" s="1612">
        <f>'MATRIZ PLURIANUAL (2)'!F91</f>
        <v>240435440.5</v>
      </c>
      <c r="F90" s="1612">
        <f>'MATRIZ PLURIANUAL (2)'!G91</f>
        <v>0</v>
      </c>
      <c r="G90" s="1612">
        <f>'MATRIZ PLURIANUAL (2)'!H91</f>
        <v>0</v>
      </c>
      <c r="H90" s="1612">
        <f>'MATRIZ PLURIANUAL (2)'!I91</f>
        <v>6934945408.2399998</v>
      </c>
      <c r="I90" s="1612">
        <f>'MATRIZ PLURIANUAL (2)'!J91</f>
        <v>0</v>
      </c>
      <c r="J90" s="1612">
        <f>'MATRIZ PLURIANUAL (2)'!K91</f>
        <v>69734682.99000001</v>
      </c>
      <c r="K90" s="1615">
        <f>'MATRIZ PLURIANUAL (2)'!L91</f>
        <v>7970544851.2427483</v>
      </c>
      <c r="L90" s="1626">
        <f t="shared" si="5"/>
        <v>7730109410.7427483</v>
      </c>
      <c r="M90" s="1609">
        <f t="shared" si="6"/>
        <v>240435440.5</v>
      </c>
      <c r="N90" s="1600">
        <f t="shared" si="7"/>
        <v>0</v>
      </c>
      <c r="O90" s="1600">
        <f t="shared" si="8"/>
        <v>7970544851.2427483</v>
      </c>
      <c r="P90" s="1600">
        <f t="shared" si="9"/>
        <v>7970544851.2427483</v>
      </c>
      <c r="Q90" s="939"/>
    </row>
    <row r="91" spans="1:17" s="831" customFormat="1" ht="297" customHeight="1">
      <c r="A91" s="1573"/>
      <c r="B91" s="1587"/>
      <c r="C91" s="945" t="s">
        <v>786</v>
      </c>
      <c r="D91" s="1613"/>
      <c r="E91" s="1613"/>
      <c r="F91" s="1613"/>
      <c r="G91" s="1613"/>
      <c r="H91" s="1613"/>
      <c r="I91" s="1613"/>
      <c r="J91" s="1613"/>
      <c r="K91" s="1616"/>
      <c r="L91" s="1626">
        <f t="shared" si="5"/>
        <v>0</v>
      </c>
      <c r="M91" s="1609">
        <f t="shared" si="6"/>
        <v>0</v>
      </c>
      <c r="N91" s="1600">
        <f t="shared" si="7"/>
        <v>0</v>
      </c>
      <c r="O91" s="1600">
        <f t="shared" si="8"/>
        <v>0</v>
      </c>
      <c r="P91" s="1600">
        <f t="shared" si="9"/>
        <v>0</v>
      </c>
      <c r="Q91" s="939"/>
    </row>
    <row r="92" spans="1:17" s="831" customFormat="1" ht="297" customHeight="1">
      <c r="A92" s="1573"/>
      <c r="B92" s="1588"/>
      <c r="C92" s="945" t="s">
        <v>787</v>
      </c>
      <c r="D92" s="1613"/>
      <c r="E92" s="1613"/>
      <c r="F92" s="1613"/>
      <c r="G92" s="1613"/>
      <c r="H92" s="1613"/>
      <c r="I92" s="1613"/>
      <c r="J92" s="1613"/>
      <c r="K92" s="1616"/>
      <c r="L92" s="1626">
        <f t="shared" si="5"/>
        <v>0</v>
      </c>
      <c r="M92" s="1609">
        <f t="shared" si="6"/>
        <v>0</v>
      </c>
      <c r="N92" s="1600">
        <f t="shared" si="7"/>
        <v>0</v>
      </c>
      <c r="O92" s="1600">
        <f t="shared" si="8"/>
        <v>0</v>
      </c>
      <c r="P92" s="1600">
        <f t="shared" si="9"/>
        <v>0</v>
      </c>
      <c r="Q92" s="939"/>
    </row>
    <row r="93" spans="1:17" s="831" customFormat="1" ht="297" customHeight="1">
      <c r="A93" s="1573"/>
      <c r="B93" s="1586" t="s">
        <v>154</v>
      </c>
      <c r="C93" s="945" t="s">
        <v>788</v>
      </c>
      <c r="D93" s="1612">
        <f>'MATRIZ PLURIANUAL (2)'!E96</f>
        <v>390976439.83758301</v>
      </c>
      <c r="E93" s="1612">
        <f>'MATRIZ PLURIANUAL (2)'!F96</f>
        <v>0</v>
      </c>
      <c r="F93" s="1612">
        <f>'MATRIZ PLURIANUAL (2)'!G96</f>
        <v>0</v>
      </c>
      <c r="G93" s="1612">
        <f>'MATRIZ PLURIANUAL (2)'!H96</f>
        <v>0</v>
      </c>
      <c r="H93" s="1612">
        <f>'MATRIZ PLURIANUAL (2)'!I96</f>
        <v>2578315136.0799999</v>
      </c>
      <c r="I93" s="1612">
        <f>'MATRIZ PLURIANUAL (2)'!J96</f>
        <v>0</v>
      </c>
      <c r="J93" s="1612">
        <f>'MATRIZ PLURIANUAL (2)'!K96</f>
        <v>23244894.329999998</v>
      </c>
      <c r="K93" s="1615">
        <f>'MATRIZ PLURIANUAL (2)'!L96</f>
        <v>2992536470.2475829</v>
      </c>
      <c r="L93" s="1626">
        <f t="shared" si="5"/>
        <v>2992536470.2475829</v>
      </c>
      <c r="M93" s="1609">
        <f t="shared" si="6"/>
        <v>0</v>
      </c>
      <c r="N93" s="1600">
        <f t="shared" si="7"/>
        <v>0</v>
      </c>
      <c r="O93" s="1600">
        <f t="shared" si="8"/>
        <v>2992536470.2475829</v>
      </c>
      <c r="P93" s="1600">
        <f t="shared" si="9"/>
        <v>2992536470.2475829</v>
      </c>
      <c r="Q93" s="939"/>
    </row>
    <row r="94" spans="1:17" s="831" customFormat="1" ht="297" customHeight="1">
      <c r="A94" s="1573"/>
      <c r="B94" s="1587"/>
      <c r="C94" s="945" t="s">
        <v>789</v>
      </c>
      <c r="D94" s="1613"/>
      <c r="E94" s="1613"/>
      <c r="F94" s="1613"/>
      <c r="G94" s="1613"/>
      <c r="H94" s="1613"/>
      <c r="I94" s="1613"/>
      <c r="J94" s="1613"/>
      <c r="K94" s="1616"/>
      <c r="L94" s="1626">
        <f t="shared" si="5"/>
        <v>0</v>
      </c>
      <c r="M94" s="1609">
        <f t="shared" si="6"/>
        <v>0</v>
      </c>
      <c r="N94" s="1600">
        <f t="shared" si="7"/>
        <v>0</v>
      </c>
      <c r="O94" s="1600">
        <f t="shared" si="8"/>
        <v>0</v>
      </c>
      <c r="P94" s="1600">
        <f t="shared" si="9"/>
        <v>0</v>
      </c>
      <c r="Q94" s="939"/>
    </row>
    <row r="95" spans="1:17" s="831" customFormat="1" ht="297" customHeight="1">
      <c r="A95" s="1573"/>
      <c r="B95" s="1587"/>
      <c r="C95" s="945" t="s">
        <v>790</v>
      </c>
      <c r="D95" s="1613"/>
      <c r="E95" s="1613"/>
      <c r="F95" s="1613"/>
      <c r="G95" s="1613"/>
      <c r="H95" s="1613"/>
      <c r="I95" s="1613"/>
      <c r="J95" s="1613"/>
      <c r="K95" s="1616"/>
      <c r="L95" s="1626">
        <f t="shared" si="5"/>
        <v>0</v>
      </c>
      <c r="M95" s="1609">
        <f t="shared" si="6"/>
        <v>0</v>
      </c>
      <c r="N95" s="1600">
        <f t="shared" si="7"/>
        <v>0</v>
      </c>
      <c r="O95" s="1600">
        <f t="shared" si="8"/>
        <v>0</v>
      </c>
      <c r="P95" s="1600">
        <f t="shared" si="9"/>
        <v>0</v>
      </c>
      <c r="Q95" s="939"/>
    </row>
    <row r="96" spans="1:17" s="831" customFormat="1" ht="297" customHeight="1">
      <c r="A96" s="1573"/>
      <c r="B96" s="1587"/>
      <c r="C96" s="945" t="s">
        <v>791</v>
      </c>
      <c r="D96" s="1613"/>
      <c r="E96" s="1613"/>
      <c r="F96" s="1613"/>
      <c r="G96" s="1613"/>
      <c r="H96" s="1613"/>
      <c r="I96" s="1613"/>
      <c r="J96" s="1613"/>
      <c r="K96" s="1616"/>
      <c r="L96" s="1626">
        <f t="shared" si="5"/>
        <v>0</v>
      </c>
      <c r="M96" s="1609">
        <f t="shared" si="6"/>
        <v>0</v>
      </c>
      <c r="N96" s="1600">
        <f t="shared" si="7"/>
        <v>0</v>
      </c>
      <c r="O96" s="1600">
        <f t="shared" si="8"/>
        <v>0</v>
      </c>
      <c r="P96" s="1600">
        <f t="shared" si="9"/>
        <v>0</v>
      </c>
      <c r="Q96" s="939"/>
    </row>
    <row r="97" spans="1:17" s="831" customFormat="1" ht="297" customHeight="1">
      <c r="A97" s="1573"/>
      <c r="B97" s="1588"/>
      <c r="C97" s="945" t="s">
        <v>792</v>
      </c>
      <c r="D97" s="1618"/>
      <c r="E97" s="1618"/>
      <c r="F97" s="1618"/>
      <c r="G97" s="1618"/>
      <c r="H97" s="1618"/>
      <c r="I97" s="1618"/>
      <c r="J97" s="1618"/>
      <c r="K97" s="1619"/>
      <c r="L97" s="1626">
        <f t="shared" si="5"/>
        <v>0</v>
      </c>
      <c r="M97" s="1609">
        <f t="shared" si="6"/>
        <v>0</v>
      </c>
      <c r="N97" s="1600">
        <f t="shared" si="7"/>
        <v>0</v>
      </c>
      <c r="O97" s="1600">
        <f t="shared" si="8"/>
        <v>0</v>
      </c>
      <c r="P97" s="1600">
        <f t="shared" si="9"/>
        <v>0</v>
      </c>
      <c r="Q97" s="939"/>
    </row>
    <row r="98" spans="1:17" s="831" customFormat="1" ht="297" customHeight="1">
      <c r="A98" s="1574"/>
      <c r="B98" s="944" t="s">
        <v>155</v>
      </c>
      <c r="C98" s="945" t="s">
        <v>793</v>
      </c>
      <c r="D98" s="949">
        <f>'MATRIZ PLURIANUAL (2)'!E100</f>
        <v>0</v>
      </c>
      <c r="E98" s="949">
        <f>'MATRIZ PLURIANUAL (2)'!F100</f>
        <v>21933158098.290001</v>
      </c>
      <c r="F98" s="949">
        <f>'MATRIZ PLURIANUAL (2)'!G100</f>
        <v>0</v>
      </c>
      <c r="G98" s="949">
        <f>'MATRIZ PLURIANUAL (2)'!H100</f>
        <v>0</v>
      </c>
      <c r="H98" s="949">
        <f>'MATRIZ PLURIANUAL (2)'!I100</f>
        <v>2400000000</v>
      </c>
      <c r="I98" s="949">
        <f>'MATRIZ PLURIANUAL (2)'!J100</f>
        <v>0</v>
      </c>
      <c r="J98" s="949">
        <f>'MATRIZ PLURIANUAL (2)'!K100</f>
        <v>0</v>
      </c>
      <c r="K98" s="998">
        <f>'MATRIZ PLURIANUAL (2)'!L100</f>
        <v>24333158098.290001</v>
      </c>
      <c r="L98" s="996">
        <f t="shared" si="5"/>
        <v>2400000000</v>
      </c>
      <c r="M98" s="948">
        <f t="shared" si="6"/>
        <v>21933158098.290001</v>
      </c>
      <c r="N98" s="997">
        <f t="shared" si="7"/>
        <v>0</v>
      </c>
      <c r="O98" s="997">
        <f t="shared" si="8"/>
        <v>24333158098.290001</v>
      </c>
      <c r="P98" s="1154">
        <f t="shared" si="9"/>
        <v>24333158098.290001</v>
      </c>
      <c r="Q98" s="939"/>
    </row>
    <row r="99" spans="1:17" s="833" customFormat="1" ht="147" customHeight="1">
      <c r="A99" s="975" t="s">
        <v>633</v>
      </c>
      <c r="B99" s="976"/>
      <c r="C99" s="977"/>
      <c r="D99" s="978">
        <f>'MATRIZ PLURIANUAL (2)'!E107</f>
        <v>2705049909.3503323</v>
      </c>
      <c r="E99" s="978">
        <f>'MATRIZ PLURIANUAL (2)'!F107</f>
        <v>890328325.29999995</v>
      </c>
      <c r="F99" s="978">
        <f>'MATRIZ PLURIANUAL (2)'!G107</f>
        <v>0</v>
      </c>
      <c r="G99" s="978">
        <f>'MATRIZ PLURIANUAL (2)'!H107</f>
        <v>0</v>
      </c>
      <c r="H99" s="978">
        <f>'MATRIZ PLURIANUAL (2)'!I107</f>
        <v>9213260544.3199997</v>
      </c>
      <c r="I99" s="978">
        <f>'MATRIZ PLURIANUAL (2)'!J107</f>
        <v>0</v>
      </c>
      <c r="J99" s="978">
        <f>'MATRIZ PLURIANUAL (2)'!K107</f>
        <v>92979577.319999993</v>
      </c>
      <c r="K99" s="1006">
        <f>'MATRIZ PLURIANUAL (2)'!L107</f>
        <v>12901618356.290333</v>
      </c>
      <c r="L99" s="1007">
        <f t="shared" si="5"/>
        <v>12011290030.990332</v>
      </c>
      <c r="M99" s="978">
        <f t="shared" si="6"/>
        <v>890328325.29999995</v>
      </c>
      <c r="N99" s="985">
        <f t="shared" si="7"/>
        <v>0</v>
      </c>
      <c r="O99" s="985">
        <f t="shared" si="8"/>
        <v>12901618356.290331</v>
      </c>
      <c r="P99" s="985">
        <f t="shared" si="9"/>
        <v>12901618356.290333</v>
      </c>
      <c r="Q99" s="940"/>
    </row>
    <row r="100" spans="1:17" s="831" customFormat="1" ht="291" customHeight="1">
      <c r="A100" s="1572" t="s">
        <v>156</v>
      </c>
      <c r="B100" s="1586" t="s">
        <v>641</v>
      </c>
      <c r="C100" s="945" t="s">
        <v>794</v>
      </c>
      <c r="D100" s="1612">
        <f>'MATRIZ PLURIANUAL (2)'!E108</f>
        <v>2705049909.3503323</v>
      </c>
      <c r="E100" s="1612">
        <f>'MATRIZ PLURIANUAL (2)'!F108</f>
        <v>890328325.29999995</v>
      </c>
      <c r="F100" s="1612">
        <f>'MATRIZ PLURIANUAL (2)'!G108</f>
        <v>0</v>
      </c>
      <c r="G100" s="1612">
        <f>'MATRIZ PLURIANUAL (2)'!H108</f>
        <v>0</v>
      </c>
      <c r="H100" s="1612">
        <f>'MATRIZ PLURIANUAL (2)'!I108</f>
        <v>9213260544.3199997</v>
      </c>
      <c r="I100" s="1612">
        <f>'MATRIZ PLURIANUAL (2)'!J108</f>
        <v>0</v>
      </c>
      <c r="J100" s="1612">
        <f>'MATRIZ PLURIANUAL (2)'!K108</f>
        <v>92979577.319999993</v>
      </c>
      <c r="K100" s="1615">
        <f>'MATRIZ PLURIANUAL (2)'!L108</f>
        <v>12901618356.290333</v>
      </c>
      <c r="L100" s="1626">
        <f t="shared" si="5"/>
        <v>12011290030.990332</v>
      </c>
      <c r="M100" s="1609">
        <f t="shared" si="6"/>
        <v>890328325.29999995</v>
      </c>
      <c r="N100" s="1600">
        <f t="shared" si="7"/>
        <v>0</v>
      </c>
      <c r="O100" s="1600">
        <f t="shared" si="8"/>
        <v>12901618356.290331</v>
      </c>
      <c r="P100" s="1600">
        <f t="shared" si="9"/>
        <v>12901618356.290333</v>
      </c>
      <c r="Q100" s="939"/>
    </row>
    <row r="101" spans="1:17" s="831" customFormat="1" ht="291" customHeight="1">
      <c r="A101" s="1573"/>
      <c r="B101" s="1587"/>
      <c r="C101" s="945" t="s">
        <v>795</v>
      </c>
      <c r="D101" s="1613"/>
      <c r="E101" s="1613"/>
      <c r="F101" s="1613"/>
      <c r="G101" s="1613"/>
      <c r="H101" s="1613"/>
      <c r="I101" s="1613"/>
      <c r="J101" s="1613"/>
      <c r="K101" s="1616"/>
      <c r="L101" s="1626">
        <f t="shared" si="5"/>
        <v>0</v>
      </c>
      <c r="M101" s="1609">
        <f t="shared" si="6"/>
        <v>0</v>
      </c>
      <c r="N101" s="1600">
        <f t="shared" si="7"/>
        <v>0</v>
      </c>
      <c r="O101" s="1600">
        <f t="shared" si="8"/>
        <v>0</v>
      </c>
      <c r="P101" s="1600">
        <f t="shared" si="9"/>
        <v>0</v>
      </c>
      <c r="Q101" s="939"/>
    </row>
    <row r="102" spans="1:17" s="831" customFormat="1" ht="291" customHeight="1">
      <c r="A102" s="1573"/>
      <c r="B102" s="1587"/>
      <c r="C102" s="945" t="s">
        <v>796</v>
      </c>
      <c r="D102" s="1613"/>
      <c r="E102" s="1613"/>
      <c r="F102" s="1613"/>
      <c r="G102" s="1613"/>
      <c r="H102" s="1613"/>
      <c r="I102" s="1613"/>
      <c r="J102" s="1613"/>
      <c r="K102" s="1616"/>
      <c r="L102" s="1626">
        <f t="shared" si="5"/>
        <v>0</v>
      </c>
      <c r="M102" s="1609">
        <f t="shared" si="6"/>
        <v>0</v>
      </c>
      <c r="N102" s="1600">
        <f t="shared" si="7"/>
        <v>0</v>
      </c>
      <c r="O102" s="1600">
        <f t="shared" si="8"/>
        <v>0</v>
      </c>
      <c r="P102" s="1600">
        <f t="shared" si="9"/>
        <v>0</v>
      </c>
      <c r="Q102" s="939"/>
    </row>
    <row r="103" spans="1:17" s="831" customFormat="1" ht="291" customHeight="1">
      <c r="A103" s="1573"/>
      <c r="B103" s="1587"/>
      <c r="C103" s="945" t="s">
        <v>797</v>
      </c>
      <c r="D103" s="1613"/>
      <c r="E103" s="1613"/>
      <c r="F103" s="1613"/>
      <c r="G103" s="1613"/>
      <c r="H103" s="1613"/>
      <c r="I103" s="1613"/>
      <c r="J103" s="1613"/>
      <c r="K103" s="1616"/>
      <c r="L103" s="1626">
        <f t="shared" si="5"/>
        <v>0</v>
      </c>
      <c r="M103" s="1609">
        <f t="shared" si="6"/>
        <v>0</v>
      </c>
      <c r="N103" s="1600">
        <f t="shared" si="7"/>
        <v>0</v>
      </c>
      <c r="O103" s="1600">
        <f t="shared" si="8"/>
        <v>0</v>
      </c>
      <c r="P103" s="1600">
        <f t="shared" si="9"/>
        <v>0</v>
      </c>
      <c r="Q103" s="939"/>
    </row>
    <row r="104" spans="1:17" s="831" customFormat="1" ht="291" customHeight="1">
      <c r="A104" s="1573"/>
      <c r="B104" s="1587"/>
      <c r="C104" s="945" t="s">
        <v>798</v>
      </c>
      <c r="D104" s="1613"/>
      <c r="E104" s="1613"/>
      <c r="F104" s="1613"/>
      <c r="G104" s="1613"/>
      <c r="H104" s="1613"/>
      <c r="I104" s="1613"/>
      <c r="J104" s="1613"/>
      <c r="K104" s="1616"/>
      <c r="L104" s="1626">
        <f t="shared" si="5"/>
        <v>0</v>
      </c>
      <c r="M104" s="1609">
        <f t="shared" si="6"/>
        <v>0</v>
      </c>
      <c r="N104" s="1600">
        <f t="shared" si="7"/>
        <v>0</v>
      </c>
      <c r="O104" s="1600">
        <f t="shared" si="8"/>
        <v>0</v>
      </c>
      <c r="P104" s="1600">
        <f t="shared" si="9"/>
        <v>0</v>
      </c>
      <c r="Q104" s="939"/>
    </row>
    <row r="105" spans="1:17" s="831" customFormat="1" ht="291" customHeight="1">
      <c r="A105" s="1573"/>
      <c r="B105" s="1587"/>
      <c r="C105" s="945" t="s">
        <v>799</v>
      </c>
      <c r="D105" s="1613"/>
      <c r="E105" s="1613"/>
      <c r="F105" s="1613"/>
      <c r="G105" s="1613"/>
      <c r="H105" s="1613"/>
      <c r="I105" s="1613"/>
      <c r="J105" s="1613"/>
      <c r="K105" s="1616"/>
      <c r="L105" s="1626">
        <f t="shared" si="5"/>
        <v>0</v>
      </c>
      <c r="M105" s="1609">
        <f t="shared" si="6"/>
        <v>0</v>
      </c>
      <c r="N105" s="1600">
        <f t="shared" si="7"/>
        <v>0</v>
      </c>
      <c r="O105" s="1600">
        <f t="shared" si="8"/>
        <v>0</v>
      </c>
      <c r="P105" s="1600">
        <f t="shared" si="9"/>
        <v>0</v>
      </c>
      <c r="Q105" s="939"/>
    </row>
    <row r="106" spans="1:17" s="831" customFormat="1" ht="291" customHeight="1" thickBot="1">
      <c r="A106" s="1590"/>
      <c r="B106" s="1589"/>
      <c r="C106" s="950" t="s">
        <v>800</v>
      </c>
      <c r="D106" s="1614"/>
      <c r="E106" s="1614"/>
      <c r="F106" s="1614"/>
      <c r="G106" s="1614"/>
      <c r="H106" s="1614"/>
      <c r="I106" s="1614"/>
      <c r="J106" s="1614"/>
      <c r="K106" s="1617"/>
      <c r="L106" s="1627">
        <f t="shared" si="5"/>
        <v>0</v>
      </c>
      <c r="M106" s="1638">
        <f t="shared" si="6"/>
        <v>0</v>
      </c>
      <c r="N106" s="1601">
        <f t="shared" si="7"/>
        <v>0</v>
      </c>
      <c r="O106" s="1601">
        <f t="shared" si="8"/>
        <v>0</v>
      </c>
      <c r="P106" s="1601">
        <f t="shared" si="9"/>
        <v>0</v>
      </c>
      <c r="Q106" s="939"/>
    </row>
    <row r="107" spans="1:17" s="831" customFormat="1" ht="60">
      <c r="A107" s="1611"/>
      <c r="B107" s="1611"/>
      <c r="C107" s="843"/>
      <c r="D107" s="841"/>
      <c r="E107" s="841"/>
      <c r="F107" s="841"/>
      <c r="G107" s="841"/>
      <c r="H107" s="841"/>
      <c r="I107" s="841"/>
      <c r="J107" s="841"/>
      <c r="K107" s="841"/>
      <c r="P107" s="939"/>
      <c r="Q107" s="939"/>
    </row>
    <row r="108" spans="1:17" s="831" customFormat="1" ht="48" customHeight="1">
      <c r="A108" s="842"/>
      <c r="B108" s="843"/>
      <c r="C108" s="843"/>
      <c r="D108" s="841"/>
      <c r="E108" s="841"/>
      <c r="F108" s="841"/>
      <c r="G108" s="841"/>
      <c r="H108" s="841"/>
      <c r="I108" s="841"/>
      <c r="J108" s="841"/>
      <c r="K108" s="841"/>
      <c r="P108" s="939"/>
      <c r="Q108" s="939"/>
    </row>
    <row r="109" spans="1:17" s="831" customFormat="1" ht="1.5" hidden="1" customHeight="1">
      <c r="A109" s="842"/>
      <c r="B109" s="843"/>
      <c r="C109" s="843"/>
      <c r="D109" s="841"/>
      <c r="E109" s="841"/>
      <c r="F109" s="841"/>
      <c r="G109" s="841"/>
      <c r="H109" s="841"/>
      <c r="I109" s="841"/>
      <c r="J109" s="841"/>
      <c r="K109" s="841"/>
      <c r="P109" s="939"/>
      <c r="Q109" s="939"/>
    </row>
  </sheetData>
  <autoFilter ref="A10:K10"/>
  <mergeCells count="295">
    <mergeCell ref="O93:O97"/>
    <mergeCell ref="O100:O106"/>
    <mergeCell ref="O48:O49"/>
    <mergeCell ref="O50:O51"/>
    <mergeCell ref="O53:O54"/>
    <mergeCell ref="O58:O66"/>
    <mergeCell ref="O67:O78"/>
    <mergeCell ref="O82:O83"/>
    <mergeCell ref="O85:O86"/>
    <mergeCell ref="O87:O88"/>
    <mergeCell ref="O90:O92"/>
    <mergeCell ref="O13:O15"/>
    <mergeCell ref="O16:O17"/>
    <mergeCell ref="O18:O19"/>
    <mergeCell ref="O20:O24"/>
    <mergeCell ref="O26:O31"/>
    <mergeCell ref="O32:O36"/>
    <mergeCell ref="O37:O39"/>
    <mergeCell ref="O41:O44"/>
    <mergeCell ref="O46:O47"/>
    <mergeCell ref="M93:M97"/>
    <mergeCell ref="M100:M106"/>
    <mergeCell ref="N13:N15"/>
    <mergeCell ref="N16:N17"/>
    <mergeCell ref="N18:N19"/>
    <mergeCell ref="N20:N24"/>
    <mergeCell ref="N26:N31"/>
    <mergeCell ref="N32:N36"/>
    <mergeCell ref="N37:N39"/>
    <mergeCell ref="N41:N44"/>
    <mergeCell ref="N46:N47"/>
    <mergeCell ref="N48:N49"/>
    <mergeCell ref="N50:N51"/>
    <mergeCell ref="N53:N54"/>
    <mergeCell ref="N58:N66"/>
    <mergeCell ref="N67:N78"/>
    <mergeCell ref="N82:N83"/>
    <mergeCell ref="N85:N86"/>
    <mergeCell ref="N87:N88"/>
    <mergeCell ref="N90:N92"/>
    <mergeCell ref="N93:N97"/>
    <mergeCell ref="N100:N106"/>
    <mergeCell ref="M48:M49"/>
    <mergeCell ref="M50:M51"/>
    <mergeCell ref="M53:M54"/>
    <mergeCell ref="M58:M66"/>
    <mergeCell ref="M67:M78"/>
    <mergeCell ref="M82:M83"/>
    <mergeCell ref="M85:M86"/>
    <mergeCell ref="M87:M88"/>
    <mergeCell ref="M90:M92"/>
    <mergeCell ref="M13:M15"/>
    <mergeCell ref="M16:M17"/>
    <mergeCell ref="M18:M19"/>
    <mergeCell ref="M20:M24"/>
    <mergeCell ref="M26:M31"/>
    <mergeCell ref="M32:M36"/>
    <mergeCell ref="M37:M39"/>
    <mergeCell ref="M41:M44"/>
    <mergeCell ref="M46:M47"/>
    <mergeCell ref="L13:L15"/>
    <mergeCell ref="L16:L17"/>
    <mergeCell ref="L18:L19"/>
    <mergeCell ref="L20:L24"/>
    <mergeCell ref="L26:L31"/>
    <mergeCell ref="L32:L36"/>
    <mergeCell ref="L37:L39"/>
    <mergeCell ref="L41:L44"/>
    <mergeCell ref="L46:L47"/>
    <mergeCell ref="L48:L49"/>
    <mergeCell ref="L50:L51"/>
    <mergeCell ref="L53:L54"/>
    <mergeCell ref="L58:L66"/>
    <mergeCell ref="L67:L78"/>
    <mergeCell ref="L82:L83"/>
    <mergeCell ref="L85:L86"/>
    <mergeCell ref="L87:L88"/>
    <mergeCell ref="L90:L92"/>
    <mergeCell ref="L93:L97"/>
    <mergeCell ref="L100:L106"/>
    <mergeCell ref="D9:K9"/>
    <mergeCell ref="D13:D15"/>
    <mergeCell ref="E13:E15"/>
    <mergeCell ref="F13:F15"/>
    <mergeCell ref="G13:G15"/>
    <mergeCell ref="H13:H15"/>
    <mergeCell ref="B2:K2"/>
    <mergeCell ref="A6:C6"/>
    <mergeCell ref="H6:K6"/>
    <mergeCell ref="D6:G6"/>
    <mergeCell ref="A3:C4"/>
    <mergeCell ref="D16:D17"/>
    <mergeCell ref="E16:E17"/>
    <mergeCell ref="F16:F17"/>
    <mergeCell ref="G16:G17"/>
    <mergeCell ref="H16:H17"/>
    <mergeCell ref="I16:I17"/>
    <mergeCell ref="J16:J17"/>
    <mergeCell ref="K16:K17"/>
    <mergeCell ref="I13:I15"/>
    <mergeCell ref="J13:J15"/>
    <mergeCell ref="K13:K15"/>
    <mergeCell ref="D20:D24"/>
    <mergeCell ref="E20:E24"/>
    <mergeCell ref="F20:F24"/>
    <mergeCell ref="G20:G24"/>
    <mergeCell ref="H20:H24"/>
    <mergeCell ref="I20:I24"/>
    <mergeCell ref="J20:J24"/>
    <mergeCell ref="K20:K24"/>
    <mergeCell ref="I18:I19"/>
    <mergeCell ref="J18:J19"/>
    <mergeCell ref="K18:K19"/>
    <mergeCell ref="D18:D19"/>
    <mergeCell ref="E18:E19"/>
    <mergeCell ref="F18:F19"/>
    <mergeCell ref="G18:G19"/>
    <mergeCell ref="H18:H19"/>
    <mergeCell ref="I32:I36"/>
    <mergeCell ref="J32:J36"/>
    <mergeCell ref="K32:K36"/>
    <mergeCell ref="I26:I31"/>
    <mergeCell ref="J26:J31"/>
    <mergeCell ref="K26:K31"/>
    <mergeCell ref="D26:D31"/>
    <mergeCell ref="E26:E31"/>
    <mergeCell ref="F26:F31"/>
    <mergeCell ref="G26:G31"/>
    <mergeCell ref="H26:H31"/>
    <mergeCell ref="E37:E39"/>
    <mergeCell ref="F37:F39"/>
    <mergeCell ref="G37:G39"/>
    <mergeCell ref="H37:H39"/>
    <mergeCell ref="D32:D36"/>
    <mergeCell ref="E32:E36"/>
    <mergeCell ref="F32:F36"/>
    <mergeCell ref="G32:G36"/>
    <mergeCell ref="H32:H36"/>
    <mergeCell ref="D48:D49"/>
    <mergeCell ref="E48:E49"/>
    <mergeCell ref="F48:F49"/>
    <mergeCell ref="G48:G49"/>
    <mergeCell ref="H48:H49"/>
    <mergeCell ref="I48:I49"/>
    <mergeCell ref="J48:J49"/>
    <mergeCell ref="K48:K49"/>
    <mergeCell ref="I46:I47"/>
    <mergeCell ref="J46:J47"/>
    <mergeCell ref="K46:K47"/>
    <mergeCell ref="D46:D47"/>
    <mergeCell ref="E46:E47"/>
    <mergeCell ref="F46:F47"/>
    <mergeCell ref="G46:G47"/>
    <mergeCell ref="H46:H47"/>
    <mergeCell ref="D53:D54"/>
    <mergeCell ref="E53:E54"/>
    <mergeCell ref="F53:F54"/>
    <mergeCell ref="G53:G54"/>
    <mergeCell ref="H53:H54"/>
    <mergeCell ref="I53:I54"/>
    <mergeCell ref="J53:J54"/>
    <mergeCell ref="K53:K54"/>
    <mergeCell ref="I50:I51"/>
    <mergeCell ref="J50:J51"/>
    <mergeCell ref="K50:K51"/>
    <mergeCell ref="D50:D51"/>
    <mergeCell ref="E50:E51"/>
    <mergeCell ref="F50:F51"/>
    <mergeCell ref="G50:G51"/>
    <mergeCell ref="H50:H51"/>
    <mergeCell ref="D67:D78"/>
    <mergeCell ref="E67:E78"/>
    <mergeCell ref="F67:F78"/>
    <mergeCell ref="G67:G78"/>
    <mergeCell ref="H67:H78"/>
    <mergeCell ref="I67:I78"/>
    <mergeCell ref="J67:J78"/>
    <mergeCell ref="K67:K78"/>
    <mergeCell ref="I58:I66"/>
    <mergeCell ref="J58:J66"/>
    <mergeCell ref="K58:K66"/>
    <mergeCell ref="D58:D66"/>
    <mergeCell ref="E58:E66"/>
    <mergeCell ref="F58:F66"/>
    <mergeCell ref="G58:G66"/>
    <mergeCell ref="H58:H66"/>
    <mergeCell ref="D85:D86"/>
    <mergeCell ref="E85:E86"/>
    <mergeCell ref="F85:F86"/>
    <mergeCell ref="G85:G86"/>
    <mergeCell ref="H85:H86"/>
    <mergeCell ref="I85:I86"/>
    <mergeCell ref="J85:J86"/>
    <mergeCell ref="K85:K86"/>
    <mergeCell ref="I82:I83"/>
    <mergeCell ref="J82:J83"/>
    <mergeCell ref="K82:K83"/>
    <mergeCell ref="D82:D83"/>
    <mergeCell ref="E82:E83"/>
    <mergeCell ref="F82:F83"/>
    <mergeCell ref="G82:G83"/>
    <mergeCell ref="H82:H83"/>
    <mergeCell ref="D90:D92"/>
    <mergeCell ref="E90:E92"/>
    <mergeCell ref="F90:F92"/>
    <mergeCell ref="G90:G92"/>
    <mergeCell ref="H90:H92"/>
    <mergeCell ref="I90:I92"/>
    <mergeCell ref="J90:J92"/>
    <mergeCell ref="K90:K92"/>
    <mergeCell ref="I87:I88"/>
    <mergeCell ref="J87:J88"/>
    <mergeCell ref="K87:K88"/>
    <mergeCell ref="D87:D88"/>
    <mergeCell ref="E87:E88"/>
    <mergeCell ref="F87:F88"/>
    <mergeCell ref="G87:G88"/>
    <mergeCell ref="H87:H88"/>
    <mergeCell ref="J100:J106"/>
    <mergeCell ref="K100:K106"/>
    <mergeCell ref="I93:I97"/>
    <mergeCell ref="J93:J97"/>
    <mergeCell ref="K93:K97"/>
    <mergeCell ref="D93:D97"/>
    <mergeCell ref="E93:E97"/>
    <mergeCell ref="F93:F97"/>
    <mergeCell ref="G93:G97"/>
    <mergeCell ref="H93:H97"/>
    <mergeCell ref="A107:B107"/>
    <mergeCell ref="A100:A106"/>
    <mergeCell ref="B100:B106"/>
    <mergeCell ref="D100:D106"/>
    <mergeCell ref="E100:E106"/>
    <mergeCell ref="F100:F106"/>
    <mergeCell ref="G100:G106"/>
    <mergeCell ref="H100:H106"/>
    <mergeCell ref="I100:I106"/>
    <mergeCell ref="A26:A39"/>
    <mergeCell ref="B26:B31"/>
    <mergeCell ref="B32:B36"/>
    <mergeCell ref="B37:B39"/>
    <mergeCell ref="B41:B44"/>
    <mergeCell ref="A41:A44"/>
    <mergeCell ref="D3:K4"/>
    <mergeCell ref="A13:A24"/>
    <mergeCell ref="B13:B15"/>
    <mergeCell ref="B16:B17"/>
    <mergeCell ref="B18:B19"/>
    <mergeCell ref="B20:B24"/>
    <mergeCell ref="D41:D44"/>
    <mergeCell ref="E41:E44"/>
    <mergeCell ref="F41:F44"/>
    <mergeCell ref="G41:G44"/>
    <mergeCell ref="H41:H44"/>
    <mergeCell ref="I41:I44"/>
    <mergeCell ref="J41:J44"/>
    <mergeCell ref="K41:K44"/>
    <mergeCell ref="I37:I39"/>
    <mergeCell ref="J37:J39"/>
    <mergeCell ref="K37:K39"/>
    <mergeCell ref="D37:D39"/>
    <mergeCell ref="A82:A88"/>
    <mergeCell ref="B82:B83"/>
    <mergeCell ref="B85:B86"/>
    <mergeCell ref="B87:B88"/>
    <mergeCell ref="A90:A98"/>
    <mergeCell ref="B90:B92"/>
    <mergeCell ref="B93:B97"/>
    <mergeCell ref="A46:A80"/>
    <mergeCell ref="B46:B47"/>
    <mergeCell ref="B48:B49"/>
    <mergeCell ref="B50:B51"/>
    <mergeCell ref="B53:B54"/>
    <mergeCell ref="B58:B66"/>
    <mergeCell ref="B67:B78"/>
    <mergeCell ref="P13:P15"/>
    <mergeCell ref="P16:P17"/>
    <mergeCell ref="P18:P19"/>
    <mergeCell ref="P20:P24"/>
    <mergeCell ref="P26:P31"/>
    <mergeCell ref="P32:P36"/>
    <mergeCell ref="P37:P39"/>
    <mergeCell ref="P41:P44"/>
    <mergeCell ref="P46:P47"/>
    <mergeCell ref="P93:P97"/>
    <mergeCell ref="P100:P106"/>
    <mergeCell ref="P48:P49"/>
    <mergeCell ref="P50:P51"/>
    <mergeCell ref="P53:P54"/>
    <mergeCell ref="P58:P66"/>
    <mergeCell ref="P67:P78"/>
    <mergeCell ref="P82:P83"/>
    <mergeCell ref="P85:P86"/>
    <mergeCell ref="P87:P88"/>
    <mergeCell ref="P90:P92"/>
  </mergeCells>
  <pageMargins left="0.70866141732283472" right="0.70866141732283472" top="0.74803149606299213" bottom="0.74803149606299213" header="0.31496062992125984" footer="0.31496062992125984"/>
  <pageSetup paperSize="1002" scale="15" orientation="landscape" r:id="rId1"/>
  <rowBreaks count="3" manualBreakCount="3">
    <brk id="31" max="44" man="1"/>
    <brk id="81" max="44" man="1"/>
    <brk id="109"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109"/>
  <sheetViews>
    <sheetView topLeftCell="C87" zoomScale="10" zoomScaleNormal="10" zoomScaleSheetLayoutView="10" zoomScalePageLayoutView="75" workbookViewId="0">
      <selection activeCell="O98" sqref="O98"/>
    </sheetView>
  </sheetViews>
  <sheetFormatPr baseColWidth="10" defaultColWidth="11.6640625" defaultRowHeight="25.2"/>
  <cols>
    <col min="1" max="1" width="208.109375" style="739" customWidth="1"/>
    <col min="2" max="2" width="182.109375" style="740" customWidth="1"/>
    <col min="3" max="3" width="255.109375" style="740" customWidth="1"/>
    <col min="4" max="11" width="165" style="741" customWidth="1"/>
    <col min="12" max="14" width="193.88671875" style="914" customWidth="1"/>
    <col min="15" max="15" width="152.6640625" style="743" customWidth="1"/>
    <col min="16" max="16" width="147.33203125" style="743" customWidth="1"/>
    <col min="17" max="16384" width="11.6640625" style="743"/>
  </cols>
  <sheetData>
    <row r="1" spans="1:16" hidden="1"/>
    <row r="2" spans="1:16" ht="26.7" hidden="1" customHeight="1" thickBot="1">
      <c r="A2" s="744"/>
      <c r="B2" s="1526" t="s">
        <v>161</v>
      </c>
      <c r="C2" s="1527"/>
      <c r="D2" s="1527"/>
      <c r="E2" s="1527"/>
      <c r="F2" s="1527"/>
      <c r="G2" s="1527"/>
      <c r="H2" s="1527"/>
      <c r="I2" s="1527"/>
      <c r="J2" s="1527"/>
      <c r="K2" s="1527"/>
    </row>
    <row r="3" spans="1:16" ht="323.25" customHeight="1">
      <c r="A3" s="1632"/>
      <c r="B3" s="1632"/>
      <c r="C3" s="1632"/>
      <c r="D3" s="1659" t="s">
        <v>626</v>
      </c>
      <c r="E3" s="1659"/>
      <c r="F3" s="1659"/>
      <c r="G3" s="1659"/>
      <c r="H3" s="1659"/>
      <c r="I3" s="1659"/>
      <c r="J3" s="1659"/>
      <c r="K3" s="1659"/>
    </row>
    <row r="4" spans="1:16" ht="409.6" customHeight="1">
      <c r="A4" s="1632"/>
      <c r="B4" s="1632"/>
      <c r="C4" s="1632"/>
      <c r="D4" s="1659"/>
      <c r="E4" s="1659"/>
      <c r="F4" s="1659"/>
      <c r="G4" s="1659"/>
      <c r="H4" s="1659"/>
      <c r="I4" s="1659"/>
      <c r="J4" s="1659"/>
      <c r="K4" s="1659"/>
    </row>
    <row r="5" spans="1:16" ht="70.2" customHeight="1">
      <c r="A5" s="745"/>
      <c r="B5" s="746"/>
      <c r="C5" s="884"/>
      <c r="D5" s="747"/>
      <c r="E5" s="747"/>
      <c r="F5" s="747"/>
      <c r="G5" s="747"/>
      <c r="H5" s="747"/>
      <c r="I5" s="747"/>
      <c r="J5" s="747"/>
      <c r="K5" s="747"/>
    </row>
    <row r="6" spans="1:16" s="891" customFormat="1" ht="67.2" customHeight="1">
      <c r="A6" s="1631" t="s">
        <v>709</v>
      </c>
      <c r="B6" s="1631"/>
      <c r="C6" s="1631"/>
      <c r="D6" s="1631" t="s">
        <v>704</v>
      </c>
      <c r="E6" s="1631"/>
      <c r="F6" s="1631"/>
      <c r="G6" s="1631"/>
      <c r="H6" s="1631" t="s">
        <v>705</v>
      </c>
      <c r="I6" s="1631"/>
      <c r="J6" s="1631"/>
      <c r="K6" s="1631"/>
      <c r="L6" s="915"/>
      <c r="M6" s="915"/>
      <c r="N6" s="915"/>
    </row>
    <row r="7" spans="1:16" s="891" customFormat="1" ht="67.2" customHeight="1">
      <c r="A7" s="892"/>
      <c r="B7" s="892"/>
      <c r="C7" s="892"/>
      <c r="D7" s="892"/>
      <c r="E7" s="892"/>
      <c r="F7" s="892"/>
      <c r="G7" s="892"/>
      <c r="H7" s="892"/>
      <c r="I7" s="892"/>
      <c r="J7" s="892"/>
      <c r="K7" s="892"/>
      <c r="L7" s="915"/>
      <c r="M7" s="915"/>
      <c r="N7" s="915"/>
    </row>
    <row r="8" spans="1:16" s="749" customFormat="1" ht="67.2" customHeight="1" thickBot="1">
      <c r="A8" s="746"/>
      <c r="B8" s="746"/>
      <c r="C8" s="885"/>
      <c r="D8" s="746"/>
      <c r="E8" s="746"/>
      <c r="F8" s="746"/>
      <c r="G8" s="746"/>
      <c r="H8" s="746"/>
      <c r="I8" s="746"/>
      <c r="J8" s="746"/>
      <c r="K8" s="746"/>
      <c r="L8" s="916"/>
      <c r="M8" s="916"/>
      <c r="N8" s="916"/>
    </row>
    <row r="9" spans="1:16" s="831" customFormat="1" ht="97.2" customHeight="1" thickBot="1">
      <c r="A9" s="844"/>
      <c r="B9" s="845"/>
      <c r="C9" s="884"/>
      <c r="D9" s="1628" t="s">
        <v>624</v>
      </c>
      <c r="E9" s="1629"/>
      <c r="F9" s="1629"/>
      <c r="G9" s="1629"/>
      <c r="H9" s="1629"/>
      <c r="I9" s="1629"/>
      <c r="J9" s="1629"/>
      <c r="K9" s="1630"/>
      <c r="L9" s="917"/>
      <c r="M9" s="917"/>
      <c r="N9" s="917"/>
    </row>
    <row r="10" spans="1:16" s="825" customFormat="1" ht="264" customHeight="1">
      <c r="A10" s="823" t="s">
        <v>710</v>
      </c>
      <c r="B10" s="824" t="s">
        <v>711</v>
      </c>
      <c r="C10" s="824" t="s">
        <v>158</v>
      </c>
      <c r="D10" s="943" t="s">
        <v>635</v>
      </c>
      <c r="E10" s="943" t="s">
        <v>634</v>
      </c>
      <c r="F10" s="943" t="s">
        <v>636</v>
      </c>
      <c r="G10" s="943" t="s">
        <v>637</v>
      </c>
      <c r="H10" s="943" t="s">
        <v>638</v>
      </c>
      <c r="I10" s="943" t="s">
        <v>639</v>
      </c>
      <c r="J10" s="943" t="s">
        <v>640</v>
      </c>
      <c r="K10" s="1014" t="s">
        <v>174</v>
      </c>
      <c r="L10" s="1015" t="s">
        <v>802</v>
      </c>
      <c r="M10" s="1014" t="s">
        <v>68</v>
      </c>
      <c r="N10" s="1014" t="s">
        <v>803</v>
      </c>
      <c r="O10" s="1014" t="s">
        <v>805</v>
      </c>
      <c r="P10" s="1014" t="s">
        <v>913</v>
      </c>
    </row>
    <row r="11" spans="1:16" s="828" customFormat="1" ht="99" customHeight="1">
      <c r="A11" s="826" t="s">
        <v>599</v>
      </c>
      <c r="B11" s="827"/>
      <c r="C11" s="887"/>
      <c r="D11" s="882">
        <f>'MATRIZ PLURIANUAL (2)'!E5</f>
        <v>35990526507.178024</v>
      </c>
      <c r="E11" s="882">
        <f>'MATRIZ PLURIANUAL (2)'!F5</f>
        <v>128624569189.75002</v>
      </c>
      <c r="F11" s="882">
        <f>'MATRIZ PLURIANUAL (2)'!G5</f>
        <v>752905601773.56787</v>
      </c>
      <c r="G11" s="882">
        <f>'MATRIZ PLURIANUAL (2)'!H5</f>
        <v>12628567563</v>
      </c>
      <c r="H11" s="882">
        <f>'MATRIZ PLURIANUAL (2)'!I5</f>
        <v>287626759570.97601</v>
      </c>
      <c r="I11" s="882">
        <f>'MATRIZ PLURIANUAL (2)'!J5</f>
        <v>217546304145.9285</v>
      </c>
      <c r="J11" s="882">
        <f>'MATRIZ PLURIANUAL (2)'!K5</f>
        <v>17420441297.439999</v>
      </c>
      <c r="K11" s="883">
        <f>'MATRIZ PLURIANUAL (2)'!L5</f>
        <v>1452742770047.8403</v>
      </c>
      <c r="L11" s="919">
        <f>D11+H11+J11</f>
        <v>341037727375.59406</v>
      </c>
      <c r="M11" s="918">
        <f>E11+F11+G11</f>
        <v>894158738526.31787</v>
      </c>
      <c r="N11" s="918">
        <f>I11</f>
        <v>217546304145.9285</v>
      </c>
      <c r="O11" s="918">
        <f>L11+M11</f>
        <v>1235196465901.9119</v>
      </c>
      <c r="P11" s="883">
        <f>K11-I11-F11</f>
        <v>482290864128.34399</v>
      </c>
    </row>
    <row r="12" spans="1:16" s="828" customFormat="1" ht="111" customHeight="1">
      <c r="A12" s="829" t="s">
        <v>627</v>
      </c>
      <c r="B12" s="830"/>
      <c r="C12" s="888"/>
      <c r="D12" s="904">
        <f>'PLAN DE USOS Y FUENTES'!D12/'PLAN DE USOS Y FUENTES'!D11</f>
        <v>6.0259967525223605E-2</v>
      </c>
      <c r="E12" s="904">
        <f>'PLAN DE USOS Y FUENTES'!E12/'PLAN DE USOS Y FUENTES'!E11</f>
        <v>8.8692846471582973E-2</v>
      </c>
      <c r="F12" s="904">
        <f>'PLAN DE USOS Y FUENTES'!F12/'PLAN DE USOS Y FUENTES'!F11</f>
        <v>0</v>
      </c>
      <c r="G12" s="904">
        <f>'PLAN DE USOS Y FUENTES'!G12/'PLAN DE USOS Y FUENTES'!G11</f>
        <v>0</v>
      </c>
      <c r="H12" s="904">
        <f>'PLAN DE USOS Y FUENTES'!H12/'PLAN DE USOS Y FUENTES'!H11</f>
        <v>7.7895520771916527E-2</v>
      </c>
      <c r="I12" s="904">
        <f>'PLAN DE USOS Y FUENTES'!I12/'PLAN DE USOS Y FUENTES'!I11</f>
        <v>3.2774631718023799E-2</v>
      </c>
      <c r="J12" s="904">
        <f>'PLAN DE USOS Y FUENTES'!J12/'PLAN DE USOS Y FUENTES'!J11</f>
        <v>1.2583151323624213E-2</v>
      </c>
      <c r="K12" s="924">
        <f>'PLAN DE USOS Y FUENTES'!K12/'PLAN DE USOS Y FUENTES'!K11</f>
        <v>2.9826964754690412E-2</v>
      </c>
      <c r="L12" s="925">
        <f>'PLAN DE USOS Y FUENTES'!L12/'PLAN DE USOS Y FUENTES'!L11</f>
        <v>7.2698198005885839E-2</v>
      </c>
      <c r="M12" s="904">
        <f>'PLAN DE USOS Y FUENTES'!M12/'PLAN DE USOS Y FUENTES'!M11</f>
        <v>1.2758449563912888E-2</v>
      </c>
      <c r="N12" s="924">
        <f>'PLAN DE USOS Y FUENTES'!N12/'PLAN DE USOS Y FUENTES'!N11</f>
        <v>3.2774631718023799E-2</v>
      </c>
      <c r="O12" s="1024">
        <f>'PLAN DE USOS Y FUENTES'!O12/'PLAN DE USOS Y FUENTES'!O11</f>
        <v>2.9307813290588704E-2</v>
      </c>
      <c r="P12" s="1226">
        <f>'PLAN DE USOS Y FUENTES'!P12/'PLAN DE USOS Y FUENTES'!P11</f>
        <v>7.5060321669735613E-2</v>
      </c>
    </row>
    <row r="13" spans="1:16" s="831" customFormat="1" ht="234" customHeight="1">
      <c r="A13" s="1660" t="s">
        <v>123</v>
      </c>
      <c r="B13" s="1663" t="s">
        <v>124</v>
      </c>
      <c r="C13" s="832" t="s">
        <v>713</v>
      </c>
      <c r="D13" s="1666">
        <f>'PLAN DE USOS Y FUENTES'!D13:D15/'PLAN DE USOS Y FUENTES'!D11</f>
        <v>2.6782207788988269E-2</v>
      </c>
      <c r="E13" s="1666">
        <f>'PLAN DE USOS Y FUENTES'!E13:E15/'PLAN DE USOS Y FUENTES'!E11</f>
        <v>0</v>
      </c>
      <c r="F13" s="1666">
        <f>'PLAN DE USOS Y FUENTES'!F13:F15/'PLAN DE USOS Y FUENTES'!F11</f>
        <v>0</v>
      </c>
      <c r="G13" s="1666">
        <f>'PLAN DE USOS Y FUENTES'!G13:G15/'PLAN DE USOS Y FUENTES'!G11</f>
        <v>0</v>
      </c>
      <c r="H13" s="1666">
        <f>'PLAN DE USOS Y FUENTES'!H13:H15/'PLAN DE USOS Y FUENTES'!H11</f>
        <v>3.1684327834841708E-2</v>
      </c>
      <c r="I13" s="1666">
        <f>'PLAN DE USOS Y FUENTES'!I13:I15/'PLAN DE USOS Y FUENTES'!I11</f>
        <v>1.3100659242127324E-2</v>
      </c>
      <c r="J13" s="1666">
        <f>'PLAN DE USOS Y FUENTES'!J13:J15/'PLAN DE USOS Y FUENTES'!J11</f>
        <v>5.337383579006331E-3</v>
      </c>
      <c r="K13" s="1667">
        <f>'PLAN DE USOS Y FUENTES'!K13:K15/'PLAN DE USOS Y FUENTES'!K11</f>
        <v>8.96245787584375E-3</v>
      </c>
      <c r="L13" s="1736">
        <f>'PLAN DE USOS Y FUENTES'!L13:L15/'PLAN DE USOS Y FUENTES'!L11</f>
        <v>2.982117538506136E-2</v>
      </c>
      <c r="M13" s="1666">
        <f>'PLAN DE USOS Y FUENTES'!M13:M15/'PLAN DE USOS Y FUENTES'!M11</f>
        <v>0</v>
      </c>
      <c r="N13" s="1667">
        <f>'PLAN DE USOS Y FUENTES'!N13:N15/'PLAN DE USOS Y FUENTES'!N11</f>
        <v>1.3100659242127324E-2</v>
      </c>
      <c r="O13" s="1767">
        <f>'PLAN DE USOS Y FUENTES'!O13:O15/'PLAN DE USOS Y FUENTES'!O11</f>
        <v>8.2336261167686598E-3</v>
      </c>
      <c r="P13" s="1654">
        <f>'PLAN DE USOS Y FUENTES'!P13:P15/'PLAN DE USOS Y FUENTES'!P11</f>
        <v>2.1087162617876007E-2</v>
      </c>
    </row>
    <row r="14" spans="1:16" s="831" customFormat="1" ht="234" customHeight="1">
      <c r="A14" s="1661"/>
      <c r="B14" s="1664"/>
      <c r="C14" s="832" t="s">
        <v>714</v>
      </c>
      <c r="D14" s="1666"/>
      <c r="E14" s="1666"/>
      <c r="F14" s="1666"/>
      <c r="G14" s="1666"/>
      <c r="H14" s="1666"/>
      <c r="I14" s="1666"/>
      <c r="J14" s="1666"/>
      <c r="K14" s="1667"/>
      <c r="L14" s="1736"/>
      <c r="M14" s="1666"/>
      <c r="N14" s="1667"/>
      <c r="O14" s="1767"/>
      <c r="P14" s="1654"/>
    </row>
    <row r="15" spans="1:16" s="831" customFormat="1" ht="234" customHeight="1">
      <c r="A15" s="1661"/>
      <c r="B15" s="1665"/>
      <c r="C15" s="832" t="s">
        <v>715</v>
      </c>
      <c r="D15" s="1666"/>
      <c r="E15" s="1666"/>
      <c r="F15" s="1666"/>
      <c r="G15" s="1666"/>
      <c r="H15" s="1666"/>
      <c r="I15" s="1666"/>
      <c r="J15" s="1666"/>
      <c r="K15" s="1667"/>
      <c r="L15" s="1736"/>
      <c r="M15" s="1666"/>
      <c r="N15" s="1667"/>
      <c r="O15" s="1767"/>
      <c r="P15" s="1654"/>
    </row>
    <row r="16" spans="1:16" s="831" customFormat="1" ht="234" customHeight="1">
      <c r="A16" s="1661"/>
      <c r="B16" s="1663" t="s">
        <v>125</v>
      </c>
      <c r="C16" s="832" t="s">
        <v>716</v>
      </c>
      <c r="D16" s="1666">
        <f>'PLAN DE USOS Y FUENTES'!D16:D17/'PLAN DE USOS Y FUENTES'!D11</f>
        <v>0</v>
      </c>
      <c r="E16" s="1666">
        <f>'PLAN DE USOS Y FUENTES'!E16:E17/'PLAN DE USOS Y FUENTES'!E11</f>
        <v>8.8692846471582973E-2</v>
      </c>
      <c r="F16" s="1666">
        <f>'PLAN DE USOS Y FUENTES'!F16:F17/'PLAN DE USOS Y FUENTES'!F11</f>
        <v>0</v>
      </c>
      <c r="G16" s="1666">
        <f>'PLAN DE USOS Y FUENTES'!G16:G17/'PLAN DE USOS Y FUENTES'!G11</f>
        <v>0</v>
      </c>
      <c r="H16" s="1666">
        <f>'PLAN DE USOS Y FUENTES'!H16:H17/'PLAN DE USOS Y FUENTES'!H11</f>
        <v>0</v>
      </c>
      <c r="I16" s="1666">
        <f>'PLAN DE USOS Y FUENTES'!I16:I17/'PLAN DE USOS Y FUENTES'!I11</f>
        <v>6.8950838116459601E-4</v>
      </c>
      <c r="J16" s="1666">
        <f>'PLAN DE USOS Y FUENTES'!J16:J17/'PLAN DE USOS Y FUENTES'!J11</f>
        <v>5.7403827085996599E-4</v>
      </c>
      <c r="K16" s="1667">
        <f>'PLAN DE USOS Y FUENTES'!K16:K17/'PLAN DE USOS Y FUENTES'!K11</f>
        <v>7.9629232415584835E-3</v>
      </c>
      <c r="L16" s="1736">
        <f>'PLAN DE USOS Y FUENTES'!L16:L17/'PLAN DE USOS Y FUENTES'!L11</f>
        <v>2.9322269054962153E-5</v>
      </c>
      <c r="M16" s="1666">
        <f>'PLAN DE USOS Y FUENTES'!M16:M17/'PLAN DE USOS Y FUENTES'!M11</f>
        <v>1.2758449563912888E-2</v>
      </c>
      <c r="N16" s="1667">
        <f>'PLAN DE USOS Y FUENTES'!N16:N17/'PLAN DE USOS Y FUENTES'!N11</f>
        <v>6.8950838116459601E-4</v>
      </c>
      <c r="O16" s="1767">
        <f>'PLAN DE USOS Y FUENTES'!O16:O17/'PLAN DE USOS Y FUENTES'!O11</f>
        <v>9.243937691549969E-3</v>
      </c>
      <c r="P16" s="1654">
        <f>'PLAN DE USOS Y FUENTES'!P16:P17/'PLAN DE USOS Y FUENTES'!P11</f>
        <v>2.3674674386080629E-2</v>
      </c>
    </row>
    <row r="17" spans="1:16" s="831" customFormat="1" ht="234" customHeight="1">
      <c r="A17" s="1661"/>
      <c r="B17" s="1665"/>
      <c r="C17" s="832" t="s">
        <v>717</v>
      </c>
      <c r="D17" s="1666"/>
      <c r="E17" s="1666"/>
      <c r="F17" s="1666"/>
      <c r="G17" s="1666"/>
      <c r="H17" s="1666"/>
      <c r="I17" s="1666"/>
      <c r="J17" s="1666"/>
      <c r="K17" s="1667"/>
      <c r="L17" s="1736"/>
      <c r="M17" s="1666"/>
      <c r="N17" s="1667"/>
      <c r="O17" s="1767"/>
      <c r="P17" s="1654"/>
    </row>
    <row r="18" spans="1:16" s="831" customFormat="1" ht="234" customHeight="1">
      <c r="A18" s="1661"/>
      <c r="B18" s="1663" t="s">
        <v>126</v>
      </c>
      <c r="C18" s="832" t="s">
        <v>718</v>
      </c>
      <c r="D18" s="1666">
        <f>'PLAN DE USOS Y FUENTES'!D18:D19/'PLAN DE USOS Y FUENTES'!D11</f>
        <v>2.0086655841741199E-2</v>
      </c>
      <c r="E18" s="1666">
        <f>'PLAN DE USOS Y FUENTES'!E18:E19/'PLAN DE USOS Y FUENTES'!E11</f>
        <v>0</v>
      </c>
      <c r="F18" s="1666">
        <f>'PLAN DE USOS Y FUENTES'!F18:F19/'PLAN DE USOS Y FUENTES'!F11</f>
        <v>0</v>
      </c>
      <c r="G18" s="1666">
        <f>'PLAN DE USOS Y FUENTES'!G18:G19/'PLAN DE USOS Y FUENTES'!G11</f>
        <v>0</v>
      </c>
      <c r="H18" s="1666">
        <f>'PLAN DE USOS Y FUENTES'!H18:H19/'PLAN DE USOS Y FUENTES'!H11</f>
        <v>2.6196955455323846E-2</v>
      </c>
      <c r="I18" s="1666">
        <f>'PLAN DE USOS Y FUENTES'!I18:I19/'PLAN DE USOS Y FUENTES'!I11</f>
        <v>6.3434771067142834E-3</v>
      </c>
      <c r="J18" s="1666">
        <f>'PLAN DE USOS Y FUENTES'!J18:J19/'PLAN DE USOS Y FUENTES'!J11</f>
        <v>4.0030376842547493E-3</v>
      </c>
      <c r="K18" s="1667">
        <f>'PLAN DE USOS Y FUENTES'!K18:K19/'PLAN DE USOS Y FUENTES'!K11</f>
        <v>6.6822631032247273E-3</v>
      </c>
      <c r="L18" s="1736">
        <f>'PLAN DE USOS Y FUENTES'!L18:L19/'PLAN DE USOS Y FUENTES'!L11</f>
        <v>2.4418440372643367E-2</v>
      </c>
      <c r="M18" s="1666">
        <f>'PLAN DE USOS Y FUENTES'!M18:M19/'PLAN DE USOS Y FUENTES'!M11</f>
        <v>0</v>
      </c>
      <c r="N18" s="1667">
        <f>'PLAN DE USOS Y FUENTES'!N18:N19/'PLAN DE USOS Y FUENTES'!N11</f>
        <v>6.3434771067142834E-3</v>
      </c>
      <c r="O18" s="1767">
        <f>'PLAN DE USOS Y FUENTES'!O18:O19/'PLAN DE USOS Y FUENTES'!O11</f>
        <v>6.7419310535851646E-3</v>
      </c>
      <c r="P18" s="1654">
        <f>'PLAN DE USOS Y FUENTES'!P18:P19/'PLAN DE USOS Y FUENTES'!P11</f>
        <v>1.7266778266301724E-2</v>
      </c>
    </row>
    <row r="19" spans="1:16" s="831" customFormat="1" ht="234" customHeight="1">
      <c r="A19" s="1661"/>
      <c r="B19" s="1665"/>
      <c r="C19" s="832" t="s">
        <v>719</v>
      </c>
      <c r="D19" s="1666"/>
      <c r="E19" s="1666"/>
      <c r="F19" s="1666"/>
      <c r="G19" s="1666"/>
      <c r="H19" s="1666"/>
      <c r="I19" s="1666"/>
      <c r="J19" s="1666"/>
      <c r="K19" s="1667"/>
      <c r="L19" s="1736"/>
      <c r="M19" s="1666"/>
      <c r="N19" s="1667"/>
      <c r="O19" s="1767"/>
      <c r="P19" s="1654"/>
    </row>
    <row r="20" spans="1:16" s="831" customFormat="1" ht="234" customHeight="1">
      <c r="A20" s="1661"/>
      <c r="B20" s="1663" t="s">
        <v>127</v>
      </c>
      <c r="C20" s="832" t="s">
        <v>724</v>
      </c>
      <c r="D20" s="1666">
        <f>'PLAN DE USOS Y FUENTES'!D20:D24/'PLAN DE USOS Y FUENTES'!D11</f>
        <v>1.3391103894494135E-2</v>
      </c>
      <c r="E20" s="1666">
        <f>'PLAN DE USOS Y FUENTES'!E20:E24/'PLAN DE USOS Y FUENTES'!E11</f>
        <v>0</v>
      </c>
      <c r="F20" s="1666">
        <f>'PLAN DE USOS Y FUENTES'!F20:F24/'PLAN DE USOS Y FUENTES'!F11</f>
        <v>0</v>
      </c>
      <c r="G20" s="1666">
        <f>'PLAN DE USOS Y FUENTES'!G20:G24/'PLAN DE USOS Y FUENTES'!G11</f>
        <v>0</v>
      </c>
      <c r="H20" s="1666">
        <f>'PLAN DE USOS Y FUENTES'!H20:H24/'PLAN DE USOS Y FUENTES'!H11</f>
        <v>2.0014237481750959E-2</v>
      </c>
      <c r="I20" s="1666">
        <f>'PLAN DE USOS Y FUENTES'!I20:I24/'PLAN DE USOS Y FUENTES'!I11</f>
        <v>1.2640986988017593E-2</v>
      </c>
      <c r="J20" s="1666">
        <f>'PLAN DE USOS Y FUENTES'!J20:J24/'PLAN DE USOS Y FUENTES'!J11</f>
        <v>2.6686917895031655E-3</v>
      </c>
      <c r="K20" s="1667">
        <f>'PLAN DE USOS Y FUENTES'!K20:K24/'PLAN DE USOS Y FUENTES'!K11</f>
        <v>6.219320534080257E-3</v>
      </c>
      <c r="L20" s="1736">
        <f>'PLAN DE USOS Y FUENTES'!L20:L24/'PLAN DE USOS Y FUENTES'!L11</f>
        <v>1.8429259979126138E-2</v>
      </c>
      <c r="M20" s="1666">
        <f>'PLAN DE USOS Y FUENTES'!M20:M24/'PLAN DE USOS Y FUENTES'!M11</f>
        <v>0</v>
      </c>
      <c r="N20" s="1667">
        <f>'PLAN DE USOS Y FUENTES'!N20:N24/'PLAN DE USOS Y FUENTES'!N11</f>
        <v>1.2640986988017593E-2</v>
      </c>
      <c r="O20" s="1767">
        <f>'PLAN DE USOS Y FUENTES'!O20:O24/'PLAN DE USOS Y FUENTES'!O11</f>
        <v>5.0883184286849067E-3</v>
      </c>
      <c r="P20" s="1654">
        <f>'PLAN DE USOS Y FUENTES'!P20:P24/'PLAN DE USOS Y FUENTES'!P11</f>
        <v>1.303170639952787E-2</v>
      </c>
    </row>
    <row r="21" spans="1:16" s="831" customFormat="1" ht="234" customHeight="1">
      <c r="A21" s="1661"/>
      <c r="B21" s="1664"/>
      <c r="C21" s="832" t="s">
        <v>723</v>
      </c>
      <c r="D21" s="1666"/>
      <c r="E21" s="1666"/>
      <c r="F21" s="1666"/>
      <c r="G21" s="1666"/>
      <c r="H21" s="1666"/>
      <c r="I21" s="1666"/>
      <c r="J21" s="1666"/>
      <c r="K21" s="1667"/>
      <c r="L21" s="1736"/>
      <c r="M21" s="1666"/>
      <c r="N21" s="1667"/>
      <c r="O21" s="1767"/>
      <c r="P21" s="1654"/>
    </row>
    <row r="22" spans="1:16" s="831" customFormat="1" ht="234" customHeight="1">
      <c r="A22" s="1661"/>
      <c r="B22" s="1664"/>
      <c r="C22" s="832" t="s">
        <v>722</v>
      </c>
      <c r="D22" s="1666"/>
      <c r="E22" s="1666"/>
      <c r="F22" s="1666"/>
      <c r="G22" s="1666"/>
      <c r="H22" s="1666"/>
      <c r="I22" s="1666"/>
      <c r="J22" s="1666"/>
      <c r="K22" s="1667"/>
      <c r="L22" s="1736"/>
      <c r="M22" s="1666"/>
      <c r="N22" s="1667"/>
      <c r="O22" s="1767"/>
      <c r="P22" s="1654"/>
    </row>
    <row r="23" spans="1:16" s="831" customFormat="1" ht="234" customHeight="1">
      <c r="A23" s="1661"/>
      <c r="B23" s="1664"/>
      <c r="C23" s="832" t="s">
        <v>720</v>
      </c>
      <c r="D23" s="1666"/>
      <c r="E23" s="1666"/>
      <c r="F23" s="1666"/>
      <c r="G23" s="1666"/>
      <c r="H23" s="1666"/>
      <c r="I23" s="1666"/>
      <c r="J23" s="1666"/>
      <c r="K23" s="1667"/>
      <c r="L23" s="1736"/>
      <c r="M23" s="1666"/>
      <c r="N23" s="1667"/>
      <c r="O23" s="1767"/>
      <c r="P23" s="1654"/>
    </row>
    <row r="24" spans="1:16" s="831" customFormat="1" ht="234" customHeight="1">
      <c r="A24" s="1662"/>
      <c r="B24" s="1665"/>
      <c r="C24" s="832" t="s">
        <v>721</v>
      </c>
      <c r="D24" s="1666"/>
      <c r="E24" s="1666"/>
      <c r="F24" s="1666"/>
      <c r="G24" s="1666"/>
      <c r="H24" s="1666"/>
      <c r="I24" s="1666"/>
      <c r="J24" s="1666"/>
      <c r="K24" s="1667"/>
      <c r="L24" s="1736"/>
      <c r="M24" s="1666"/>
      <c r="N24" s="1667"/>
      <c r="O24" s="1767"/>
      <c r="P24" s="1654"/>
    </row>
    <row r="25" spans="1:16" s="833" customFormat="1" ht="147" customHeight="1">
      <c r="A25" s="829" t="s">
        <v>628</v>
      </c>
      <c r="B25" s="830"/>
      <c r="C25" s="888"/>
      <c r="D25" s="905">
        <f>'PLAN DE USOS Y FUENTES'!D25/'PLAN DE USOS Y FUENTES'!D11</f>
        <v>0.14321986628190553</v>
      </c>
      <c r="E25" s="905">
        <f>'PLAN DE USOS Y FUENTES'!E25/'PLAN DE USOS Y FUENTES'!E11</f>
        <v>9.1504688489156258E-2</v>
      </c>
      <c r="F25" s="905">
        <f>'PLAN DE USOS Y FUENTES'!F25/'PLAN DE USOS Y FUENTES'!F11</f>
        <v>0</v>
      </c>
      <c r="G25" s="905">
        <f>'PLAN DE USOS Y FUENTES'!G25/'PLAN DE USOS Y FUENTES'!G11</f>
        <v>0</v>
      </c>
      <c r="H25" s="905">
        <f>'PLAN DE USOS Y FUENTES'!H25/'PLAN DE USOS Y FUENTES'!H11</f>
        <v>0.11946547166937303</v>
      </c>
      <c r="I25" s="905">
        <f>'PLAN DE USOS Y FUENTES'!I25/'PLAN DE USOS Y FUENTES'!I11</f>
        <v>0</v>
      </c>
      <c r="J25" s="905">
        <f>'PLAN DE USOS Y FUENTES'!J25/'PLAN DE USOS Y FUENTES'!J11</f>
        <v>1.5379485883596503E-2</v>
      </c>
      <c r="K25" s="926">
        <f>'PLAN DE USOS Y FUENTES'!K25/'PLAN DE USOS Y FUENTES'!K11</f>
        <v>3.5487145088827873E-2</v>
      </c>
      <c r="L25" s="927">
        <f>'PLAN DE USOS Y FUENTES'!L25/'PLAN DE USOS Y FUENTES'!L11</f>
        <v>0.11665554608232034</v>
      </c>
      <c r="M25" s="905">
        <f>'PLAN DE USOS Y FUENTES'!M25/'PLAN DE USOS Y FUENTES'!M11</f>
        <v>1.3162932518176781E-2</v>
      </c>
      <c r="N25" s="926">
        <f>'PLAN DE USOS Y FUENTES'!N25/'PLAN DE USOS Y FUENTES'!N11</f>
        <v>0</v>
      </c>
      <c r="O25" s="1025">
        <f>'PLAN DE USOS Y FUENTES'!O25/'PLAN DE USOS Y FUENTES'!O11</f>
        <v>4.1737241710605208E-2</v>
      </c>
      <c r="P25" s="1225">
        <f>'PLAN DE USOS Y FUENTES'!P25/'PLAN DE USOS Y FUENTES'!P11</f>
        <v>0.10689336517001553</v>
      </c>
    </row>
    <row r="26" spans="1:16" s="831" customFormat="1" ht="237" customHeight="1">
      <c r="A26" s="1688" t="s">
        <v>128</v>
      </c>
      <c r="B26" s="1671" t="s">
        <v>129</v>
      </c>
      <c r="C26" s="834" t="s">
        <v>725</v>
      </c>
      <c r="D26" s="1674">
        <f>'PLAN DE USOS Y FUENTES'!D26:D31/'PLAN DE USOS Y FUENTES'!D11</f>
        <v>3.6325453558651612E-2</v>
      </c>
      <c r="E26" s="1674">
        <f>'PLAN DE USOS Y FUENTES'!E26:E31/'PLAN DE USOS Y FUENTES'!E11</f>
        <v>4.5914810870912722E-3</v>
      </c>
      <c r="F26" s="1674">
        <f>'PLAN DE USOS Y FUENTES'!F26:F31/'PLAN DE USOS Y FUENTES'!F11</f>
        <v>0</v>
      </c>
      <c r="G26" s="1674">
        <f>'PLAN DE USOS Y FUENTES'!G26:G31/'PLAN DE USOS Y FUENTES'!G11</f>
        <v>0</v>
      </c>
      <c r="H26" s="1674">
        <f>'PLAN DE USOS Y FUENTES'!H26:H31/'PLAN DE USOS Y FUENTES'!H11</f>
        <v>6.5333196773587787E-2</v>
      </c>
      <c r="I26" s="1674">
        <f>'PLAN DE USOS Y FUENTES'!I26:I31/'PLAN DE USOS Y FUENTES'!I11</f>
        <v>0</v>
      </c>
      <c r="J26" s="1674">
        <f>'PLAN DE USOS Y FUENTES'!J26:J31/'PLAN DE USOS Y FUENTES'!J11</f>
        <v>6.6717294737579143E-3</v>
      </c>
      <c r="K26" s="1687">
        <f>'PLAN DE USOS Y FUENTES'!K26:K31/'PLAN DE USOS Y FUENTES'!K11</f>
        <v>1.4321702408006315E-2</v>
      </c>
      <c r="L26" s="1737">
        <f>'PLAN DE USOS Y FUENTES'!L26:L31/'PLAN DE USOS Y FUENTES'!L11</f>
        <v>5.9275472267543011E-2</v>
      </c>
      <c r="M26" s="1674">
        <f>'PLAN DE USOS Y FUENTES'!M26:M31/'PLAN DE USOS Y FUENTES'!M11</f>
        <v>6.6048370532433985E-4</v>
      </c>
      <c r="N26" s="1687">
        <f>'PLAN DE USOS Y FUENTES'!N26:N31/'PLAN DE USOS Y FUENTES'!N11</f>
        <v>0</v>
      </c>
      <c r="O26" s="1768">
        <f>'PLAN DE USOS Y FUENTES'!O26:O31/'PLAN DE USOS Y FUENTES'!O11</f>
        <v>1.6844081247282424E-2</v>
      </c>
      <c r="P26" s="1655">
        <f>'PLAN DE USOS Y FUENTES'!P26:P31/'PLAN DE USOS Y FUENTES'!P11</f>
        <v>4.3139423064981038E-2</v>
      </c>
    </row>
    <row r="27" spans="1:16" s="831" customFormat="1" ht="237" customHeight="1">
      <c r="A27" s="1689"/>
      <c r="B27" s="1672"/>
      <c r="C27" s="834" t="s">
        <v>726</v>
      </c>
      <c r="D27" s="1674"/>
      <c r="E27" s="1674"/>
      <c r="F27" s="1674"/>
      <c r="G27" s="1674"/>
      <c r="H27" s="1674"/>
      <c r="I27" s="1674"/>
      <c r="J27" s="1674"/>
      <c r="K27" s="1687"/>
      <c r="L27" s="1737"/>
      <c r="M27" s="1674"/>
      <c r="N27" s="1687"/>
      <c r="O27" s="1768"/>
      <c r="P27" s="1655"/>
    </row>
    <row r="28" spans="1:16" s="831" customFormat="1" ht="237" customHeight="1">
      <c r="A28" s="1689"/>
      <c r="B28" s="1672"/>
      <c r="C28" s="834" t="s">
        <v>727</v>
      </c>
      <c r="D28" s="1674"/>
      <c r="E28" s="1674"/>
      <c r="F28" s="1674"/>
      <c r="G28" s="1674"/>
      <c r="H28" s="1674"/>
      <c r="I28" s="1674"/>
      <c r="J28" s="1674"/>
      <c r="K28" s="1687"/>
      <c r="L28" s="1737"/>
      <c r="M28" s="1674"/>
      <c r="N28" s="1687"/>
      <c r="O28" s="1768"/>
      <c r="P28" s="1655"/>
    </row>
    <row r="29" spans="1:16" s="831" customFormat="1" ht="237" customHeight="1">
      <c r="A29" s="1689"/>
      <c r="B29" s="1672"/>
      <c r="C29" s="834" t="s">
        <v>728</v>
      </c>
      <c r="D29" s="1674"/>
      <c r="E29" s="1674"/>
      <c r="F29" s="1674"/>
      <c r="G29" s="1674"/>
      <c r="H29" s="1674"/>
      <c r="I29" s="1674"/>
      <c r="J29" s="1674"/>
      <c r="K29" s="1687"/>
      <c r="L29" s="1737"/>
      <c r="M29" s="1674"/>
      <c r="N29" s="1687"/>
      <c r="O29" s="1768"/>
      <c r="P29" s="1655"/>
    </row>
    <row r="30" spans="1:16" s="831" customFormat="1" ht="237" customHeight="1">
      <c r="A30" s="1689"/>
      <c r="B30" s="1672"/>
      <c r="C30" s="834" t="s">
        <v>729</v>
      </c>
      <c r="D30" s="1674"/>
      <c r="E30" s="1674"/>
      <c r="F30" s="1674"/>
      <c r="G30" s="1674"/>
      <c r="H30" s="1674"/>
      <c r="I30" s="1674"/>
      <c r="J30" s="1674"/>
      <c r="K30" s="1687"/>
      <c r="L30" s="1737"/>
      <c r="M30" s="1674"/>
      <c r="N30" s="1687"/>
      <c r="O30" s="1768"/>
      <c r="P30" s="1655"/>
    </row>
    <row r="31" spans="1:16" s="831" customFormat="1" ht="237" customHeight="1">
      <c r="A31" s="1689"/>
      <c r="B31" s="1673"/>
      <c r="C31" s="834" t="s">
        <v>730</v>
      </c>
      <c r="D31" s="1674"/>
      <c r="E31" s="1674"/>
      <c r="F31" s="1674"/>
      <c r="G31" s="1674"/>
      <c r="H31" s="1674"/>
      <c r="I31" s="1674"/>
      <c r="J31" s="1674"/>
      <c r="K31" s="1687"/>
      <c r="L31" s="1737"/>
      <c r="M31" s="1674"/>
      <c r="N31" s="1687"/>
      <c r="O31" s="1768"/>
      <c r="P31" s="1655"/>
    </row>
    <row r="32" spans="1:16" s="831" customFormat="1" ht="237" customHeight="1">
      <c r="A32" s="1689"/>
      <c r="B32" s="1671" t="s">
        <v>130</v>
      </c>
      <c r="C32" s="834" t="s">
        <v>731</v>
      </c>
      <c r="D32" s="1668">
        <f>'PLAN DE USOS Y FUENTES'!D32:D36/'PLAN DE USOS Y FUENTES'!D11</f>
        <v>3.2589946114814895E-2</v>
      </c>
      <c r="E32" s="1668">
        <f>'PLAN DE USOS Y FUENTES'!E32:E36/'PLAN DE USOS Y FUENTES'!E11</f>
        <v>1.6117395292509971E-2</v>
      </c>
      <c r="F32" s="1668">
        <f>'PLAN DE USOS Y FUENTES'!F32:F36/'PLAN DE USOS Y FUENTES'!F11</f>
        <v>0</v>
      </c>
      <c r="G32" s="1668">
        <f>'PLAN DE USOS Y FUENTES'!G32:G36/'PLAN DE USOS Y FUENTES'!G11</f>
        <v>0</v>
      </c>
      <c r="H32" s="1668">
        <f>'PLAN DE USOS Y FUENTES'!H32:H36/'PLAN DE USOS Y FUENTES'!H11</f>
        <v>2.6196955455323846E-2</v>
      </c>
      <c r="I32" s="1668">
        <f>'PLAN DE USOS Y FUENTES'!I32:I36/'PLAN DE USOS Y FUENTES'!I11</f>
        <v>0</v>
      </c>
      <c r="J32" s="1668">
        <f>'PLAN DE USOS Y FUENTES'!J32:J36/'PLAN DE USOS Y FUENTES'!J11</f>
        <v>4.0030376842547493E-3</v>
      </c>
      <c r="K32" s="1684">
        <f>'PLAN DE USOS Y FUENTES'!K32:K36/'PLAN DE USOS Y FUENTES'!K11</f>
        <v>7.4691147396627033E-3</v>
      </c>
      <c r="L32" s="1752">
        <f>'PLAN DE USOS Y FUENTES'!L32:L36/'PLAN DE USOS Y FUENTES'!L11</f>
        <v>2.5737942480116665E-2</v>
      </c>
      <c r="M32" s="1668">
        <f>'PLAN DE USOS Y FUENTES'!M32:M36/'PLAN DE USOS Y FUENTES'!M11</f>
        <v>2.3184843324091527E-3</v>
      </c>
      <c r="N32" s="1684">
        <f>'PLAN DE USOS Y FUENTES'!N32:N36/'PLAN DE USOS Y FUENTES'!N11</f>
        <v>0</v>
      </c>
      <c r="O32" s="1769">
        <f>'PLAN DE USOS Y FUENTES'!O32:O36/'PLAN DE USOS Y FUENTES'!O11</f>
        <v>8.7845964073252226E-3</v>
      </c>
      <c r="P32" s="1656">
        <f>'PLAN DE USOS Y FUENTES'!P32:P36/'PLAN DE USOS Y FUENTES'!P11</f>
        <v>2.2498254152737245E-2</v>
      </c>
    </row>
    <row r="33" spans="1:16" s="831" customFormat="1" ht="237" customHeight="1">
      <c r="A33" s="1689"/>
      <c r="B33" s="1672"/>
      <c r="C33" s="834" t="s">
        <v>732</v>
      </c>
      <c r="D33" s="1669"/>
      <c r="E33" s="1669"/>
      <c r="F33" s="1669"/>
      <c r="G33" s="1669"/>
      <c r="H33" s="1669"/>
      <c r="I33" s="1669"/>
      <c r="J33" s="1669"/>
      <c r="K33" s="1685"/>
      <c r="L33" s="1753"/>
      <c r="M33" s="1669"/>
      <c r="N33" s="1685"/>
      <c r="O33" s="1770"/>
      <c r="P33" s="1657"/>
    </row>
    <row r="34" spans="1:16" s="831" customFormat="1" ht="237" customHeight="1">
      <c r="A34" s="1689"/>
      <c r="B34" s="1672"/>
      <c r="C34" s="834" t="s">
        <v>733</v>
      </c>
      <c r="D34" s="1669"/>
      <c r="E34" s="1669"/>
      <c r="F34" s="1669"/>
      <c r="G34" s="1669"/>
      <c r="H34" s="1669"/>
      <c r="I34" s="1669"/>
      <c r="J34" s="1669"/>
      <c r="K34" s="1685"/>
      <c r="L34" s="1753"/>
      <c r="M34" s="1669"/>
      <c r="N34" s="1685"/>
      <c r="O34" s="1770"/>
      <c r="P34" s="1657"/>
    </row>
    <row r="35" spans="1:16" s="831" customFormat="1" ht="237" customHeight="1">
      <c r="A35" s="1689"/>
      <c r="B35" s="1672"/>
      <c r="C35" s="834" t="s">
        <v>734</v>
      </c>
      <c r="D35" s="1669"/>
      <c r="E35" s="1669"/>
      <c r="F35" s="1669"/>
      <c r="G35" s="1669"/>
      <c r="H35" s="1669"/>
      <c r="I35" s="1669"/>
      <c r="J35" s="1669"/>
      <c r="K35" s="1685"/>
      <c r="L35" s="1753"/>
      <c r="M35" s="1669"/>
      <c r="N35" s="1685"/>
      <c r="O35" s="1770"/>
      <c r="P35" s="1657"/>
    </row>
    <row r="36" spans="1:16" s="831" customFormat="1" ht="237" customHeight="1">
      <c r="A36" s="1689"/>
      <c r="B36" s="1673"/>
      <c r="C36" s="834" t="s">
        <v>735</v>
      </c>
      <c r="D36" s="1670"/>
      <c r="E36" s="1670"/>
      <c r="F36" s="1670"/>
      <c r="G36" s="1670"/>
      <c r="H36" s="1670"/>
      <c r="I36" s="1670"/>
      <c r="J36" s="1670"/>
      <c r="K36" s="1686"/>
      <c r="L36" s="1754"/>
      <c r="M36" s="1670"/>
      <c r="N36" s="1686"/>
      <c r="O36" s="1771"/>
      <c r="P36" s="1658"/>
    </row>
    <row r="37" spans="1:16" s="831" customFormat="1" ht="237" customHeight="1">
      <c r="A37" s="1689"/>
      <c r="B37" s="1671" t="s">
        <v>131</v>
      </c>
      <c r="C37" s="834" t="s">
        <v>736</v>
      </c>
      <c r="D37" s="1674">
        <f>'PLAN DE USOS Y FUENTES'!D37:D39/'PLAN DE USOS Y FUENTES'!D11</f>
        <v>7.4304466608439007E-2</v>
      </c>
      <c r="E37" s="1674">
        <f>'PLAN DE USOS Y FUENTES'!E37:E39/'PLAN DE USOS Y FUENTES'!E11</f>
        <v>7.0795812109555004E-2</v>
      </c>
      <c r="F37" s="1674">
        <f>'PLAN DE USOS Y FUENTES'!F37:F39/'PLAN DE USOS Y FUENTES'!F11</f>
        <v>0</v>
      </c>
      <c r="G37" s="1674">
        <f>'PLAN DE USOS Y FUENTES'!G37:G39/'PLAN DE USOS Y FUENTES'!G11</f>
        <v>0</v>
      </c>
      <c r="H37" s="1674">
        <f>'PLAN DE USOS Y FUENTES'!H37:H39/'PLAN DE USOS Y FUENTES'!H11</f>
        <v>2.7935319440461386E-2</v>
      </c>
      <c r="I37" s="1674">
        <f>'PLAN DE USOS Y FUENTES'!I37:I39/'PLAN DE USOS Y FUENTES'!I11</f>
        <v>0</v>
      </c>
      <c r="J37" s="1674">
        <f>'PLAN DE USOS Y FUENTES'!J37:J39/'PLAN DE USOS Y FUENTES'!J11</f>
        <v>4.7047187255838396E-3</v>
      </c>
      <c r="K37" s="1687">
        <f>'PLAN DE USOS Y FUENTES'!K37:K39/'PLAN DE USOS Y FUENTES'!K11</f>
        <v>1.3696327941158853E-2</v>
      </c>
      <c r="L37" s="1737">
        <f>'PLAN DE USOS Y FUENTES'!L37:L39/'PLAN DE USOS Y FUENTES'!L11</f>
        <v>3.1642131334660671E-2</v>
      </c>
      <c r="M37" s="1674">
        <f>'PLAN DE USOS Y FUENTES'!M37:M39/'PLAN DE USOS Y FUENTES'!M11</f>
        <v>1.0183964480443288E-2</v>
      </c>
      <c r="N37" s="1687">
        <f>'PLAN DE USOS Y FUENTES'!N37:N39/'PLAN DE USOS Y FUENTES'!N11</f>
        <v>0</v>
      </c>
      <c r="O37" s="1768">
        <f>'PLAN DE USOS Y FUENTES'!O37:O39/'PLAN DE USOS Y FUENTES'!O11</f>
        <v>1.6108564055997556E-2</v>
      </c>
      <c r="P37" s="1655">
        <f>'PLAN DE USOS Y FUENTES'!P37:P39/'PLAN DE USOS Y FUENTES'!P11</f>
        <v>4.125568795229724E-2</v>
      </c>
    </row>
    <row r="38" spans="1:16" s="831" customFormat="1" ht="237" customHeight="1">
      <c r="A38" s="1689"/>
      <c r="B38" s="1672"/>
      <c r="C38" s="834" t="s">
        <v>737</v>
      </c>
      <c r="D38" s="1674"/>
      <c r="E38" s="1674"/>
      <c r="F38" s="1674"/>
      <c r="G38" s="1674"/>
      <c r="H38" s="1674"/>
      <c r="I38" s="1674"/>
      <c r="J38" s="1674"/>
      <c r="K38" s="1687"/>
      <c r="L38" s="1737"/>
      <c r="M38" s="1674"/>
      <c r="N38" s="1687"/>
      <c r="O38" s="1768"/>
      <c r="P38" s="1655"/>
    </row>
    <row r="39" spans="1:16" s="831" customFormat="1" ht="237" customHeight="1">
      <c r="A39" s="1690"/>
      <c r="B39" s="1673"/>
      <c r="C39" s="834" t="s">
        <v>738</v>
      </c>
      <c r="D39" s="1674"/>
      <c r="E39" s="1674"/>
      <c r="F39" s="1674"/>
      <c r="G39" s="1674"/>
      <c r="H39" s="1674"/>
      <c r="I39" s="1674"/>
      <c r="J39" s="1674"/>
      <c r="K39" s="1687"/>
      <c r="L39" s="1737"/>
      <c r="M39" s="1674"/>
      <c r="N39" s="1687"/>
      <c r="O39" s="1768"/>
      <c r="P39" s="1655"/>
    </row>
    <row r="40" spans="1:16" s="833" customFormat="1" ht="147" customHeight="1">
      <c r="A40" s="829" t="s">
        <v>629</v>
      </c>
      <c r="B40" s="830"/>
      <c r="C40" s="888"/>
      <c r="D40" s="905">
        <f>'PLAN DE USOS Y FUENTES'!D40/'PLAN DE USOS Y FUENTES'!D11</f>
        <v>0.23216908670595066</v>
      </c>
      <c r="E40" s="905">
        <f>'PLAN DE USOS Y FUENTES'!E40/'PLAN DE USOS Y FUENTES'!E11</f>
        <v>3.1442013706602802E-2</v>
      </c>
      <c r="F40" s="905">
        <f>'PLAN DE USOS Y FUENTES'!F40/'PLAN DE USOS Y FUENTES'!F11</f>
        <v>0</v>
      </c>
      <c r="G40" s="905">
        <f>'PLAN DE USOS Y FUENTES'!G40/'PLAN DE USOS Y FUENTES'!G11</f>
        <v>0</v>
      </c>
      <c r="H40" s="905">
        <f>'PLAN DE USOS Y FUENTES'!H40/'PLAN DE USOS Y FUENTES'!H11</f>
        <v>0.19889529728993524</v>
      </c>
      <c r="I40" s="905">
        <f>'PLAN DE USOS Y FUENTES'!I40/'PLAN DE USOS Y FUENTES'!I11</f>
        <v>0.56493720030085903</v>
      </c>
      <c r="J40" s="905">
        <f>'PLAN DE USOS Y FUENTES'!J40/'PLAN DE USOS Y FUENTES'!J11</f>
        <v>0.8091522007930092</v>
      </c>
      <c r="K40" s="926">
        <f>'PLAN DE USOS Y FUENTES'!K40/'PLAN DE USOS Y FUENTES'!K11</f>
        <v>0.14221616218948602</v>
      </c>
      <c r="L40" s="927">
        <f>'PLAN DE USOS Y FUENTES'!L40/'PLAN DE USOS Y FUENTES'!L11</f>
        <v>0.23357910149784078</v>
      </c>
      <c r="M40" s="905">
        <f>'PLAN DE USOS Y FUENTES'!M40/'PLAN DE USOS Y FUENTES'!M11</f>
        <v>4.5229278574577909E-3</v>
      </c>
      <c r="N40" s="926">
        <f>'PLAN DE USOS Y FUENTES'!N40/'PLAN DE USOS Y FUENTES'!N11</f>
        <v>0.56493720030085903</v>
      </c>
      <c r="O40" s="1025">
        <f>'PLAN DE USOS Y FUENTES'!O40/'PLAN DE USOS Y FUENTES'!O11</f>
        <v>6.7765334273044958E-2</v>
      </c>
      <c r="P40" s="1225">
        <f>'PLAN DE USOS Y FUENTES'!P40/'PLAN DE USOS Y FUENTES'!P11</f>
        <v>0.1735539850127707</v>
      </c>
    </row>
    <row r="41" spans="1:16" s="846" customFormat="1" ht="229.2" customHeight="1">
      <c r="A41" s="1675" t="s">
        <v>132</v>
      </c>
      <c r="B41" s="1678" t="s">
        <v>133</v>
      </c>
      <c r="C41" s="835" t="s">
        <v>739</v>
      </c>
      <c r="D41" s="1681">
        <f>'PLAN DE USOS Y FUENTES'!D41:D44/'PLAN DE USOS Y FUENTES'!D11</f>
        <v>0.23216908670595066</v>
      </c>
      <c r="E41" s="1681">
        <f>'PLAN DE USOS Y FUENTES'!E41:E44/'PLAN DE USOS Y FUENTES'!E11</f>
        <v>3.1442013706602802E-2</v>
      </c>
      <c r="F41" s="1681">
        <f>'PLAN DE USOS Y FUENTES'!F41:F44/'PLAN DE USOS Y FUENTES'!F11</f>
        <v>0</v>
      </c>
      <c r="G41" s="1681">
        <f>'PLAN DE USOS Y FUENTES'!G41:G44/'PLAN DE USOS Y FUENTES'!G11</f>
        <v>0</v>
      </c>
      <c r="H41" s="1681">
        <f>'PLAN DE USOS Y FUENTES'!H41:H44/'PLAN DE USOS Y FUENTES'!H11</f>
        <v>0.19889529728993524</v>
      </c>
      <c r="I41" s="1681">
        <f>'PLAN DE USOS Y FUENTES'!I41:I44/'PLAN DE USOS Y FUENTES'!I11</f>
        <v>0.56493720030085903</v>
      </c>
      <c r="J41" s="1681">
        <f>'PLAN DE USOS Y FUENTES'!J41:J44/'PLAN DE USOS Y FUENTES'!J11</f>
        <v>0.8091522007930092</v>
      </c>
      <c r="K41" s="1695">
        <f>'PLAN DE USOS Y FUENTES'!K41:K44/'PLAN DE USOS Y FUENTES'!K11</f>
        <v>0.14221616218948602</v>
      </c>
      <c r="L41" s="1755">
        <f>'PLAN DE USOS Y FUENTES'!L41:L44/'PLAN DE USOS Y FUENTES'!L11</f>
        <v>0.23357910149784078</v>
      </c>
      <c r="M41" s="1681">
        <f>'PLAN DE USOS Y FUENTES'!M41:M44/'PLAN DE USOS Y FUENTES'!M11</f>
        <v>4.5229278574577909E-3</v>
      </c>
      <c r="N41" s="1695">
        <f>'PLAN DE USOS Y FUENTES'!N41:N44/'PLAN DE USOS Y FUENTES'!N11</f>
        <v>0.56493720030085903</v>
      </c>
      <c r="O41" s="1775">
        <f>'PLAN DE USOS Y FUENTES'!O41:O44/'PLAN DE USOS Y FUENTES'!O11</f>
        <v>6.7765334273044958E-2</v>
      </c>
      <c r="P41" s="1647">
        <f>'PLAN DE USOS Y FUENTES'!P41:P44/'PLAN DE USOS Y FUENTES'!P11</f>
        <v>0.1735539850127707</v>
      </c>
    </row>
    <row r="42" spans="1:16" s="846" customFormat="1" ht="229.2" customHeight="1">
      <c r="A42" s="1676"/>
      <c r="B42" s="1679"/>
      <c r="C42" s="835" t="s">
        <v>740</v>
      </c>
      <c r="D42" s="1682"/>
      <c r="E42" s="1682"/>
      <c r="F42" s="1682"/>
      <c r="G42" s="1682"/>
      <c r="H42" s="1682"/>
      <c r="I42" s="1682"/>
      <c r="J42" s="1682"/>
      <c r="K42" s="1696"/>
      <c r="L42" s="1756"/>
      <c r="M42" s="1682"/>
      <c r="N42" s="1696"/>
      <c r="O42" s="1776"/>
      <c r="P42" s="1648"/>
    </row>
    <row r="43" spans="1:16" s="846" customFormat="1" ht="229.2" customHeight="1">
      <c r="A43" s="1676"/>
      <c r="B43" s="1679"/>
      <c r="C43" s="835" t="s">
        <v>741</v>
      </c>
      <c r="D43" s="1682"/>
      <c r="E43" s="1682"/>
      <c r="F43" s="1682"/>
      <c r="G43" s="1682"/>
      <c r="H43" s="1682"/>
      <c r="I43" s="1682"/>
      <c r="J43" s="1682"/>
      <c r="K43" s="1696"/>
      <c r="L43" s="1756"/>
      <c r="M43" s="1682"/>
      <c r="N43" s="1696"/>
      <c r="O43" s="1776"/>
      <c r="P43" s="1648"/>
    </row>
    <row r="44" spans="1:16" s="846" customFormat="1" ht="229.2" customHeight="1">
      <c r="A44" s="1677"/>
      <c r="B44" s="1680"/>
      <c r="C44" s="835" t="s">
        <v>742</v>
      </c>
      <c r="D44" s="1683"/>
      <c r="E44" s="1683"/>
      <c r="F44" s="1683"/>
      <c r="G44" s="1683"/>
      <c r="H44" s="1683"/>
      <c r="I44" s="1683"/>
      <c r="J44" s="1683"/>
      <c r="K44" s="1697"/>
      <c r="L44" s="1757"/>
      <c r="M44" s="1683"/>
      <c r="N44" s="1697"/>
      <c r="O44" s="1777"/>
      <c r="P44" s="1649"/>
    </row>
    <row r="45" spans="1:16" s="833" customFormat="1" ht="147" customHeight="1">
      <c r="A45" s="829" t="s">
        <v>630</v>
      </c>
      <c r="B45" s="830"/>
      <c r="C45" s="888"/>
      <c r="D45" s="906">
        <f>'PLAN DE USOS Y FUENTES'!D45/'PLAN DE USOS Y FUENTES'!D11</f>
        <v>0.330004784148624</v>
      </c>
      <c r="E45" s="906">
        <f>'PLAN DE USOS Y FUENTES'!E45/'PLAN DE USOS Y FUENTES'!E11</f>
        <v>0.56452534873435645</v>
      </c>
      <c r="F45" s="906">
        <f>'PLAN DE USOS Y FUENTES'!F45/'PLAN DE USOS Y FUENTES'!F11</f>
        <v>1</v>
      </c>
      <c r="G45" s="906">
        <f>'PLAN DE USOS Y FUENTES'!G45/'PLAN DE USOS Y FUENTES'!G11</f>
        <v>0</v>
      </c>
      <c r="H45" s="906">
        <f>'PLAN DE USOS Y FUENTES'!H45/'PLAN DE USOS Y FUENTES'!H11</f>
        <v>0.37782596421503484</v>
      </c>
      <c r="I45" s="906">
        <f>'PLAN DE USOS Y FUENTES'!I45/'PLAN DE USOS Y FUENTES'!I11</f>
        <v>0.40044947896467831</v>
      </c>
      <c r="J45" s="906">
        <f>'PLAN DE USOS Y FUENTES'!J45/'PLAN DE USOS Y FUENTES'!J11</f>
        <v>0.1206599085807252</v>
      </c>
      <c r="K45" s="928">
        <f>'PLAN DE USOS Y FUENTES'!K45/'PLAN DE USOS Y FUENTES'!K11</f>
        <v>0.71264205170870332</v>
      </c>
      <c r="L45" s="929">
        <f>'PLAN DE USOS Y FUENTES'!L45/'PLAN DE USOS Y FUENTES'!L11</f>
        <v>0.35964306206993873</v>
      </c>
      <c r="M45" s="906">
        <f>'PLAN DE USOS Y FUENTES'!M45/'PLAN DE USOS Y FUENTES'!M11</f>
        <v>0.9232336451934372</v>
      </c>
      <c r="N45" s="928">
        <f>'PLAN DE USOS Y FUENTES'!N45/'PLAN DE USOS Y FUENTES'!N11</f>
        <v>0.40044947896467831</v>
      </c>
      <c r="O45" s="1026">
        <f>'PLAN DE USOS Y FUENTES'!O45/'PLAN DE USOS Y FUENTES'!O11</f>
        <v>0.76762629288581896</v>
      </c>
      <c r="P45" s="1226">
        <f>'PLAN DE USOS Y FUENTES'!P45/'PLAN DE USOS Y FUENTES'!P11</f>
        <v>0.40486705607680623</v>
      </c>
    </row>
    <row r="46" spans="1:16" s="831" customFormat="1" ht="273" customHeight="1">
      <c r="A46" s="1709" t="s">
        <v>134</v>
      </c>
      <c r="B46" s="1693" t="s">
        <v>135</v>
      </c>
      <c r="C46" s="836" t="s">
        <v>743</v>
      </c>
      <c r="D46" s="1698">
        <f>'PLAN DE USOS Y FUENTES'!D46:D47/'PLAN DE USOS Y FUENTES'!D11</f>
        <v>5.3564415577976539E-2</v>
      </c>
      <c r="E46" s="1698">
        <f>'PLAN DE USOS Y FUENTES'!E46:E47/'PLAN DE USOS Y FUENTES'!E11</f>
        <v>0.37710541139643577</v>
      </c>
      <c r="F46" s="1698">
        <f>'PLAN DE USOS Y FUENTES'!F46:F47/'PLAN DE USOS Y FUENTES'!F11</f>
        <v>1</v>
      </c>
      <c r="G46" s="1698">
        <f>'PLAN DE USOS Y FUENTES'!G46:G47/'PLAN DE USOS Y FUENTES'!G11</f>
        <v>0</v>
      </c>
      <c r="H46" s="1698">
        <f>'PLAN DE USOS Y FUENTES'!H46:H47/'PLAN DE USOS Y FUENTES'!H11</f>
        <v>0.12216525279425262</v>
      </c>
      <c r="I46" s="1698">
        <f>'PLAN DE USOS Y FUENTES'!I46:I47/'PLAN DE USOS Y FUENTES'!I11</f>
        <v>0.32582505972243975</v>
      </c>
      <c r="J46" s="1698">
        <f>'PLAN DE USOS Y FUENTES'!J46:J47/'PLAN DE USOS Y FUENTES'!J11</f>
        <v>1.0674767158012662E-2</v>
      </c>
      <c r="K46" s="1691">
        <f>'PLAN DE USOS Y FUENTES'!K46:K47/'PLAN DE USOS Y FUENTES'!K11</f>
        <v>0.6260877325385481</v>
      </c>
      <c r="L46" s="1747">
        <f>'PLAN DE USOS Y FUENTES'!L46:L47/'PLAN DE USOS Y FUENTES'!L11</f>
        <v>0.10923063191098001</v>
      </c>
      <c r="M46" s="1698">
        <f>'PLAN DE USOS Y FUENTES'!M46:M47/'PLAN DE USOS Y FUENTES'!M11</f>
        <v>0.8962733218649519</v>
      </c>
      <c r="N46" s="1691">
        <f>'PLAN DE USOS Y FUENTES'!N46:N47/'PLAN DE USOS Y FUENTES'!N11</f>
        <v>0.32582505972243975</v>
      </c>
      <c r="O46" s="1772">
        <f>'PLAN DE USOS Y FUENTES'!O46:O47/'PLAN DE USOS Y FUENTES'!O11</f>
        <v>0.67897084591146939</v>
      </c>
      <c r="P46" s="1650">
        <f>'PLAN DE USOS Y FUENTES'!P46:P47/'PLAN DE USOS Y FUENTES'!P11</f>
        <v>0.1778113456527961</v>
      </c>
    </row>
    <row r="47" spans="1:16" s="831" customFormat="1" ht="273" customHeight="1">
      <c r="A47" s="1710"/>
      <c r="B47" s="1693"/>
      <c r="C47" s="836" t="s">
        <v>744</v>
      </c>
      <c r="D47" s="1699"/>
      <c r="E47" s="1699"/>
      <c r="F47" s="1699"/>
      <c r="G47" s="1699"/>
      <c r="H47" s="1699"/>
      <c r="I47" s="1699"/>
      <c r="J47" s="1699"/>
      <c r="K47" s="1692"/>
      <c r="L47" s="1748"/>
      <c r="M47" s="1699"/>
      <c r="N47" s="1692"/>
      <c r="O47" s="1773"/>
      <c r="P47" s="1651"/>
    </row>
    <row r="48" spans="1:16" s="831" customFormat="1" ht="273" customHeight="1">
      <c r="A48" s="1710"/>
      <c r="B48" s="1693" t="s">
        <v>136</v>
      </c>
      <c r="C48" s="836" t="s">
        <v>745</v>
      </c>
      <c r="D48" s="1694">
        <f>'PLAN DE USOS Y FUENTES'!D48:D49/'PLAN DE USOS Y FUENTES'!D11</f>
        <v>2.564367374088506E-2</v>
      </c>
      <c r="E48" s="1694">
        <f>'PLAN DE USOS Y FUENTES'!E48:E49/'PLAN DE USOS Y FUENTES'!E11</f>
        <v>1.5079743550383586E-2</v>
      </c>
      <c r="F48" s="1694">
        <f>'PLAN DE USOS Y FUENTES'!F48:F49/'PLAN DE USOS Y FUENTES'!F11</f>
        <v>0</v>
      </c>
      <c r="G48" s="1694">
        <f>'PLAN DE USOS Y FUENTES'!G48:G49/'PLAN DE USOS Y FUENTES'!G11</f>
        <v>0</v>
      </c>
      <c r="H48" s="1694">
        <f>'PLAN DE USOS Y FUENTES'!H48:H49/'PLAN DE USOS Y FUENTES'!H11</f>
        <v>2.7935319440461386E-2</v>
      </c>
      <c r="I48" s="1694">
        <f>'PLAN DE USOS Y FUENTES'!I48:I49/'PLAN DE USOS Y FUENTES'!I11</f>
        <v>0</v>
      </c>
      <c r="J48" s="1694">
        <f>'PLAN DE USOS Y FUENTES'!J48:J49/'PLAN DE USOS Y FUENTES'!J11</f>
        <v>4.0030376842547493E-3</v>
      </c>
      <c r="K48" s="1740">
        <f>'PLAN DE USOS Y FUENTES'!K48:K49/'PLAN DE USOS Y FUENTES'!K11</f>
        <v>7.5493302424362333E-3</v>
      </c>
      <c r="L48" s="1758">
        <f>'PLAN DE USOS Y FUENTES'!L48:L49/'PLAN DE USOS Y FUENTES'!L11</f>
        <v>2.6470999206490719E-2</v>
      </c>
      <c r="M48" s="1694">
        <f>'PLAN DE USOS Y FUENTES'!M48:M49/'PLAN DE USOS Y FUENTES'!M11</f>
        <v>2.1692183211861672E-3</v>
      </c>
      <c r="N48" s="1740">
        <f>'PLAN DE USOS Y FUENTES'!N48:N49/'PLAN DE USOS Y FUENTES'!N11</f>
        <v>0</v>
      </c>
      <c r="O48" s="1778">
        <f>'PLAN DE USOS Y FUENTES'!O48:O49/'PLAN DE USOS Y FUENTES'!O11</f>
        <v>8.8789396919094384E-3</v>
      </c>
      <c r="P48" s="1652">
        <f>'PLAN DE USOS Y FUENTES'!P48:P49/'PLAN DE USOS Y FUENTES'!P11</f>
        <v>2.2739876999793681E-2</v>
      </c>
    </row>
    <row r="49" spans="1:16" s="831" customFormat="1" ht="273" customHeight="1">
      <c r="A49" s="1710"/>
      <c r="B49" s="1693"/>
      <c r="C49" s="836" t="s">
        <v>746</v>
      </c>
      <c r="D49" s="1694"/>
      <c r="E49" s="1694"/>
      <c r="F49" s="1694"/>
      <c r="G49" s="1694"/>
      <c r="H49" s="1694"/>
      <c r="I49" s="1694"/>
      <c r="J49" s="1694"/>
      <c r="K49" s="1740"/>
      <c r="L49" s="1758"/>
      <c r="M49" s="1694"/>
      <c r="N49" s="1740"/>
      <c r="O49" s="1778"/>
      <c r="P49" s="1652"/>
    </row>
    <row r="50" spans="1:16" s="831" customFormat="1" ht="273" customHeight="1">
      <c r="A50" s="1710"/>
      <c r="B50" s="1693" t="s">
        <v>137</v>
      </c>
      <c r="C50" s="836" t="s">
        <v>747</v>
      </c>
      <c r="D50" s="1698">
        <f>'PLAN DE USOS Y FUENTES'!D50:D51/'PLAN DE USOS Y FUENTES'!D11</f>
        <v>3.0922840745071737E-2</v>
      </c>
      <c r="E50" s="1698">
        <f>'PLAN DE USOS Y FUENTES'!E50:E51/'PLAN DE USOS Y FUENTES'!E11</f>
        <v>0</v>
      </c>
      <c r="F50" s="1698">
        <f>'PLAN DE USOS Y FUENTES'!F50:F51/'PLAN DE USOS Y FUENTES'!F11</f>
        <v>0</v>
      </c>
      <c r="G50" s="1698">
        <f>'PLAN DE USOS Y FUENTES'!G50:G51/'PLAN DE USOS Y FUENTES'!G11</f>
        <v>0</v>
      </c>
      <c r="H50" s="1698">
        <f>'PLAN DE USOS Y FUENTES'!H50:H51/'PLAN DE USOS Y FUENTES'!H11</f>
        <v>2.6196955455323846E-2</v>
      </c>
      <c r="I50" s="1698">
        <f>'PLAN DE USOS Y FUENTES'!I50:I51/'PLAN DE USOS Y FUENTES'!I11</f>
        <v>0</v>
      </c>
      <c r="J50" s="1698">
        <f>'PLAN DE USOS Y FUENTES'!J50:J51/'PLAN DE USOS Y FUENTES'!J11</f>
        <v>4.0030376842547493E-3</v>
      </c>
      <c r="K50" s="1691">
        <f>'PLAN DE USOS Y FUENTES'!K50:K51/'PLAN DE USOS Y FUENTES'!K11</f>
        <v>6.0007935268923543E-3</v>
      </c>
      <c r="L50" s="1747">
        <f>'PLAN DE USOS Y FUENTES'!L50:L51/'PLAN DE USOS Y FUENTES'!L11</f>
        <v>2.5562008865786891E-2</v>
      </c>
      <c r="M50" s="1698">
        <f>'PLAN DE USOS Y FUENTES'!M50:M51/'PLAN DE USOS Y FUENTES'!M11</f>
        <v>0</v>
      </c>
      <c r="N50" s="1691">
        <f>'PLAN DE USOS Y FUENTES'!N50:N51/'PLAN DE USOS Y FUENTES'!N11</f>
        <v>0</v>
      </c>
      <c r="O50" s="1772">
        <f>'PLAN DE USOS Y FUENTES'!O50:O51/'PLAN DE USOS Y FUENTES'!O11</f>
        <v>7.0576702989328518E-3</v>
      </c>
      <c r="P50" s="1650">
        <f>'PLAN DE USOS Y FUENTES'!P50:P51/'PLAN DE USOS Y FUENTES'!P11</f>
        <v>1.8075418920692799E-2</v>
      </c>
    </row>
    <row r="51" spans="1:16" s="831" customFormat="1" ht="273" customHeight="1">
      <c r="A51" s="1710"/>
      <c r="B51" s="1693"/>
      <c r="C51" s="836" t="s">
        <v>748</v>
      </c>
      <c r="D51" s="1699"/>
      <c r="E51" s="1699"/>
      <c r="F51" s="1699"/>
      <c r="G51" s="1699"/>
      <c r="H51" s="1699"/>
      <c r="I51" s="1699"/>
      <c r="J51" s="1699"/>
      <c r="K51" s="1692"/>
      <c r="L51" s="1748"/>
      <c r="M51" s="1699"/>
      <c r="N51" s="1692"/>
      <c r="O51" s="1773"/>
      <c r="P51" s="1651"/>
    </row>
    <row r="52" spans="1:16" s="831" customFormat="1" ht="273" customHeight="1">
      <c r="A52" s="1710"/>
      <c r="B52" s="893" t="s">
        <v>138</v>
      </c>
      <c r="C52" s="836" t="s">
        <v>749</v>
      </c>
      <c r="D52" s="907">
        <f>'PLAN DE USOS Y FUENTES'!D52/'PLAN DE USOS Y FUENTES'!D11</f>
        <v>9.4740608968189987E-3</v>
      </c>
      <c r="E52" s="907">
        <f>'PLAN DE USOS Y FUENTES'!E52/'PLAN DE USOS Y FUENTES'!E11</f>
        <v>0</v>
      </c>
      <c r="F52" s="907">
        <f>'PLAN DE USOS Y FUENTES'!F52/'PLAN DE USOS Y FUENTES'!F11</f>
        <v>0</v>
      </c>
      <c r="G52" s="907">
        <f>'PLAN DE USOS Y FUENTES'!G52/'PLAN DE USOS Y FUENTES'!G11</f>
        <v>0</v>
      </c>
      <c r="H52" s="907">
        <f>'PLAN DE USOS Y FUENTES'!H52/'PLAN DE USOS Y FUENTES'!H11</f>
        <v>8.6164275527654457E-3</v>
      </c>
      <c r="I52" s="907">
        <f>'PLAN DE USOS Y FUENTES'!I52/'PLAN DE USOS Y FUENTES'!I11</f>
        <v>0</v>
      </c>
      <c r="J52" s="907">
        <f>'PLAN DE USOS Y FUENTES'!J52/'PLAN DE USOS Y FUENTES'!J11</f>
        <v>1.3343458947515827E-3</v>
      </c>
      <c r="K52" s="930">
        <f>'PLAN DE USOS Y FUENTES'!K52/'PLAN DE USOS Y FUENTES'!K11</f>
        <v>1.9566688121627858E-3</v>
      </c>
      <c r="L52" s="931">
        <f>'PLAN DE USOS Y FUENTES'!L52/'PLAN DE USOS Y FUENTES'!L11</f>
        <v>8.3349619179142048E-3</v>
      </c>
      <c r="M52" s="907">
        <f>'PLAN DE USOS Y FUENTES'!M52/'PLAN DE USOS Y FUENTES'!M11</f>
        <v>0</v>
      </c>
      <c r="N52" s="930">
        <f>'PLAN DE USOS Y FUENTES'!N52/'PLAN DE USOS Y FUENTES'!N11</f>
        <v>0</v>
      </c>
      <c r="O52" s="1027">
        <f>'PLAN DE USOS Y FUENTES'!O52/'PLAN DE USOS Y FUENTES'!O11</f>
        <v>2.3012828717673094E-3</v>
      </c>
      <c r="P52" s="1227">
        <f>'PLAN DE USOS Y FUENTES'!P52/'PLAN DE USOS Y FUENTES'!P11</f>
        <v>5.8938219271164674E-3</v>
      </c>
    </row>
    <row r="53" spans="1:16" s="831" customFormat="1" ht="273" customHeight="1">
      <c r="A53" s="1710"/>
      <c r="B53" s="1693" t="s">
        <v>139</v>
      </c>
      <c r="C53" s="836" t="s">
        <v>750</v>
      </c>
      <c r="D53" s="1698">
        <f>'PLAN DE USOS Y FUENTES'!D53:D54/'PLAN DE USOS Y FUENTES'!D11</f>
        <v>1.7558867318852034E-2</v>
      </c>
      <c r="E53" s="1698">
        <f>'PLAN DE USOS Y FUENTES'!E53:E54/'PLAN DE USOS Y FUENTES'!E11</f>
        <v>0</v>
      </c>
      <c r="F53" s="1698">
        <f>'PLAN DE USOS Y FUENTES'!F53:F54/'PLAN DE USOS Y FUENTES'!F11</f>
        <v>0</v>
      </c>
      <c r="G53" s="1698">
        <f>'PLAN DE USOS Y FUENTES'!G53:G54/'PLAN DE USOS Y FUENTES'!G11</f>
        <v>0</v>
      </c>
      <c r="H53" s="1698">
        <f>'PLAN DE USOS Y FUENTES'!H53:H54/'PLAN DE USOS Y FUENTES'!H11</f>
        <v>1.6189836714448364E-2</v>
      </c>
      <c r="I53" s="1698">
        <f>'PLAN DE USOS Y FUENTES'!I53:I54/'PLAN DE USOS Y FUENTES'!I11</f>
        <v>0</v>
      </c>
      <c r="J53" s="1698">
        <f>'PLAN DE USOS Y FUENTES'!J53:J54/'PLAN DE USOS Y FUENTES'!J11</f>
        <v>2.6686917895031655E-3</v>
      </c>
      <c r="K53" s="1691">
        <f>'PLAN DE USOS Y FUENTES'!K53:K54/'PLAN DE USOS Y FUENTES'!K11</f>
        <v>3.6724140367392615E-3</v>
      </c>
      <c r="L53" s="1747">
        <f>'PLAN DE USOS Y FUENTES'!L53:L54/'PLAN DE USOS Y FUENTES'!L11</f>
        <v>1.5643644418904732E-2</v>
      </c>
      <c r="M53" s="1698">
        <f>'PLAN DE USOS Y FUENTES'!M53:M54/'PLAN DE USOS Y FUENTES'!M11</f>
        <v>0</v>
      </c>
      <c r="N53" s="1691">
        <f>'PLAN DE USOS Y FUENTES'!N53:N54/'PLAN DE USOS Y FUENTES'!N11</f>
        <v>0</v>
      </c>
      <c r="O53" s="1772">
        <f>'PLAN DE USOS Y FUENTES'!O53:O54/'PLAN DE USOS Y FUENTES'!O11</f>
        <v>4.3192100105302837E-3</v>
      </c>
      <c r="P53" s="1650">
        <f>'PLAN DE USOS Y FUENTES'!P53:P54/'PLAN DE USOS Y FUENTES'!P11</f>
        <v>1.1061940702810892E-2</v>
      </c>
    </row>
    <row r="54" spans="1:16" s="831" customFormat="1" ht="273" customHeight="1">
      <c r="A54" s="1710"/>
      <c r="B54" s="1693"/>
      <c r="C54" s="836" t="s">
        <v>751</v>
      </c>
      <c r="D54" s="1699"/>
      <c r="E54" s="1699"/>
      <c r="F54" s="1699"/>
      <c r="G54" s="1699"/>
      <c r="H54" s="1699"/>
      <c r="I54" s="1699"/>
      <c r="J54" s="1699"/>
      <c r="K54" s="1692"/>
      <c r="L54" s="1748"/>
      <c r="M54" s="1699"/>
      <c r="N54" s="1692"/>
      <c r="O54" s="1773"/>
      <c r="P54" s="1651"/>
    </row>
    <row r="55" spans="1:16" s="831" customFormat="1" ht="273" customHeight="1">
      <c r="A55" s="1710"/>
      <c r="B55" s="893" t="s">
        <v>801</v>
      </c>
      <c r="C55" s="836" t="s">
        <v>752</v>
      </c>
      <c r="D55" s="907">
        <f>'PLAN DE USOS Y FUENTES'!D55/'PLAN DE USOS Y FUENTES'!D11</f>
        <v>9.1962100018618056E-3</v>
      </c>
      <c r="E55" s="907">
        <f>'PLAN DE USOS Y FUENTES'!E55/'PLAN DE USOS Y FUENTES'!E11</f>
        <v>0</v>
      </c>
      <c r="F55" s="907">
        <f>'PLAN DE USOS Y FUENTES'!F55/'PLAN DE USOS Y FUENTES'!F11</f>
        <v>0</v>
      </c>
      <c r="G55" s="907">
        <f>'PLAN DE USOS Y FUENTES'!G55/'PLAN DE USOS Y FUENTES'!G11</f>
        <v>0</v>
      </c>
      <c r="H55" s="907">
        <f>'PLAN DE USOS Y FUENTES'!H55/'PLAN DE USOS Y FUENTES'!H11</f>
        <v>8.6164275527654457E-3</v>
      </c>
      <c r="I55" s="907">
        <f>'PLAN DE USOS Y FUENTES'!I55/'PLAN DE USOS Y FUENTES'!I11</f>
        <v>0</v>
      </c>
      <c r="J55" s="907">
        <f>'PLAN DE USOS Y FUENTES'!J55/'PLAN DE USOS Y FUENTES'!J11</f>
        <v>1.3343458947515827E-3</v>
      </c>
      <c r="K55" s="930">
        <f>'PLAN DE USOS Y FUENTES'!K55/'PLAN DE USOS Y FUENTES'!K11</f>
        <v>1.9497852810888912E-3</v>
      </c>
      <c r="L55" s="931">
        <f>'PLAN DE USOS Y FUENTES'!L55/'PLAN DE USOS Y FUENTES'!L11</f>
        <v>8.3056396488592425E-3</v>
      </c>
      <c r="M55" s="907">
        <f>'PLAN DE USOS Y FUENTES'!M55/'PLAN DE USOS Y FUENTES'!M11</f>
        <v>0</v>
      </c>
      <c r="N55" s="930">
        <f>'PLAN DE USOS Y FUENTES'!N55/'PLAN DE USOS Y FUENTES'!N11</f>
        <v>0</v>
      </c>
      <c r="O55" s="1027">
        <f>'PLAN DE USOS Y FUENTES'!O55/'PLAN DE USOS Y FUENTES'!O11</f>
        <v>2.2931869936814709E-3</v>
      </c>
      <c r="P55" s="1227">
        <f>'PLAN DE USOS Y FUENTES'!P55/'PLAN DE USOS Y FUENTES'!P11</f>
        <v>5.8730875513615518E-3</v>
      </c>
    </row>
    <row r="56" spans="1:16" s="831" customFormat="1" ht="273" customHeight="1">
      <c r="A56" s="1710"/>
      <c r="B56" s="893" t="s">
        <v>141</v>
      </c>
      <c r="C56" s="836" t="s">
        <v>753</v>
      </c>
      <c r="D56" s="907">
        <f>'PLAN DE USOS Y FUENTES'!D56/'PLAN DE USOS Y FUENTES'!D11</f>
        <v>1.5891761949108872E-2</v>
      </c>
      <c r="E56" s="907">
        <f>'PLAN DE USOS Y FUENTES'!E56/'PLAN DE USOS Y FUENTES'!E11</f>
        <v>0</v>
      </c>
      <c r="F56" s="907">
        <f>'PLAN DE USOS Y FUENTES'!F56/'PLAN DE USOS Y FUENTES'!F11</f>
        <v>0</v>
      </c>
      <c r="G56" s="907">
        <f>'PLAN DE USOS Y FUENTES'!G56/'PLAN DE USOS Y FUENTES'!G11</f>
        <v>0</v>
      </c>
      <c r="H56" s="907">
        <f>'PLAN DE USOS Y FUENTES'!H56/'PLAN DE USOS Y FUENTES'!H11</f>
        <v>1.5842163917420854E-2</v>
      </c>
      <c r="I56" s="907">
        <f>'PLAN DE USOS Y FUENTES'!I56/'PLAN DE USOS Y FUENTES'!I11</f>
        <v>0</v>
      </c>
      <c r="J56" s="907">
        <f>'PLAN DE USOS Y FUENTES'!J56/'PLAN DE USOS Y FUENTES'!J11</f>
        <v>2.6686917895031655E-3</v>
      </c>
      <c r="K56" s="930">
        <f>'PLAN DE USOS Y FUENTES'!K56/'PLAN DE USOS Y FUENTES'!K11</f>
        <v>3.5622775395569481E-3</v>
      </c>
      <c r="L56" s="931">
        <f>'PLAN DE USOS Y FUENTES'!L56/'PLAN DE USOS Y FUENTES'!L11</f>
        <v>1.5174488114025339E-2</v>
      </c>
      <c r="M56" s="907">
        <f>'PLAN DE USOS Y FUENTES'!M56/'PLAN DE USOS Y FUENTES'!M11</f>
        <v>0</v>
      </c>
      <c r="N56" s="930">
        <f>'PLAN DE USOS Y FUENTES'!N56/'PLAN DE USOS Y FUENTES'!N11</f>
        <v>0</v>
      </c>
      <c r="O56" s="1027">
        <f>'PLAN DE USOS Y FUENTES'!O56/'PLAN DE USOS Y FUENTES'!O11</f>
        <v>4.1896759611568732E-3</v>
      </c>
      <c r="P56" s="1227">
        <f>'PLAN DE USOS Y FUENTES'!P56/'PLAN DE USOS Y FUENTES'!P11</f>
        <v>1.0730190690732243E-2</v>
      </c>
    </row>
    <row r="57" spans="1:16" s="831" customFormat="1" ht="273" customHeight="1">
      <c r="A57" s="1710"/>
      <c r="B57" s="893" t="s">
        <v>142</v>
      </c>
      <c r="C57" s="836" t="s">
        <v>754</v>
      </c>
      <c r="D57" s="907">
        <f>'PLAN DE USOS Y FUENTES'!D57/'PLAN DE USOS Y FUENTES'!D11</f>
        <v>6.6955519472470673E-3</v>
      </c>
      <c r="E57" s="907">
        <f>'PLAN DE USOS Y FUENTES'!E57/'PLAN DE USOS Y FUENTES'!E11</f>
        <v>5.7362901866092074E-2</v>
      </c>
      <c r="F57" s="907">
        <f>'PLAN DE USOS Y FUENTES'!F57/'PLAN DE USOS Y FUENTES'!F11</f>
        <v>0</v>
      </c>
      <c r="G57" s="907">
        <f>'PLAN DE USOS Y FUENTES'!G57/'PLAN DE USOS Y FUENTES'!G11</f>
        <v>0</v>
      </c>
      <c r="H57" s="907">
        <f>'PLAN DE USOS Y FUENTES'!H57/'PLAN DE USOS Y FUENTES'!H11</f>
        <v>7.5734091616829185E-3</v>
      </c>
      <c r="I57" s="907">
        <f>'PLAN DE USOS Y FUENTES'!I57/'PLAN DE USOS Y FUENTES'!I11</f>
        <v>0</v>
      </c>
      <c r="J57" s="907">
        <f>'PLAN DE USOS Y FUENTES'!J57/'PLAN DE USOS Y FUENTES'!J11</f>
        <v>1.3343458947515827E-3</v>
      </c>
      <c r="K57" s="930">
        <f>'PLAN DE USOS Y FUENTES'!K57/'PLAN DE USOS Y FUENTES'!K11</f>
        <v>6.7601885294009574E-3</v>
      </c>
      <c r="L57" s="931">
        <f>'PLAN DE USOS Y FUENTES'!L57/'PLAN DE USOS Y FUENTES'!L11</f>
        <v>7.162071155715718E-3</v>
      </c>
      <c r="M57" s="907">
        <f>'PLAN DE USOS Y FUENTES'!M57/'PLAN DE USOS Y FUENTES'!M11</f>
        <v>8.2516428259262978E-3</v>
      </c>
      <c r="N57" s="930">
        <f>'PLAN DE USOS Y FUENTES'!N57/'PLAN DE USOS Y FUENTES'!N11</f>
        <v>0</v>
      </c>
      <c r="O57" s="1027">
        <f>'PLAN DE USOS Y FUENTES'!O57/'PLAN DE USOS Y FUENTES'!O11</f>
        <v>7.9508121026533631E-3</v>
      </c>
      <c r="P57" s="1227">
        <f>'PLAN DE USOS Y FUENTES'!P57/'PLAN DE USOS Y FUENTES'!P11</f>
        <v>2.036284686419881E-2</v>
      </c>
    </row>
    <row r="58" spans="1:16" s="831" customFormat="1" ht="273" customHeight="1">
      <c r="A58" s="1710"/>
      <c r="B58" s="1693" t="s">
        <v>143</v>
      </c>
      <c r="C58" s="836" t="s">
        <v>755</v>
      </c>
      <c r="D58" s="1698">
        <f>'PLAN DE USOS Y FUENTES'!D58:D66/'PLAN DE USOS Y FUENTES'!D11</f>
        <v>1.2543985975485337E-2</v>
      </c>
      <c r="E58" s="1698">
        <f>'PLAN DE USOS Y FUENTES'!E58:E66/'PLAN DE USOS Y FUENTES'!E11</f>
        <v>3.109825770610827E-3</v>
      </c>
      <c r="F58" s="1698">
        <f>'PLAN DE USOS Y FUENTES'!F58:F66/'PLAN DE USOS Y FUENTES'!F11</f>
        <v>0</v>
      </c>
      <c r="G58" s="1698">
        <f>'PLAN DE USOS Y FUENTES'!G58:G66/'PLAN DE USOS Y FUENTES'!G11</f>
        <v>0</v>
      </c>
      <c r="H58" s="1698">
        <f>'PLAN DE USOS Y FUENTES'!H58:H66/'PLAN DE USOS Y FUENTES'!H11</f>
        <v>1.5080212670718723E-2</v>
      </c>
      <c r="I58" s="1698">
        <f>'PLAN DE USOS Y FUENTES'!I58:I66/'PLAN DE USOS Y FUENTES'!I11</f>
        <v>2.5416504439791852E-2</v>
      </c>
      <c r="J58" s="1698">
        <f>'PLAN DE USOS Y FUENTES'!J58:J66/'PLAN DE USOS Y FUENTES'!J11</f>
        <v>2.0015188421273747E-3</v>
      </c>
      <c r="K58" s="1691">
        <f>'PLAN DE USOS Y FUENTES'!K58:K66/'PLAN DE USOS Y FUENTES'!K11</f>
        <v>7.4019100506021208E-3</v>
      </c>
      <c r="L58" s="1747">
        <f>'PLAN DE USOS Y FUENTES'!L58:L66/'PLAN DE USOS Y FUENTES'!L11</f>
        <v>1.4144489943949186E-2</v>
      </c>
      <c r="M58" s="1698">
        <f>'PLAN DE USOS Y FUENTES'!M58:M66/'PLAN DE USOS Y FUENTES'!M11</f>
        <v>4.4734786203537923E-4</v>
      </c>
      <c r="N58" s="1691">
        <f>'PLAN DE USOS Y FUENTES'!N58:N66/'PLAN DE USOS Y FUENTES'!N11</f>
        <v>2.5416504439791852E-2</v>
      </c>
      <c r="O58" s="1772">
        <f>'PLAN DE USOS Y FUENTES'!O58:O66/'PLAN DE USOS Y FUENTES'!O11</f>
        <v>4.2291286038914242E-3</v>
      </c>
      <c r="P58" s="1650">
        <f>'PLAN DE USOS Y FUENTES'!P58:P66/'PLAN DE USOS Y FUENTES'!P11</f>
        <v>1.0831232963146595E-2</v>
      </c>
    </row>
    <row r="59" spans="1:16" s="831" customFormat="1" ht="273" customHeight="1">
      <c r="A59" s="1710"/>
      <c r="B59" s="1693"/>
      <c r="C59" s="836" t="s">
        <v>756</v>
      </c>
      <c r="D59" s="1700"/>
      <c r="E59" s="1700"/>
      <c r="F59" s="1700"/>
      <c r="G59" s="1700"/>
      <c r="H59" s="1700"/>
      <c r="I59" s="1700"/>
      <c r="J59" s="1700"/>
      <c r="K59" s="1701"/>
      <c r="L59" s="1749"/>
      <c r="M59" s="1700"/>
      <c r="N59" s="1701"/>
      <c r="O59" s="1774"/>
      <c r="P59" s="1653"/>
    </row>
    <row r="60" spans="1:16" s="831" customFormat="1" ht="273" customHeight="1">
      <c r="A60" s="1710"/>
      <c r="B60" s="1693"/>
      <c r="C60" s="836" t="s">
        <v>757</v>
      </c>
      <c r="D60" s="1700"/>
      <c r="E60" s="1700"/>
      <c r="F60" s="1700"/>
      <c r="G60" s="1700"/>
      <c r="H60" s="1700"/>
      <c r="I60" s="1700"/>
      <c r="J60" s="1700"/>
      <c r="K60" s="1701"/>
      <c r="L60" s="1749"/>
      <c r="M60" s="1700"/>
      <c r="N60" s="1701"/>
      <c r="O60" s="1774"/>
      <c r="P60" s="1653"/>
    </row>
    <row r="61" spans="1:16" s="831" customFormat="1" ht="273" customHeight="1">
      <c r="A61" s="1710"/>
      <c r="B61" s="1693"/>
      <c r="C61" s="836" t="s">
        <v>758</v>
      </c>
      <c r="D61" s="1700"/>
      <c r="E61" s="1700"/>
      <c r="F61" s="1700"/>
      <c r="G61" s="1700"/>
      <c r="H61" s="1700"/>
      <c r="I61" s="1700"/>
      <c r="J61" s="1700"/>
      <c r="K61" s="1701"/>
      <c r="L61" s="1749"/>
      <c r="M61" s="1700"/>
      <c r="N61" s="1701"/>
      <c r="O61" s="1774"/>
      <c r="P61" s="1653"/>
    </row>
    <row r="62" spans="1:16" s="831" customFormat="1" ht="273" customHeight="1">
      <c r="A62" s="1710"/>
      <c r="B62" s="1693"/>
      <c r="C62" s="836" t="s">
        <v>759</v>
      </c>
      <c r="D62" s="1700"/>
      <c r="E62" s="1700"/>
      <c r="F62" s="1700"/>
      <c r="G62" s="1700"/>
      <c r="H62" s="1700"/>
      <c r="I62" s="1700"/>
      <c r="J62" s="1700"/>
      <c r="K62" s="1701"/>
      <c r="L62" s="1749"/>
      <c r="M62" s="1700"/>
      <c r="N62" s="1701"/>
      <c r="O62" s="1774"/>
      <c r="P62" s="1653"/>
    </row>
    <row r="63" spans="1:16" s="831" customFormat="1" ht="273" customHeight="1">
      <c r="A63" s="1710"/>
      <c r="B63" s="1693"/>
      <c r="C63" s="836" t="s">
        <v>760</v>
      </c>
      <c r="D63" s="1700"/>
      <c r="E63" s="1700"/>
      <c r="F63" s="1700"/>
      <c r="G63" s="1700"/>
      <c r="H63" s="1700"/>
      <c r="I63" s="1700"/>
      <c r="J63" s="1700"/>
      <c r="K63" s="1701"/>
      <c r="L63" s="1749"/>
      <c r="M63" s="1700"/>
      <c r="N63" s="1701"/>
      <c r="O63" s="1774"/>
      <c r="P63" s="1653"/>
    </row>
    <row r="64" spans="1:16" s="831" customFormat="1" ht="273" customHeight="1">
      <c r="A64" s="1710"/>
      <c r="B64" s="1693"/>
      <c r="C64" s="836" t="s">
        <v>761</v>
      </c>
      <c r="D64" s="1700"/>
      <c r="E64" s="1700"/>
      <c r="F64" s="1700"/>
      <c r="G64" s="1700"/>
      <c r="H64" s="1700"/>
      <c r="I64" s="1700"/>
      <c r="J64" s="1700"/>
      <c r="K64" s="1701"/>
      <c r="L64" s="1749"/>
      <c r="M64" s="1700"/>
      <c r="N64" s="1701"/>
      <c r="O64" s="1774"/>
      <c r="P64" s="1653"/>
    </row>
    <row r="65" spans="1:16" s="831" customFormat="1" ht="273" customHeight="1">
      <c r="A65" s="1710"/>
      <c r="B65" s="1693"/>
      <c r="C65" s="836" t="s">
        <v>762</v>
      </c>
      <c r="D65" s="1700"/>
      <c r="E65" s="1700"/>
      <c r="F65" s="1700"/>
      <c r="G65" s="1700"/>
      <c r="H65" s="1700"/>
      <c r="I65" s="1700"/>
      <c r="J65" s="1700"/>
      <c r="K65" s="1701"/>
      <c r="L65" s="1749"/>
      <c r="M65" s="1700"/>
      <c r="N65" s="1701"/>
      <c r="O65" s="1774"/>
      <c r="P65" s="1653"/>
    </row>
    <row r="66" spans="1:16" s="831" customFormat="1" ht="273" customHeight="1">
      <c r="A66" s="1710"/>
      <c r="B66" s="1693"/>
      <c r="C66" s="836" t="s">
        <v>763</v>
      </c>
      <c r="D66" s="1699"/>
      <c r="E66" s="1699"/>
      <c r="F66" s="1699"/>
      <c r="G66" s="1699"/>
      <c r="H66" s="1699"/>
      <c r="I66" s="1699"/>
      <c r="J66" s="1699"/>
      <c r="K66" s="1692"/>
      <c r="L66" s="1748"/>
      <c r="M66" s="1699"/>
      <c r="N66" s="1692"/>
      <c r="O66" s="1773"/>
      <c r="P66" s="1651"/>
    </row>
    <row r="67" spans="1:16" s="831" customFormat="1" ht="273" customHeight="1">
      <c r="A67" s="1710"/>
      <c r="B67" s="1693" t="s">
        <v>144</v>
      </c>
      <c r="C67" s="836" t="s">
        <v>764</v>
      </c>
      <c r="D67" s="1698">
        <f>'PLAN DE USOS Y FUENTES'!D67:D78/'PLAN DE USOS Y FUENTES'!D11</f>
        <v>2.089307805833835E-2</v>
      </c>
      <c r="E67" s="1698">
        <f>'PLAN DE USOS Y FUENTES'!E67:E78/'PLAN DE USOS Y FUENTES'!E11</f>
        <v>0.11186746615083426</v>
      </c>
      <c r="F67" s="1698">
        <f>'PLAN DE USOS Y FUENTES'!F67:F78/'PLAN DE USOS Y FUENTES'!F11</f>
        <v>0</v>
      </c>
      <c r="G67" s="1698">
        <f>'PLAN DE USOS Y FUENTES'!G67:G78/'PLAN DE USOS Y FUENTES'!G11</f>
        <v>0</v>
      </c>
      <c r="H67" s="1698">
        <f>'PLAN DE USOS Y FUENTES'!H67:H78/'PLAN DE USOS Y FUENTES'!H11</f>
        <v>4.5184047412678285E-2</v>
      </c>
      <c r="I67" s="1698">
        <f>'PLAN DE USOS Y FUENTES'!I67:I78/'PLAN DE USOS Y FUENTES'!I11</f>
        <v>2.1627579555862829E-2</v>
      </c>
      <c r="J67" s="1698">
        <f>'PLAN DE USOS Y FUENTES'!J67:J78/'PLAN DE USOS Y FUENTES'!J11</f>
        <v>2.6686917895031655E-3</v>
      </c>
      <c r="K67" s="1691">
        <f>'PLAN DE USOS Y FUENTES'!K67:K78/'PLAN DE USOS Y FUENTES'!K11</f>
        <v>2.263889322186206E-2</v>
      </c>
      <c r="L67" s="1747">
        <f>'PLAN DE USOS Y FUENTES'!L67:L78/'PLAN DE USOS Y FUENTES'!L11</f>
        <v>4.0448849797643696E-2</v>
      </c>
      <c r="M67" s="1698">
        <f>'PLAN DE USOS Y FUENTES'!M67:M78/'PLAN DE USOS Y FUENTES'!M11</f>
        <v>1.609211431933737E-2</v>
      </c>
      <c r="N67" s="1691">
        <f>'PLAN DE USOS Y FUENTES'!N67:N78/'PLAN DE USOS Y FUENTES'!N11</f>
        <v>2.1627579555862829E-2</v>
      </c>
      <c r="O67" s="1772">
        <f>'PLAN DE USOS Y FUENTES'!O67:O78/'PLAN DE USOS Y FUENTES'!O11</f>
        <v>2.2817008652438325E-2</v>
      </c>
      <c r="P67" s="1650">
        <f>'PLAN DE USOS Y FUENTES'!P67:P78/'PLAN DE USOS Y FUENTES'!P11</f>
        <v>5.8436703960548515E-2</v>
      </c>
    </row>
    <row r="68" spans="1:16" s="831" customFormat="1" ht="273" customHeight="1">
      <c r="A68" s="1710"/>
      <c r="B68" s="1693"/>
      <c r="C68" s="836" t="s">
        <v>765</v>
      </c>
      <c r="D68" s="1700"/>
      <c r="E68" s="1700"/>
      <c r="F68" s="1700"/>
      <c r="G68" s="1700"/>
      <c r="H68" s="1700"/>
      <c r="I68" s="1700"/>
      <c r="J68" s="1700"/>
      <c r="K68" s="1701"/>
      <c r="L68" s="1749"/>
      <c r="M68" s="1700"/>
      <c r="N68" s="1701"/>
      <c r="O68" s="1774"/>
      <c r="P68" s="1653"/>
    </row>
    <row r="69" spans="1:16" s="831" customFormat="1" ht="273" customHeight="1">
      <c r="A69" s="1710"/>
      <c r="B69" s="1693"/>
      <c r="C69" s="836" t="s">
        <v>766</v>
      </c>
      <c r="D69" s="1700"/>
      <c r="E69" s="1700"/>
      <c r="F69" s="1700"/>
      <c r="G69" s="1700"/>
      <c r="H69" s="1700"/>
      <c r="I69" s="1700"/>
      <c r="J69" s="1700"/>
      <c r="K69" s="1701"/>
      <c r="L69" s="1749"/>
      <c r="M69" s="1700"/>
      <c r="N69" s="1701"/>
      <c r="O69" s="1774"/>
      <c r="P69" s="1653"/>
    </row>
    <row r="70" spans="1:16" s="831" customFormat="1" ht="273" customHeight="1">
      <c r="A70" s="1710"/>
      <c r="B70" s="1693"/>
      <c r="C70" s="836" t="s">
        <v>767</v>
      </c>
      <c r="D70" s="1700"/>
      <c r="E70" s="1700"/>
      <c r="F70" s="1700"/>
      <c r="G70" s="1700"/>
      <c r="H70" s="1700"/>
      <c r="I70" s="1700"/>
      <c r="J70" s="1700"/>
      <c r="K70" s="1701"/>
      <c r="L70" s="1749"/>
      <c r="M70" s="1700"/>
      <c r="N70" s="1701"/>
      <c r="O70" s="1774"/>
      <c r="P70" s="1653"/>
    </row>
    <row r="71" spans="1:16" s="831" customFormat="1" ht="273" customHeight="1">
      <c r="A71" s="1710"/>
      <c r="B71" s="1693"/>
      <c r="C71" s="836" t="s">
        <v>768</v>
      </c>
      <c r="D71" s="1700"/>
      <c r="E71" s="1700"/>
      <c r="F71" s="1700"/>
      <c r="G71" s="1700"/>
      <c r="H71" s="1700"/>
      <c r="I71" s="1700"/>
      <c r="J71" s="1700"/>
      <c r="K71" s="1701"/>
      <c r="L71" s="1749"/>
      <c r="M71" s="1700"/>
      <c r="N71" s="1701"/>
      <c r="O71" s="1774"/>
      <c r="P71" s="1653"/>
    </row>
    <row r="72" spans="1:16" s="831" customFormat="1" ht="273" customHeight="1">
      <c r="A72" s="1710"/>
      <c r="B72" s="1693"/>
      <c r="C72" s="836" t="s">
        <v>769</v>
      </c>
      <c r="D72" s="1700"/>
      <c r="E72" s="1700"/>
      <c r="F72" s="1700"/>
      <c r="G72" s="1700"/>
      <c r="H72" s="1700"/>
      <c r="I72" s="1700"/>
      <c r="J72" s="1700"/>
      <c r="K72" s="1701"/>
      <c r="L72" s="1749"/>
      <c r="M72" s="1700"/>
      <c r="N72" s="1701"/>
      <c r="O72" s="1774"/>
      <c r="P72" s="1653"/>
    </row>
    <row r="73" spans="1:16" s="831" customFormat="1" ht="273" customHeight="1">
      <c r="A73" s="1710"/>
      <c r="B73" s="1693"/>
      <c r="C73" s="836" t="s">
        <v>770</v>
      </c>
      <c r="D73" s="1700"/>
      <c r="E73" s="1700"/>
      <c r="F73" s="1700"/>
      <c r="G73" s="1700"/>
      <c r="H73" s="1700"/>
      <c r="I73" s="1700"/>
      <c r="J73" s="1700"/>
      <c r="K73" s="1701"/>
      <c r="L73" s="1749"/>
      <c r="M73" s="1700"/>
      <c r="N73" s="1701"/>
      <c r="O73" s="1774"/>
      <c r="P73" s="1653"/>
    </row>
    <row r="74" spans="1:16" s="831" customFormat="1" ht="273" customHeight="1">
      <c r="A74" s="1710"/>
      <c r="B74" s="1693"/>
      <c r="C74" s="836" t="s">
        <v>771</v>
      </c>
      <c r="D74" s="1700"/>
      <c r="E74" s="1700"/>
      <c r="F74" s="1700"/>
      <c r="G74" s="1700"/>
      <c r="H74" s="1700"/>
      <c r="I74" s="1700"/>
      <c r="J74" s="1700"/>
      <c r="K74" s="1701"/>
      <c r="L74" s="1749"/>
      <c r="M74" s="1700"/>
      <c r="N74" s="1701"/>
      <c r="O74" s="1774"/>
      <c r="P74" s="1653"/>
    </row>
    <row r="75" spans="1:16" s="831" customFormat="1" ht="273" customHeight="1">
      <c r="A75" s="1710"/>
      <c r="B75" s="1693"/>
      <c r="C75" s="836" t="s">
        <v>772</v>
      </c>
      <c r="D75" s="1700"/>
      <c r="E75" s="1700"/>
      <c r="F75" s="1700"/>
      <c r="G75" s="1700"/>
      <c r="H75" s="1700"/>
      <c r="I75" s="1700"/>
      <c r="J75" s="1700"/>
      <c r="K75" s="1701"/>
      <c r="L75" s="1749"/>
      <c r="M75" s="1700"/>
      <c r="N75" s="1701"/>
      <c r="O75" s="1774"/>
      <c r="P75" s="1653"/>
    </row>
    <row r="76" spans="1:16" s="831" customFormat="1" ht="273" customHeight="1">
      <c r="A76" s="1710"/>
      <c r="B76" s="1693"/>
      <c r="C76" s="836" t="s">
        <v>773</v>
      </c>
      <c r="D76" s="1700"/>
      <c r="E76" s="1700"/>
      <c r="F76" s="1700"/>
      <c r="G76" s="1700"/>
      <c r="H76" s="1700"/>
      <c r="I76" s="1700"/>
      <c r="J76" s="1700"/>
      <c r="K76" s="1701"/>
      <c r="L76" s="1749"/>
      <c r="M76" s="1700"/>
      <c r="N76" s="1701"/>
      <c r="O76" s="1774"/>
      <c r="P76" s="1653"/>
    </row>
    <row r="77" spans="1:16" s="831" customFormat="1" ht="273" customHeight="1">
      <c r="A77" s="1710"/>
      <c r="B77" s="1693"/>
      <c r="C77" s="836" t="s">
        <v>774</v>
      </c>
      <c r="D77" s="1700"/>
      <c r="E77" s="1700"/>
      <c r="F77" s="1700"/>
      <c r="G77" s="1700"/>
      <c r="H77" s="1700"/>
      <c r="I77" s="1700"/>
      <c r="J77" s="1700"/>
      <c r="K77" s="1701"/>
      <c r="L77" s="1749"/>
      <c r="M77" s="1700"/>
      <c r="N77" s="1701"/>
      <c r="O77" s="1774"/>
      <c r="P77" s="1653"/>
    </row>
    <row r="78" spans="1:16" s="831" customFormat="1" ht="273" customHeight="1">
      <c r="A78" s="1710"/>
      <c r="B78" s="1693"/>
      <c r="C78" s="836" t="s">
        <v>775</v>
      </c>
      <c r="D78" s="1699"/>
      <c r="E78" s="1699"/>
      <c r="F78" s="1699"/>
      <c r="G78" s="1699"/>
      <c r="H78" s="1699"/>
      <c r="I78" s="1699"/>
      <c r="J78" s="1699"/>
      <c r="K78" s="1692"/>
      <c r="L78" s="1748"/>
      <c r="M78" s="1699"/>
      <c r="N78" s="1692"/>
      <c r="O78" s="1773"/>
      <c r="P78" s="1651"/>
    </row>
    <row r="79" spans="1:16" s="831" customFormat="1" ht="273" customHeight="1">
      <c r="A79" s="1710"/>
      <c r="B79" s="893" t="s">
        <v>145</v>
      </c>
      <c r="C79" s="836" t="s">
        <v>776</v>
      </c>
      <c r="D79" s="907">
        <f>'PLAN DE USOS Y FUENTES'!D79/'PLAN DE USOS Y FUENTES'!D11</f>
        <v>2.126425231713492E-2</v>
      </c>
      <c r="E79" s="907">
        <f>'PLAN DE USOS Y FUENTES'!E79/'PLAN DE USOS Y FUENTES'!E11</f>
        <v>0</v>
      </c>
      <c r="F79" s="907">
        <f>'PLAN DE USOS Y FUENTES'!F79/'PLAN DE USOS Y FUENTES'!F11</f>
        <v>0</v>
      </c>
      <c r="G79" s="907">
        <f>'PLAN DE USOS Y FUENTES'!G79/'PLAN DE USOS Y FUENTES'!G11</f>
        <v>0</v>
      </c>
      <c r="H79" s="907">
        <f>'PLAN DE USOS Y FUENTES'!H79/'PLAN DE USOS Y FUENTES'!H11</f>
        <v>1.8623546293640925E-2</v>
      </c>
      <c r="I79" s="907">
        <f>'PLAN DE USOS Y FUENTES'!I79/'PLAN DE USOS Y FUENTES'!I11</f>
        <v>1.3790167623291921E-2</v>
      </c>
      <c r="J79" s="907">
        <f>'PLAN DE USOS Y FUENTES'!J79/'PLAN DE USOS Y FUENTES'!J11</f>
        <v>2.6686917895031655E-3</v>
      </c>
      <c r="K79" s="930">
        <f>'PLAN DE USOS Y FUENTES'!K79/'PLAN DE USOS Y FUENTES'!K11</f>
        <v>6.3111184488588027E-3</v>
      </c>
      <c r="L79" s="931">
        <f>'PLAN DE USOS Y FUENTES'!L79/'PLAN DE USOS Y FUENTES'!L11</f>
        <v>1.8087241388111016E-2</v>
      </c>
      <c r="M79" s="907">
        <f>'PLAN DE USOS Y FUENTES'!M79/'PLAN DE USOS Y FUENTES'!M11</f>
        <v>0</v>
      </c>
      <c r="N79" s="930">
        <f>'PLAN DE USOS Y FUENTES'!N79/'PLAN DE USOS Y FUENTES'!N11</f>
        <v>1.3790167623291921E-2</v>
      </c>
      <c r="O79" s="1027">
        <f>'PLAN DE USOS Y FUENTES'!O79/'PLAN DE USOS Y FUENTES'!O11</f>
        <v>4.993887100374044E-3</v>
      </c>
      <c r="P79" s="1227">
        <f>'PLAN DE USOS Y FUENTES'!P79/'PLAN DE USOS Y FUENTES'!P11</f>
        <v>1.2789858063439628E-2</v>
      </c>
    </row>
    <row r="80" spans="1:16" s="831" customFormat="1" ht="273" customHeight="1">
      <c r="A80" s="1711"/>
      <c r="B80" s="893" t="s">
        <v>146</v>
      </c>
      <c r="C80" s="836" t="s">
        <v>777</v>
      </c>
      <c r="D80" s="907">
        <f>'PLAN DE USOS Y FUENTES'!D80/'PLAN DE USOS Y FUENTES'!D11</f>
        <v>0.10635608561984325</v>
      </c>
      <c r="E80" s="907">
        <f>'PLAN DE USOS Y FUENTES'!E80/'PLAN DE USOS Y FUENTES'!E11</f>
        <v>0</v>
      </c>
      <c r="F80" s="907">
        <f>'PLAN DE USOS Y FUENTES'!F80/'PLAN DE USOS Y FUENTES'!F11</f>
        <v>0</v>
      </c>
      <c r="G80" s="907">
        <f>'PLAN DE USOS Y FUENTES'!G80/'PLAN DE USOS Y FUENTES'!G11</f>
        <v>0</v>
      </c>
      <c r="H80" s="907">
        <f>'PLAN DE USOS Y FUENTES'!H80/'PLAN DE USOS Y FUENTES'!H11</f>
        <v>6.5802365248875977E-2</v>
      </c>
      <c r="I80" s="907">
        <f>'PLAN DE USOS Y FUENTES'!I80/'PLAN DE USOS Y FUENTES'!I11</f>
        <v>1.3790167623291921E-2</v>
      </c>
      <c r="J80" s="907">
        <f>'PLAN DE USOS Y FUENTES'!J80/'PLAN DE USOS Y FUENTES'!J11</f>
        <v>8.5299742369808251E-2</v>
      </c>
      <c r="K80" s="930">
        <f>'PLAN DE USOS Y FUENTES'!K80/'PLAN DE USOS Y FUENTES'!K11</f>
        <v>1.8750939480554847E-2</v>
      </c>
      <c r="L80" s="931">
        <f>'PLAN DE USOS Y FUENTES'!L80/'PLAN DE USOS Y FUENTES'!L11</f>
        <v>7.1078035701557962E-2</v>
      </c>
      <c r="M80" s="907">
        <f>'PLAN DE USOS Y FUENTES'!M80/'PLAN DE USOS Y FUENTES'!M11</f>
        <v>0</v>
      </c>
      <c r="N80" s="930">
        <f>'PLAN DE USOS Y FUENTES'!N80/'PLAN DE USOS Y FUENTES'!N11</f>
        <v>1.3790167623291921E-2</v>
      </c>
      <c r="O80" s="1027">
        <f>'PLAN DE USOS Y FUENTES'!O80/'PLAN DE USOS Y FUENTES'!O11</f>
        <v>1.9624644687014192E-2</v>
      </c>
      <c r="P80" s="1227">
        <f>'PLAN DE USOS Y FUENTES'!P80/'PLAN DE USOS Y FUENTES'!P11</f>
        <v>5.0260731780169071E-2</v>
      </c>
    </row>
    <row r="81" spans="1:16" s="833" customFormat="1" ht="147" customHeight="1">
      <c r="A81" s="829" t="s">
        <v>631</v>
      </c>
      <c r="B81" s="830"/>
      <c r="C81" s="888"/>
      <c r="D81" s="905">
        <f>'PLAN DE USOS Y FUENTES'!D81/'PLAN DE USOS Y FUENTES'!D11</f>
        <v>0.12816680757952448</v>
      </c>
      <c r="E81" s="905">
        <f>'PLAN DE USOS Y FUENTES'!E81/'PLAN DE USOS Y FUENTES'!E11</f>
        <v>4.4523156137547329E-2</v>
      </c>
      <c r="F81" s="905">
        <f>'PLAN DE USOS Y FUENTES'!F81/'PLAN DE USOS Y FUENTES'!F11</f>
        <v>0</v>
      </c>
      <c r="G81" s="905">
        <f>'PLAN DE USOS Y FUENTES'!G81/'PLAN DE USOS Y FUENTES'!G11</f>
        <v>1</v>
      </c>
      <c r="H81" s="905">
        <f>'PLAN DE USOS Y FUENTES'!H81/'PLAN DE USOS Y FUENTES'!H11</f>
        <v>0.15246657927025922</v>
      </c>
      <c r="I81" s="905">
        <f>'PLAN DE USOS Y FUENTES'!I81/'PLAN DE USOS Y FUENTES'!I11</f>
        <v>1.8386890164389226E-3</v>
      </c>
      <c r="J81" s="905">
        <f>'PLAN DE USOS Y FUENTES'!J81/'PLAN DE USOS Y FUENTES'!J11</f>
        <v>3.1550486261032275E-2</v>
      </c>
      <c r="K81" s="926">
        <f>'PLAN DE USOS Y FUENTES'!K81/'PLAN DE USOS Y FUENTES'!K11</f>
        <v>4.665053108861901E-2</v>
      </c>
      <c r="L81" s="927">
        <f>'PLAN DE USOS Y FUENTES'!L81/'PLAN DE USOS Y FUENTES'!L11</f>
        <v>0.14372568922188705</v>
      </c>
      <c r="M81" s="905">
        <f>'PLAN DE USOS Y FUENTES'!M81/'PLAN DE USOS Y FUENTES'!M11</f>
        <v>2.0528054526886164E-2</v>
      </c>
      <c r="N81" s="926">
        <f>'PLAN DE USOS Y FUENTES'!N81/'PLAN DE USOS Y FUENTES'!N11</f>
        <v>1.8386890164389226E-3</v>
      </c>
      <c r="O81" s="1025">
        <f>'PLAN DE USOS Y FUENTES'!O81/'PLAN DE USOS Y FUENTES'!O11</f>
        <v>5.4542919784578855E-2</v>
      </c>
      <c r="P81" s="1225">
        <f>'PLAN DE USOS Y FUENTES'!P81/'PLAN DE USOS Y FUENTES'!P11</f>
        <v>0.13969002269956932</v>
      </c>
    </row>
    <row r="82" spans="1:16" s="831" customFormat="1" ht="210" customHeight="1">
      <c r="A82" s="1702" t="s">
        <v>147</v>
      </c>
      <c r="B82" s="1705" t="s">
        <v>148</v>
      </c>
      <c r="C82" s="837" t="s">
        <v>778</v>
      </c>
      <c r="D82" s="1707">
        <f>'PLAN DE USOS Y FUENTES'!D82:D83/'PLAN DE USOS Y FUENTES'!D11</f>
        <v>8.7967993403608419E-2</v>
      </c>
      <c r="E82" s="1707">
        <f>'PLAN DE USOS Y FUENTES'!E82:E83/'PLAN DE USOS Y FUENTES'!E11</f>
        <v>2.8688104811503249E-2</v>
      </c>
      <c r="F82" s="1707">
        <f>'PLAN DE USOS Y FUENTES'!F82:F83/'PLAN DE USOS Y FUENTES'!F11</f>
        <v>0</v>
      </c>
      <c r="G82" s="1707">
        <f>'PLAN DE USOS Y FUENTES'!G82:G83/'PLAN DE USOS Y FUENTES'!G11</f>
        <v>0</v>
      </c>
      <c r="H82" s="1707">
        <f>'PLAN DE USOS Y FUENTES'!H82:H83/'PLAN DE USOS Y FUENTES'!H11</f>
        <v>8.3890511156719402E-2</v>
      </c>
      <c r="I82" s="1707">
        <f>'PLAN DE USOS Y FUENTES'!I82:I83/'PLAN DE USOS Y FUENTES'!I11</f>
        <v>0</v>
      </c>
      <c r="J82" s="1707">
        <f>'PLAN DE USOS Y FUENTES'!J82:J83/'PLAN DE USOS Y FUENTES'!J11</f>
        <v>2.4250186093855184E-2</v>
      </c>
      <c r="K82" s="1738">
        <f>'PLAN DE USOS Y FUENTES'!K82:K83/'PLAN DE USOS Y FUENTES'!K11</f>
        <v>2.1619528931230925E-2</v>
      </c>
      <c r="L82" s="1750">
        <f>'PLAN DE USOS Y FUENTES'!L82:L83/'PLAN DE USOS Y FUENTES'!L11</f>
        <v>8.127434884618992E-2</v>
      </c>
      <c r="M82" s="1707">
        <f>'PLAN DE USOS Y FUENTES'!M82:M83/'PLAN DE USOS Y FUENTES'!M11</f>
        <v>4.1267785721487886E-3</v>
      </c>
      <c r="N82" s="1738">
        <f>'PLAN DE USOS Y FUENTES'!N82:N83/'PLAN DE USOS Y FUENTES'!N11</f>
        <v>0</v>
      </c>
      <c r="O82" s="1759">
        <f>'PLAN DE USOS Y FUENTES'!O82:O83/'PLAN DE USOS Y FUENTES'!O11</f>
        <v>2.5427221671778934E-2</v>
      </c>
      <c r="P82" s="1639">
        <f>'PLAN DE USOS Y FUENTES'!P82:P83/'PLAN DE USOS Y FUENTES'!P11</f>
        <v>6.5121727742966026E-2</v>
      </c>
    </row>
    <row r="83" spans="1:16" s="831" customFormat="1" ht="195" customHeight="1">
      <c r="A83" s="1703"/>
      <c r="B83" s="1706"/>
      <c r="C83" s="837" t="s">
        <v>779</v>
      </c>
      <c r="D83" s="1708"/>
      <c r="E83" s="1708"/>
      <c r="F83" s="1708"/>
      <c r="G83" s="1708"/>
      <c r="H83" s="1708"/>
      <c r="I83" s="1708"/>
      <c r="J83" s="1708"/>
      <c r="K83" s="1739"/>
      <c r="L83" s="1751"/>
      <c r="M83" s="1708"/>
      <c r="N83" s="1739"/>
      <c r="O83" s="1760"/>
      <c r="P83" s="1640"/>
    </row>
    <row r="84" spans="1:16" s="831" customFormat="1" ht="198" customHeight="1">
      <c r="A84" s="1703"/>
      <c r="B84" s="838" t="s">
        <v>149</v>
      </c>
      <c r="C84" s="837" t="s">
        <v>780</v>
      </c>
      <c r="D84" s="908">
        <f>'PLAN DE USOS Y FUENTES'!D84/'PLAN DE USOS Y FUENTES'!D11</f>
        <v>0</v>
      </c>
      <c r="E84" s="908">
        <f>'PLAN DE USOS Y FUENTES'!E84/'PLAN DE USOS Y FUENTES'!E11</f>
        <v>1.0759406624005111E-2</v>
      </c>
      <c r="F84" s="908">
        <f>'PLAN DE USOS Y FUENTES'!F84/'PLAN DE USOS Y FUENTES'!F11</f>
        <v>0</v>
      </c>
      <c r="G84" s="908">
        <f>'PLAN DE USOS Y FUENTES'!G84/'PLAN DE USOS Y FUENTES'!G11</f>
        <v>1</v>
      </c>
      <c r="H84" s="908">
        <f>'PLAN DE USOS Y FUENTES'!H84/'PLAN DE USOS Y FUENTES'!H11</f>
        <v>2.0860367821650522E-3</v>
      </c>
      <c r="I84" s="908">
        <f>'PLAN DE USOS Y FUENTES'!I84/'PLAN DE USOS Y FUENTES'!I11</f>
        <v>0</v>
      </c>
      <c r="J84" s="908">
        <f>'PLAN DE USOS Y FUENTES'!J84/'PLAN DE USOS Y FUENTES'!J11</f>
        <v>0</v>
      </c>
      <c r="K84" s="932">
        <f>'PLAN DE USOS Y FUENTES'!K84/'PLAN DE USOS Y FUENTES'!K11</f>
        <v>1.0058554002832032E-2</v>
      </c>
      <c r="L84" s="933">
        <f>'PLAN DE USOS Y FUENTES'!L84/'PLAN DE USOS Y FUENTES'!L11</f>
        <v>1.7593361432977292E-3</v>
      </c>
      <c r="M84" s="908">
        <f>'PLAN DE USOS Y FUENTES'!M84/'PLAN DE USOS Y FUENTES'!M11</f>
        <v>1.5671145402934034E-2</v>
      </c>
      <c r="N84" s="932">
        <f>'PLAN DE USOS Y FUENTES'!N84/'PLAN DE USOS Y FUENTES'!N11</f>
        <v>0</v>
      </c>
      <c r="O84" s="1028">
        <f>'PLAN DE USOS Y FUENTES'!O84/'PLAN DE USOS Y FUENTES'!O11</f>
        <v>1.1830095056238926E-2</v>
      </c>
      <c r="P84" s="1228">
        <f>'PLAN DE USOS Y FUENTES'!P84/'PLAN DE USOS Y FUENTES'!P11</f>
        <v>3.0298089164843525E-2</v>
      </c>
    </row>
    <row r="85" spans="1:16" s="831" customFormat="1" ht="195" customHeight="1">
      <c r="A85" s="1703"/>
      <c r="B85" s="1705" t="s">
        <v>150</v>
      </c>
      <c r="C85" s="837" t="s">
        <v>781</v>
      </c>
      <c r="D85" s="1707">
        <f>'PLAN DE USOS Y FUENTES'!D85:D86/'PLAN DE USOS Y FUENTES'!D11</f>
        <v>2.0112158334174884E-2</v>
      </c>
      <c r="E85" s="1707">
        <f>'PLAN DE USOS Y FUENTES'!E85:E86/'PLAN DE USOS Y FUENTES'!E11</f>
        <v>5.0756447020389728E-3</v>
      </c>
      <c r="F85" s="1707">
        <f>'PLAN DE USOS Y FUENTES'!F85:F86/'PLAN DE USOS Y FUENTES'!F11</f>
        <v>0</v>
      </c>
      <c r="G85" s="1707">
        <f>'PLAN DE USOS Y FUENTES'!G85:G86/'PLAN DE USOS Y FUENTES'!G11</f>
        <v>0</v>
      </c>
      <c r="H85" s="1707">
        <f>'PLAN DE USOS Y FUENTES'!H85:H86/'PLAN DE USOS Y FUENTES'!H11</f>
        <v>4.1336094267133472E-2</v>
      </c>
      <c r="I85" s="1707">
        <f>'PLAN DE USOS Y FUENTES'!I85:I86/'PLAN DE USOS Y FUENTES'!I11</f>
        <v>1.8386890164389226E-3</v>
      </c>
      <c r="J85" s="1707">
        <f>'PLAN DE USOS Y FUENTES'!J85:J86/'PLAN DE USOS Y FUENTES'!J11</f>
        <v>3.2972624829223471E-3</v>
      </c>
      <c r="K85" s="1738">
        <f>'PLAN DE USOS Y FUENTES'!K85:K86/'PLAN DE USOS Y FUENTES'!K11</f>
        <v>9.4466182717624202E-3</v>
      </c>
      <c r="L85" s="1750">
        <f>'PLAN DE USOS Y FUENTES'!L85:L86/'PLAN DE USOS Y FUENTES'!L11</f>
        <v>3.7153231931404906E-2</v>
      </c>
      <c r="M85" s="1707">
        <f>'PLAN DE USOS Y FUENTES'!M85:M86/'PLAN DE USOS Y FUENTES'!M11</f>
        <v>7.3013055180334125E-4</v>
      </c>
      <c r="N85" s="1738">
        <f>'PLAN DE USOS Y FUENTES'!N85:N86/'PLAN DE USOS Y FUENTES'!N11</f>
        <v>1.8386890164389226E-3</v>
      </c>
      <c r="O85" s="1759">
        <f>'PLAN DE USOS Y FUENTES'!O85:O86/'PLAN DE USOS Y FUENTES'!O11</f>
        <v>1.0786548345550977E-2</v>
      </c>
      <c r="P85" s="1639">
        <f>'PLAN DE USOS Y FUENTES'!P85:P86/'PLAN DE USOS Y FUENTES'!P11</f>
        <v>2.7625458798156127E-2</v>
      </c>
    </row>
    <row r="86" spans="1:16" s="831" customFormat="1" ht="183" customHeight="1">
      <c r="A86" s="1703"/>
      <c r="B86" s="1706"/>
      <c r="C86" s="837" t="s">
        <v>782</v>
      </c>
      <c r="D86" s="1708"/>
      <c r="E86" s="1708"/>
      <c r="F86" s="1708"/>
      <c r="G86" s="1708"/>
      <c r="H86" s="1708"/>
      <c r="I86" s="1708"/>
      <c r="J86" s="1708"/>
      <c r="K86" s="1739"/>
      <c r="L86" s="1751"/>
      <c r="M86" s="1708"/>
      <c r="N86" s="1739"/>
      <c r="O86" s="1760"/>
      <c r="P86" s="1640"/>
    </row>
    <row r="87" spans="1:16" s="831" customFormat="1" ht="213" customHeight="1">
      <c r="A87" s="1703"/>
      <c r="B87" s="1705" t="s">
        <v>151</v>
      </c>
      <c r="C87" s="837" t="s">
        <v>783</v>
      </c>
      <c r="D87" s="1707">
        <f>'PLAN DE USOS Y FUENTES'!D87:D88/'PLAN DE USOS Y FUENTES'!D11</f>
        <v>2.0086655841741199E-2</v>
      </c>
      <c r="E87" s="1707">
        <f>'PLAN DE USOS Y FUENTES'!E87:E88/'PLAN DE USOS Y FUENTES'!E11</f>
        <v>0</v>
      </c>
      <c r="F87" s="1707">
        <f>'PLAN DE USOS Y FUENTES'!F87:F88/'PLAN DE USOS Y FUENTES'!F11</f>
        <v>0</v>
      </c>
      <c r="G87" s="1707">
        <f>'PLAN DE USOS Y FUENTES'!G87:G88/'PLAN DE USOS Y FUENTES'!G11</f>
        <v>0</v>
      </c>
      <c r="H87" s="1707">
        <f>'PLAN DE USOS Y FUENTES'!H87:H88/'PLAN DE USOS Y FUENTES'!H11</f>
        <v>2.5153937064241318E-2</v>
      </c>
      <c r="I87" s="1707">
        <f>'PLAN DE USOS Y FUENTES'!I87:I88/'PLAN DE USOS Y FUENTES'!I11</f>
        <v>0</v>
      </c>
      <c r="J87" s="1707">
        <f>'PLAN DE USOS Y FUENTES'!J87:J88/'PLAN DE USOS Y FUENTES'!J11</f>
        <v>4.0030376842547493E-3</v>
      </c>
      <c r="K87" s="1738">
        <f>'PLAN DE USOS Y FUENTES'!K87:K88/'PLAN DE USOS Y FUENTES'!K11</f>
        <v>5.5258298827936285E-3</v>
      </c>
      <c r="L87" s="1750">
        <f>'PLAN DE USOS Y FUENTES'!L87:L88/'PLAN DE USOS Y FUENTES'!L11</f>
        <v>2.3538772300994503E-2</v>
      </c>
      <c r="M87" s="1707">
        <f>'PLAN DE USOS Y FUENTES'!M87:M88/'PLAN DE USOS Y FUENTES'!M11</f>
        <v>0</v>
      </c>
      <c r="N87" s="1738">
        <f>'PLAN DE USOS Y FUENTES'!N87:N88/'PLAN DE USOS Y FUENTES'!N11</f>
        <v>0</v>
      </c>
      <c r="O87" s="1759">
        <f>'PLAN DE USOS Y FUENTES'!O87:O88/'PLAN DE USOS Y FUENTES'!O11</f>
        <v>6.4990547110100206E-3</v>
      </c>
      <c r="P87" s="1639">
        <f>'PLAN DE USOS Y FUENTES'!P87:P88/'PLAN DE USOS Y FUENTES'!P11</f>
        <v>1.6644746993603625E-2</v>
      </c>
    </row>
    <row r="88" spans="1:16" s="831" customFormat="1" ht="204" customHeight="1">
      <c r="A88" s="1704"/>
      <c r="B88" s="1706"/>
      <c r="C88" s="837" t="s">
        <v>784</v>
      </c>
      <c r="D88" s="1708"/>
      <c r="E88" s="1708"/>
      <c r="F88" s="1708"/>
      <c r="G88" s="1708"/>
      <c r="H88" s="1708"/>
      <c r="I88" s="1708"/>
      <c r="J88" s="1708"/>
      <c r="K88" s="1739"/>
      <c r="L88" s="1751"/>
      <c r="M88" s="1708"/>
      <c r="N88" s="1739"/>
      <c r="O88" s="1760"/>
      <c r="P88" s="1640"/>
    </row>
    <row r="89" spans="1:16" s="833" customFormat="1" ht="147" customHeight="1">
      <c r="A89" s="829" t="s">
        <v>632</v>
      </c>
      <c r="B89" s="830"/>
      <c r="C89" s="888"/>
      <c r="D89" s="905">
        <f>'PLAN DE USOS Y FUENTES'!D89/'PLAN DE USOS Y FUENTES'!D11</f>
        <v>3.1019433937085464E-2</v>
      </c>
      <c r="E89" s="905">
        <f>'PLAN DE USOS Y FUENTES'!E89/'PLAN DE USOS Y FUENTES'!E11</f>
        <v>0.17239003153494717</v>
      </c>
      <c r="F89" s="905">
        <f>'PLAN DE USOS Y FUENTES'!F89/'PLAN DE USOS Y FUENTES'!F11</f>
        <v>0</v>
      </c>
      <c r="G89" s="905">
        <f>'PLAN DE USOS Y FUENTES'!G89/'PLAN DE USOS Y FUENTES'!G11</f>
        <v>0</v>
      </c>
      <c r="H89" s="905">
        <f>'PLAN DE USOS Y FUENTES'!H89/'PLAN DE USOS Y FUENTES'!H11</f>
        <v>4.1419166151611952E-2</v>
      </c>
      <c r="I89" s="905">
        <f>'PLAN DE USOS Y FUENTES'!I89/'PLAN DE USOS Y FUENTES'!I11</f>
        <v>0</v>
      </c>
      <c r="J89" s="905">
        <f>'PLAN DE USOS Y FUENTES'!J89/'PLAN DE USOS Y FUENTES'!J11</f>
        <v>5.337383579006331E-3</v>
      </c>
      <c r="K89" s="926">
        <f>'PLAN DE USOS Y FUENTES'!K89/'PLAN DE USOS Y FUENTES'!K11</f>
        <v>2.4296276083768074E-2</v>
      </c>
      <c r="L89" s="927">
        <f>'PLAN DE USOS Y FUENTES'!L89/'PLAN DE USOS Y FUENTES'!L11</f>
        <v>3.8478575323538933E-2</v>
      </c>
      <c r="M89" s="905">
        <f>'PLAN DE USOS Y FUENTES'!M89/'PLAN DE USOS Y FUENTES'!M11</f>
        <v>2.4798274158048014E-2</v>
      </c>
      <c r="N89" s="926">
        <f>'PLAN DE USOS Y FUENTES'!N89/'PLAN DE USOS Y FUENTES'!N11</f>
        <v>0</v>
      </c>
      <c r="O89" s="1025">
        <f>'PLAN DE USOS Y FUENTES'!O89/'PLAN DE USOS Y FUENTES'!O11</f>
        <v>2.8575405123109576E-2</v>
      </c>
      <c r="P89" s="1225">
        <f>'PLAN DE USOS Y FUENTES'!P89/'PLAN DE USOS Y FUENTES'!P11</f>
        <v>7.3184549086518724E-2</v>
      </c>
    </row>
    <row r="90" spans="1:16" s="831" customFormat="1" ht="297" customHeight="1">
      <c r="A90" s="1730" t="s">
        <v>152</v>
      </c>
      <c r="B90" s="1723" t="s">
        <v>153</v>
      </c>
      <c r="C90" s="839" t="s">
        <v>785</v>
      </c>
      <c r="D90" s="1726">
        <f>'PLAN DE USOS Y FUENTES'!D90:D92/'PLAN DE USOS Y FUENTES'!D11</f>
        <v>2.0156118565480496E-2</v>
      </c>
      <c r="E90" s="1726">
        <f>'PLAN DE USOS Y FUENTES'!E90:E92/'PLAN DE USOS Y FUENTES'!E11</f>
        <v>1.8692808225876654E-3</v>
      </c>
      <c r="F90" s="1726">
        <f>'PLAN DE USOS Y FUENTES'!F90:F92/'PLAN DE USOS Y FUENTES'!F11</f>
        <v>0</v>
      </c>
      <c r="G90" s="1726">
        <f>'PLAN DE USOS Y FUENTES'!G90:G92/'PLAN DE USOS Y FUENTES'!G11</f>
        <v>0</v>
      </c>
      <c r="H90" s="1726">
        <f>'PLAN DE USOS Y FUENTES'!H90:H92/'PLAN DE USOS Y FUENTES'!H11</f>
        <v>2.4110918673158791E-2</v>
      </c>
      <c r="I90" s="1726">
        <f>'PLAN DE USOS Y FUENTES'!I90:I92/'PLAN DE USOS Y FUENTES'!I11</f>
        <v>0</v>
      </c>
      <c r="J90" s="1726">
        <f>'PLAN DE USOS Y FUENTES'!J90:J92/'PLAN DE USOS Y FUENTES'!J11</f>
        <v>4.0030376842547493E-3</v>
      </c>
      <c r="K90" s="1721">
        <f>'PLAN DE USOS Y FUENTES'!K90:K92/'PLAN DE USOS Y FUENTES'!K11</f>
        <v>5.4865493159399923E-3</v>
      </c>
      <c r="L90" s="1741">
        <f>'PLAN DE USOS Y FUENTES'!L90:L92/'PLAN DE USOS Y FUENTES'!L11</f>
        <v>2.2666434796609378E-2</v>
      </c>
      <c r="M90" s="1726">
        <f>'PLAN DE USOS Y FUENTES'!M90:M92/'PLAN DE USOS Y FUENTES'!M11</f>
        <v>2.6889570066302408E-4</v>
      </c>
      <c r="N90" s="1721">
        <f>'PLAN DE USOS Y FUENTES'!N90:N92/'PLAN DE USOS Y FUENTES'!N11</f>
        <v>0</v>
      </c>
      <c r="O90" s="1761">
        <f>'PLAN DE USOS Y FUENTES'!O90:O92/'PLAN DE USOS Y FUENTES'!O11</f>
        <v>6.452855939336615E-3</v>
      </c>
      <c r="P90" s="1641">
        <f>'PLAN DE USOS Y FUENTES'!P90:P92/'PLAN DE USOS Y FUENTES'!P11</f>
        <v>1.6526427191707452E-2</v>
      </c>
    </row>
    <row r="91" spans="1:16" s="831" customFormat="1" ht="297" customHeight="1">
      <c r="A91" s="1731"/>
      <c r="B91" s="1724"/>
      <c r="C91" s="839" t="s">
        <v>786</v>
      </c>
      <c r="D91" s="1727"/>
      <c r="E91" s="1727"/>
      <c r="F91" s="1727"/>
      <c r="G91" s="1727"/>
      <c r="H91" s="1727"/>
      <c r="I91" s="1727"/>
      <c r="J91" s="1727"/>
      <c r="K91" s="1722"/>
      <c r="L91" s="1742"/>
      <c r="M91" s="1727"/>
      <c r="N91" s="1722"/>
      <c r="O91" s="1762"/>
      <c r="P91" s="1642"/>
    </row>
    <row r="92" spans="1:16" s="831" customFormat="1" ht="297" customHeight="1">
      <c r="A92" s="1731"/>
      <c r="B92" s="1725"/>
      <c r="C92" s="839" t="s">
        <v>787</v>
      </c>
      <c r="D92" s="1727"/>
      <c r="E92" s="1727"/>
      <c r="F92" s="1727"/>
      <c r="G92" s="1727"/>
      <c r="H92" s="1727"/>
      <c r="I92" s="1727"/>
      <c r="J92" s="1727"/>
      <c r="K92" s="1722"/>
      <c r="L92" s="1742"/>
      <c r="M92" s="1727"/>
      <c r="N92" s="1722"/>
      <c r="O92" s="1762"/>
      <c r="P92" s="1642"/>
    </row>
    <row r="93" spans="1:16" s="831" customFormat="1" ht="297" customHeight="1">
      <c r="A93" s="1731"/>
      <c r="B93" s="1723" t="s">
        <v>154</v>
      </c>
      <c r="C93" s="839" t="s">
        <v>788</v>
      </c>
      <c r="D93" s="1726">
        <f>'PLAN DE USOS Y FUENTES'!D93:D97/'PLAN DE USOS Y FUENTES'!D11</f>
        <v>1.0863315371604966E-2</v>
      </c>
      <c r="E93" s="1726">
        <f>'PLAN DE USOS Y FUENTES'!E93:E97/'PLAN DE USOS Y FUENTES'!E11</f>
        <v>0</v>
      </c>
      <c r="F93" s="1726">
        <f>'PLAN DE USOS Y FUENTES'!F93:F97/'PLAN DE USOS Y FUENTES'!F11</f>
        <v>0</v>
      </c>
      <c r="G93" s="1726">
        <f>'PLAN DE USOS Y FUENTES'!G93:G97/'PLAN DE USOS Y FUENTES'!G11</f>
        <v>0</v>
      </c>
      <c r="H93" s="1726">
        <f>'PLAN DE USOS Y FUENTES'!H93:H97/'PLAN DE USOS Y FUENTES'!H11</f>
        <v>8.9641003497929542E-3</v>
      </c>
      <c r="I93" s="1726">
        <f>'PLAN DE USOS Y FUENTES'!I93:I97/'PLAN DE USOS Y FUENTES'!I11</f>
        <v>0</v>
      </c>
      <c r="J93" s="1726">
        <f>'PLAN DE USOS Y FUENTES'!J93:J97/'PLAN DE USOS Y FUENTES'!J11</f>
        <v>1.3343458947515827E-3</v>
      </c>
      <c r="K93" s="1721">
        <f>'PLAN DE USOS Y FUENTES'!K93:K97/'PLAN DE USOS Y FUENTES'!K11</f>
        <v>2.0599217782712046E-3</v>
      </c>
      <c r="L93" s="1741">
        <f>'PLAN DE USOS Y FUENTES'!L93:L97/'PLAN DE USOS Y FUENTES'!L11</f>
        <v>8.7747959537386368E-3</v>
      </c>
      <c r="M93" s="1726">
        <f>'PLAN DE USOS Y FUENTES'!M93:M97/'PLAN DE USOS Y FUENTES'!M11</f>
        <v>0</v>
      </c>
      <c r="N93" s="1721">
        <f>'PLAN DE USOS Y FUENTES'!N93:N97/'PLAN DE USOS Y FUENTES'!N11</f>
        <v>0</v>
      </c>
      <c r="O93" s="1761">
        <f>'PLAN DE USOS Y FUENTES'!O93:O97/'PLAN DE USOS Y FUENTES'!O11</f>
        <v>2.4227210430548814E-3</v>
      </c>
      <c r="P93" s="1641">
        <f>'PLAN DE USOS Y FUENTES'!P93:P97/'PLAN DE USOS Y FUENTES'!P11</f>
        <v>6.2048375634402011E-3</v>
      </c>
    </row>
    <row r="94" spans="1:16" s="831" customFormat="1" ht="297" customHeight="1">
      <c r="A94" s="1731"/>
      <c r="B94" s="1724"/>
      <c r="C94" s="839" t="s">
        <v>789</v>
      </c>
      <c r="D94" s="1727"/>
      <c r="E94" s="1727"/>
      <c r="F94" s="1727"/>
      <c r="G94" s="1727"/>
      <c r="H94" s="1727"/>
      <c r="I94" s="1727"/>
      <c r="J94" s="1727"/>
      <c r="K94" s="1722"/>
      <c r="L94" s="1742"/>
      <c r="M94" s="1727"/>
      <c r="N94" s="1722"/>
      <c r="O94" s="1762"/>
      <c r="P94" s="1642"/>
    </row>
    <row r="95" spans="1:16" s="831" customFormat="1" ht="297" customHeight="1">
      <c r="A95" s="1731"/>
      <c r="B95" s="1724"/>
      <c r="C95" s="839" t="s">
        <v>790</v>
      </c>
      <c r="D95" s="1727"/>
      <c r="E95" s="1727"/>
      <c r="F95" s="1727"/>
      <c r="G95" s="1727"/>
      <c r="H95" s="1727"/>
      <c r="I95" s="1727"/>
      <c r="J95" s="1727"/>
      <c r="K95" s="1722"/>
      <c r="L95" s="1742"/>
      <c r="M95" s="1727"/>
      <c r="N95" s="1722"/>
      <c r="O95" s="1762"/>
      <c r="P95" s="1642"/>
    </row>
    <row r="96" spans="1:16" s="831" customFormat="1" ht="297" customHeight="1">
      <c r="A96" s="1731"/>
      <c r="B96" s="1724"/>
      <c r="C96" s="839" t="s">
        <v>791</v>
      </c>
      <c r="D96" s="1727"/>
      <c r="E96" s="1727"/>
      <c r="F96" s="1727"/>
      <c r="G96" s="1727"/>
      <c r="H96" s="1727"/>
      <c r="I96" s="1727"/>
      <c r="J96" s="1727"/>
      <c r="K96" s="1722"/>
      <c r="L96" s="1742"/>
      <c r="M96" s="1727"/>
      <c r="N96" s="1722"/>
      <c r="O96" s="1762"/>
      <c r="P96" s="1642"/>
    </row>
    <row r="97" spans="1:16381" s="831" customFormat="1" ht="297" customHeight="1">
      <c r="A97" s="1731"/>
      <c r="B97" s="1725"/>
      <c r="C97" s="839" t="s">
        <v>792</v>
      </c>
      <c r="D97" s="1728"/>
      <c r="E97" s="1728"/>
      <c r="F97" s="1728"/>
      <c r="G97" s="1728"/>
      <c r="H97" s="1728"/>
      <c r="I97" s="1728"/>
      <c r="J97" s="1728"/>
      <c r="K97" s="1729"/>
      <c r="L97" s="1743"/>
      <c r="M97" s="1728"/>
      <c r="N97" s="1729"/>
      <c r="O97" s="1763"/>
      <c r="P97" s="1643"/>
    </row>
    <row r="98" spans="1:16381" s="831" customFormat="1" ht="297" customHeight="1">
      <c r="A98" s="1732"/>
      <c r="B98" s="840" t="s">
        <v>155</v>
      </c>
      <c r="C98" s="839" t="s">
        <v>793</v>
      </c>
      <c r="D98" s="909">
        <f>'PLAN DE USOS Y FUENTES'!D98/'PLAN DE USOS Y FUENTES'!D11</f>
        <v>0</v>
      </c>
      <c r="E98" s="909">
        <f>'PLAN DE USOS Y FUENTES'!E98/'PLAN DE USOS Y FUENTES'!E11</f>
        <v>0.1705207507123595</v>
      </c>
      <c r="F98" s="909">
        <f>'PLAN DE USOS Y FUENTES'!F98/'PLAN DE USOS Y FUENTES'!F11</f>
        <v>0</v>
      </c>
      <c r="G98" s="909">
        <f>'PLAN DE USOS Y FUENTES'!G98/'PLAN DE USOS Y FUENTES'!G11</f>
        <v>0</v>
      </c>
      <c r="H98" s="909">
        <f>'PLAN DE USOS Y FUENTES'!H98/'PLAN DE USOS Y FUENTES'!H11</f>
        <v>8.3441471286602089E-3</v>
      </c>
      <c r="I98" s="909">
        <f>'PLAN DE USOS Y FUENTES'!I98/'PLAN DE USOS Y FUENTES'!I11</f>
        <v>0</v>
      </c>
      <c r="J98" s="909">
        <f>'PLAN DE USOS Y FUENTES'!J98/'PLAN DE USOS Y FUENTES'!J11</f>
        <v>0</v>
      </c>
      <c r="K98" s="934">
        <f>'PLAN DE USOS Y FUENTES'!K98/'PLAN DE USOS Y FUENTES'!K11</f>
        <v>1.6749804989556881E-2</v>
      </c>
      <c r="L98" s="935">
        <f>'PLAN DE USOS Y FUENTES'!L98/'PLAN DE USOS Y FUENTES'!L11</f>
        <v>7.0373445731909167E-3</v>
      </c>
      <c r="M98" s="909">
        <f>'PLAN DE USOS Y FUENTES'!M98/'PLAN DE USOS Y FUENTES'!M11</f>
        <v>2.4529378457384992E-2</v>
      </c>
      <c r="N98" s="934">
        <f>'PLAN DE USOS Y FUENTES'!N98/'PLAN DE USOS Y FUENTES'!N11</f>
        <v>0</v>
      </c>
      <c r="O98" s="1029">
        <f>'PLAN DE USOS Y FUENTES'!O98/'PLAN DE USOS Y FUENTES'!O11</f>
        <v>1.9699828140718079E-2</v>
      </c>
      <c r="P98" s="1229">
        <f>'PLAN DE USOS Y FUENTES'!P98/'PLAN DE USOS Y FUENTES'!P11</f>
        <v>5.0453284331371091E-2</v>
      </c>
    </row>
    <row r="99" spans="1:16381" s="833" customFormat="1" ht="147" customHeight="1">
      <c r="A99" s="829" t="s">
        <v>633</v>
      </c>
      <c r="B99" s="830"/>
      <c r="C99" s="888"/>
      <c r="D99" s="905">
        <f>'PLAN DE USOS Y FUENTES'!D99/'PLAN DE USOS Y FUENTES'!D11</f>
        <v>7.5160053821686432E-2</v>
      </c>
      <c r="E99" s="905">
        <f>'PLAN DE USOS Y FUENTES'!E99/'PLAN DE USOS Y FUENTES'!E11</f>
        <v>6.9219149258067988E-3</v>
      </c>
      <c r="F99" s="905">
        <f>'PLAN DE USOS Y FUENTES'!F99/'PLAN DE USOS Y FUENTES'!F11</f>
        <v>0</v>
      </c>
      <c r="G99" s="905">
        <f>'PLAN DE USOS Y FUENTES'!G99/'PLAN DE USOS Y FUENTES'!G11</f>
        <v>0</v>
      </c>
      <c r="H99" s="905">
        <f>'PLAN DE USOS Y FUENTES'!H99/'PLAN DE USOS Y FUENTES'!H11</f>
        <v>3.2032000631869222E-2</v>
      </c>
      <c r="I99" s="905">
        <f>'PLAN DE USOS Y FUENTES'!I99/'PLAN DE USOS Y FUENTES'!I11</f>
        <v>0</v>
      </c>
      <c r="J99" s="905">
        <f>'PLAN DE USOS Y FUENTES'!J99/'PLAN DE USOS Y FUENTES'!J11</f>
        <v>5.337383579006331E-3</v>
      </c>
      <c r="K99" s="926">
        <f>'PLAN DE USOS Y FUENTES'!K99/'PLAN DE USOS Y FUENTES'!K11</f>
        <v>8.8808690859053241E-3</v>
      </c>
      <c r="L99" s="927">
        <f>'PLAN DE USOS Y FUENTES'!L99/'PLAN DE USOS Y FUENTES'!L11</f>
        <v>3.5219827798588316E-2</v>
      </c>
      <c r="M99" s="905">
        <f>'PLAN DE USOS Y FUENTES'!M99/'PLAN DE USOS Y FUENTES'!M11</f>
        <v>9.957161820812366E-4</v>
      </c>
      <c r="N99" s="926">
        <f>'PLAN DE USOS Y FUENTES'!N99/'PLAN DE USOS Y FUENTES'!N11</f>
        <v>0</v>
      </c>
      <c r="O99" s="1025">
        <f>'PLAN DE USOS Y FUENTES'!O99/'PLAN DE USOS Y FUENTES'!O11</f>
        <v>1.0444992932253792E-2</v>
      </c>
      <c r="P99" s="1225">
        <f>'PLAN DE USOS Y FUENTES'!P99/'PLAN DE USOS Y FUENTES'!P11</f>
        <v>2.6750700284583952E-2</v>
      </c>
    </row>
    <row r="100" spans="1:16381" s="831" customFormat="1" ht="291" customHeight="1">
      <c r="A100" s="1712" t="s">
        <v>156</v>
      </c>
      <c r="B100" s="1715" t="s">
        <v>641</v>
      </c>
      <c r="C100" s="889" t="s">
        <v>794</v>
      </c>
      <c r="D100" s="1718">
        <f>'PLAN DE USOS Y FUENTES'!D100:D106/'PLAN DE USOS Y FUENTES'!D11</f>
        <v>7.5160053821686432E-2</v>
      </c>
      <c r="E100" s="1718">
        <f>'PLAN DE USOS Y FUENTES'!E100:E106/'PLAN DE USOS Y FUENTES'!E11</f>
        <v>6.9219149258067988E-3</v>
      </c>
      <c r="F100" s="1718">
        <f>'PLAN DE USOS Y FUENTES'!F100:F106/'PLAN DE USOS Y FUENTES'!F11</f>
        <v>0</v>
      </c>
      <c r="G100" s="1718">
        <f>'PLAN DE USOS Y FUENTES'!G100:G106/'PLAN DE USOS Y FUENTES'!G11</f>
        <v>0</v>
      </c>
      <c r="H100" s="1718">
        <f>'PLAN DE USOS Y FUENTES'!H100:H106/'PLAN DE USOS Y FUENTES'!H11</f>
        <v>3.2032000631869222E-2</v>
      </c>
      <c r="I100" s="1718">
        <f>'PLAN DE USOS Y FUENTES'!I100:I106/'PLAN DE USOS Y FUENTES'!I11</f>
        <v>0</v>
      </c>
      <c r="J100" s="1718">
        <f>'PLAN DE USOS Y FUENTES'!J100:J106/'PLAN DE USOS Y FUENTES'!J11</f>
        <v>5.337383579006331E-3</v>
      </c>
      <c r="K100" s="1733">
        <f>'PLAN DE USOS Y FUENTES'!K100:K106/'PLAN DE USOS Y FUENTES'!K11</f>
        <v>8.8808690859053241E-3</v>
      </c>
      <c r="L100" s="1744">
        <f>'PLAN DE USOS Y FUENTES'!L100:L106/'PLAN DE USOS Y FUENTES'!L11</f>
        <v>3.5219827798588316E-2</v>
      </c>
      <c r="M100" s="1718">
        <f>'PLAN DE USOS Y FUENTES'!M100:M106/'PLAN DE USOS Y FUENTES'!M11</f>
        <v>9.957161820812366E-4</v>
      </c>
      <c r="N100" s="1733">
        <f>'PLAN DE USOS Y FUENTES'!N100:N106/'PLAN DE USOS Y FUENTES'!N11</f>
        <v>0</v>
      </c>
      <c r="O100" s="1764">
        <f>'PLAN DE USOS Y FUENTES'!O100:O106/'PLAN DE USOS Y FUENTES'!O11</f>
        <v>1.0444992932253792E-2</v>
      </c>
      <c r="P100" s="1644">
        <f>'PLAN DE USOS Y FUENTES'!P100:P106/'PLAN DE USOS Y FUENTES'!P11</f>
        <v>2.6750700284583952E-2</v>
      </c>
    </row>
    <row r="101" spans="1:16381" s="831" customFormat="1" ht="291" customHeight="1">
      <c r="A101" s="1713"/>
      <c r="B101" s="1716"/>
      <c r="C101" s="889" t="s">
        <v>795</v>
      </c>
      <c r="D101" s="1719"/>
      <c r="E101" s="1719"/>
      <c r="F101" s="1719"/>
      <c r="G101" s="1719"/>
      <c r="H101" s="1719"/>
      <c r="I101" s="1719"/>
      <c r="J101" s="1719"/>
      <c r="K101" s="1734"/>
      <c r="L101" s="1745"/>
      <c r="M101" s="1719"/>
      <c r="N101" s="1734"/>
      <c r="O101" s="1765"/>
      <c r="P101" s="1645"/>
    </row>
    <row r="102" spans="1:16381" s="831" customFormat="1" ht="291" customHeight="1">
      <c r="A102" s="1713"/>
      <c r="B102" s="1716"/>
      <c r="C102" s="889" t="s">
        <v>796</v>
      </c>
      <c r="D102" s="1719"/>
      <c r="E102" s="1719"/>
      <c r="F102" s="1719"/>
      <c r="G102" s="1719"/>
      <c r="H102" s="1719"/>
      <c r="I102" s="1719"/>
      <c r="J102" s="1719"/>
      <c r="K102" s="1734"/>
      <c r="L102" s="1745"/>
      <c r="M102" s="1719"/>
      <c r="N102" s="1734"/>
      <c r="O102" s="1765"/>
      <c r="P102" s="1645"/>
    </row>
    <row r="103" spans="1:16381" s="831" customFormat="1" ht="291" customHeight="1">
      <c r="A103" s="1713"/>
      <c r="B103" s="1716"/>
      <c r="C103" s="889" t="s">
        <v>797</v>
      </c>
      <c r="D103" s="1719"/>
      <c r="E103" s="1719"/>
      <c r="F103" s="1719"/>
      <c r="G103" s="1719"/>
      <c r="H103" s="1719"/>
      <c r="I103" s="1719"/>
      <c r="J103" s="1719"/>
      <c r="K103" s="1734"/>
      <c r="L103" s="1745"/>
      <c r="M103" s="1719"/>
      <c r="N103" s="1734"/>
      <c r="O103" s="1765"/>
      <c r="P103" s="1645"/>
    </row>
    <row r="104" spans="1:16381" s="831" customFormat="1" ht="291" customHeight="1">
      <c r="A104" s="1713"/>
      <c r="B104" s="1716"/>
      <c r="C104" s="889" t="s">
        <v>798</v>
      </c>
      <c r="D104" s="1719"/>
      <c r="E104" s="1719"/>
      <c r="F104" s="1719"/>
      <c r="G104" s="1719"/>
      <c r="H104" s="1719"/>
      <c r="I104" s="1719"/>
      <c r="J104" s="1719"/>
      <c r="K104" s="1734"/>
      <c r="L104" s="1745"/>
      <c r="M104" s="1719"/>
      <c r="N104" s="1734"/>
      <c r="O104" s="1765"/>
      <c r="P104" s="1645"/>
    </row>
    <row r="105" spans="1:16381" s="831" customFormat="1" ht="291" customHeight="1">
      <c r="A105" s="1713"/>
      <c r="B105" s="1716"/>
      <c r="C105" s="889" t="s">
        <v>799</v>
      </c>
      <c r="D105" s="1719"/>
      <c r="E105" s="1719"/>
      <c r="F105" s="1719"/>
      <c r="G105" s="1719"/>
      <c r="H105" s="1719"/>
      <c r="I105" s="1719"/>
      <c r="J105" s="1719"/>
      <c r="K105" s="1734"/>
      <c r="L105" s="1745"/>
      <c r="M105" s="1719"/>
      <c r="N105" s="1734"/>
      <c r="O105" s="1765"/>
      <c r="P105" s="1645"/>
    </row>
    <row r="106" spans="1:16381" s="831" customFormat="1" ht="291" customHeight="1" thickBot="1">
      <c r="A106" s="1714"/>
      <c r="B106" s="1717"/>
      <c r="C106" s="890" t="s">
        <v>800</v>
      </c>
      <c r="D106" s="1720"/>
      <c r="E106" s="1720"/>
      <c r="F106" s="1720"/>
      <c r="G106" s="1720"/>
      <c r="H106" s="1720"/>
      <c r="I106" s="1720"/>
      <c r="J106" s="1720"/>
      <c r="K106" s="1735"/>
      <c r="L106" s="1746"/>
      <c r="M106" s="1720"/>
      <c r="N106" s="1735"/>
      <c r="O106" s="1766"/>
      <c r="P106" s="1646"/>
    </row>
    <row r="107" spans="1:16381" s="894" customFormat="1" ht="126" customHeight="1">
      <c r="A107" s="898"/>
      <c r="B107" s="899"/>
      <c r="C107" s="900"/>
      <c r="D107" s="910">
        <f>D13+D16+D18+D20+D26+D32+D37+D41+D46+D48+D50+D52+D53+D55+D56+D57+D58+D67+D79+D80+D82+D84+D85+D87+D90+D93+D98+D100</f>
        <v>1.0000000000000002</v>
      </c>
      <c r="E107" s="910">
        <f t="shared" ref="E107:K107" si="0">E13+E16+E18+E20+E26+E32+E37+E41+E46+E48+E50+E52+E53+E55+E56+E57+E58+E67+E79+E80+E82+E84+E85+E87+E90+E93+E98+E100</f>
        <v>0.99999999999999978</v>
      </c>
      <c r="F107" s="910">
        <f t="shared" si="0"/>
        <v>1</v>
      </c>
      <c r="G107" s="910">
        <f t="shared" si="0"/>
        <v>1</v>
      </c>
      <c r="H107" s="910">
        <f t="shared" si="0"/>
        <v>1</v>
      </c>
      <c r="I107" s="910">
        <f t="shared" si="0"/>
        <v>0.99999999999999978</v>
      </c>
      <c r="J107" s="910">
        <f t="shared" si="0"/>
        <v>0.99999999999999967</v>
      </c>
      <c r="K107" s="911">
        <f t="shared" si="0"/>
        <v>1.0000000000000169</v>
      </c>
      <c r="L107" s="911">
        <f t="shared" ref="L107:N107" si="1">L13+L16+L18+L20+L26+L32+L37+L41+L46+L48+L50+L52+L53+L55+L56+L57+L58+L67+L79+L80+L82+L84+L85+L87+L90+L93+L98+L100</f>
        <v>1</v>
      </c>
      <c r="M107" s="911">
        <f t="shared" si="1"/>
        <v>1</v>
      </c>
      <c r="N107" s="911">
        <f t="shared" si="1"/>
        <v>0.99999999999999978</v>
      </c>
      <c r="O107" s="1022">
        <f>O13+O16+O18+O20+O26+O32+O37+O41+O46+O48+O50+O52+O53+O55+O56+O57+O58+O67+O79+O80+O82+O84+O85+O87+O90+O93+O98+O100</f>
        <v>0.99999999999999989</v>
      </c>
      <c r="P107" s="1230">
        <f>P13+P16+P18+P20+P26+P32+P37+P41+P46+P48+P50+P52+P53+P55+P56+P57+P58+P67+P79+P80+P82+P84+P85+P87+P90+P93+P98+P100</f>
        <v>1.0000000000000506</v>
      </c>
      <c r="Q107" s="897"/>
      <c r="R107" s="897"/>
      <c r="S107" s="897"/>
      <c r="T107" s="895"/>
      <c r="U107" s="895"/>
      <c r="V107" s="896"/>
      <c r="W107" s="897"/>
      <c r="X107" s="897"/>
      <c r="Y107" s="897"/>
      <c r="Z107" s="897"/>
      <c r="AA107" s="897"/>
      <c r="AB107" s="897"/>
      <c r="AC107" s="897"/>
      <c r="AD107" s="897"/>
      <c r="AE107" s="895"/>
      <c r="AF107" s="895"/>
      <c r="AG107" s="896"/>
      <c r="AH107" s="897"/>
      <c r="AI107" s="897"/>
      <c r="AJ107" s="897"/>
      <c r="AK107" s="897"/>
      <c r="AL107" s="897"/>
      <c r="AM107" s="897"/>
      <c r="AN107" s="897"/>
      <c r="AO107" s="897"/>
      <c r="AP107" s="895"/>
      <c r="AQ107" s="895"/>
      <c r="AR107" s="896"/>
      <c r="AS107" s="897"/>
      <c r="AT107" s="897"/>
      <c r="AU107" s="897"/>
      <c r="AV107" s="897"/>
      <c r="AW107" s="897"/>
      <c r="AX107" s="897"/>
      <c r="AY107" s="897"/>
      <c r="AZ107" s="897"/>
      <c r="BA107" s="895"/>
      <c r="BB107" s="895"/>
      <c r="BC107" s="896"/>
      <c r="BD107" s="897"/>
      <c r="BE107" s="897"/>
      <c r="BF107" s="897"/>
      <c r="BG107" s="897"/>
      <c r="BH107" s="897"/>
      <c r="BI107" s="897"/>
      <c r="BJ107" s="897"/>
      <c r="BK107" s="897"/>
      <c r="BL107" s="895"/>
      <c r="BM107" s="895"/>
      <c r="BN107" s="896"/>
      <c r="BO107" s="897"/>
      <c r="BP107" s="897"/>
      <c r="BQ107" s="897"/>
      <c r="BR107" s="897"/>
      <c r="BS107" s="897"/>
      <c r="BT107" s="897"/>
      <c r="BU107" s="897"/>
      <c r="BV107" s="897"/>
      <c r="BW107" s="895"/>
      <c r="BX107" s="895"/>
      <c r="BY107" s="896"/>
      <c r="BZ107" s="897"/>
      <c r="CA107" s="897"/>
      <c r="CB107" s="897"/>
      <c r="CC107" s="897"/>
      <c r="CD107" s="897"/>
      <c r="CE107" s="897"/>
      <c r="CF107" s="897"/>
      <c r="CG107" s="897"/>
      <c r="CH107" s="895"/>
      <c r="CI107" s="895"/>
      <c r="CJ107" s="896"/>
      <c r="CK107" s="897"/>
      <c r="CL107" s="897"/>
      <c r="CM107" s="897"/>
      <c r="CN107" s="897"/>
      <c r="CO107" s="897"/>
      <c r="CP107" s="897"/>
      <c r="CQ107" s="897"/>
      <c r="CR107" s="897"/>
      <c r="CS107" s="895"/>
      <c r="CT107" s="895"/>
      <c r="CU107" s="896"/>
      <c r="CV107" s="897"/>
      <c r="CW107" s="897"/>
      <c r="CX107" s="897"/>
      <c r="CY107" s="897"/>
      <c r="CZ107" s="897"/>
      <c r="DA107" s="897"/>
      <c r="DB107" s="897"/>
      <c r="DC107" s="897"/>
      <c r="DD107" s="895"/>
      <c r="DE107" s="895"/>
      <c r="DF107" s="896"/>
      <c r="DG107" s="897"/>
      <c r="DH107" s="897"/>
      <c r="DI107" s="897"/>
      <c r="DJ107" s="897"/>
      <c r="DK107" s="897"/>
      <c r="DL107" s="897"/>
      <c r="DM107" s="897"/>
      <c r="DN107" s="897"/>
      <c r="DO107" s="895"/>
      <c r="DP107" s="895"/>
      <c r="DQ107" s="896"/>
      <c r="DR107" s="897"/>
      <c r="DS107" s="897"/>
      <c r="DT107" s="897"/>
      <c r="DU107" s="897"/>
      <c r="DV107" s="897"/>
      <c r="DW107" s="897"/>
      <c r="DX107" s="897"/>
      <c r="DY107" s="897"/>
      <c r="DZ107" s="895"/>
      <c r="EA107" s="895"/>
      <c r="EB107" s="896"/>
      <c r="EC107" s="897"/>
      <c r="ED107" s="897"/>
      <c r="EE107" s="897"/>
      <c r="EF107" s="897"/>
      <c r="EG107" s="897"/>
      <c r="EH107" s="897"/>
      <c r="EI107" s="897"/>
      <c r="EJ107" s="897"/>
      <c r="EK107" s="895"/>
      <c r="EL107" s="895"/>
      <c r="EM107" s="896"/>
      <c r="EN107" s="897"/>
      <c r="EO107" s="897"/>
      <c r="EP107" s="897"/>
      <c r="EQ107" s="897"/>
      <c r="ER107" s="897"/>
      <c r="ES107" s="897"/>
      <c r="ET107" s="897"/>
      <c r="EU107" s="897"/>
      <c r="EV107" s="895"/>
      <c r="EW107" s="895"/>
      <c r="EX107" s="896"/>
      <c r="EY107" s="897"/>
      <c r="EZ107" s="897"/>
      <c r="FA107" s="897"/>
      <c r="FB107" s="897"/>
      <c r="FC107" s="897"/>
      <c r="FD107" s="897"/>
      <c r="FE107" s="897"/>
      <c r="FF107" s="897"/>
      <c r="FG107" s="895"/>
      <c r="FH107" s="895"/>
      <c r="FI107" s="896"/>
      <c r="FJ107" s="897"/>
      <c r="FK107" s="897"/>
      <c r="FL107" s="897"/>
      <c r="FM107" s="897"/>
      <c r="FN107" s="897"/>
      <c r="FO107" s="897"/>
      <c r="FP107" s="897"/>
      <c r="FQ107" s="897"/>
      <c r="FR107" s="895"/>
      <c r="FS107" s="895"/>
      <c r="FT107" s="896"/>
      <c r="FU107" s="897"/>
      <c r="FV107" s="897"/>
      <c r="FW107" s="897"/>
      <c r="FX107" s="897"/>
      <c r="FY107" s="897"/>
      <c r="FZ107" s="897"/>
      <c r="GA107" s="897"/>
      <c r="GB107" s="897"/>
      <c r="GC107" s="895"/>
      <c r="GD107" s="895"/>
      <c r="GE107" s="896"/>
      <c r="GF107" s="897"/>
      <c r="GG107" s="897"/>
      <c r="GH107" s="897"/>
      <c r="GI107" s="897"/>
      <c r="GJ107" s="897"/>
      <c r="GK107" s="897"/>
      <c r="GL107" s="897"/>
      <c r="GM107" s="897"/>
      <c r="GN107" s="895"/>
      <c r="GO107" s="895"/>
      <c r="GP107" s="896"/>
      <c r="GQ107" s="897"/>
      <c r="GR107" s="897"/>
      <c r="GS107" s="897"/>
      <c r="GT107" s="897"/>
      <c r="GU107" s="897"/>
      <c r="GV107" s="897"/>
      <c r="GW107" s="897"/>
      <c r="GX107" s="897"/>
      <c r="GY107" s="895"/>
      <c r="GZ107" s="895"/>
      <c r="HA107" s="896"/>
      <c r="HB107" s="897"/>
      <c r="HC107" s="897"/>
      <c r="HD107" s="897"/>
      <c r="HE107" s="897"/>
      <c r="HF107" s="897"/>
      <c r="HG107" s="897"/>
      <c r="HH107" s="897"/>
      <c r="HI107" s="897"/>
      <c r="HJ107" s="895"/>
      <c r="HK107" s="895"/>
      <c r="HL107" s="896"/>
      <c r="HM107" s="897"/>
      <c r="HN107" s="897"/>
      <c r="HO107" s="897"/>
      <c r="HP107" s="897"/>
      <c r="HQ107" s="897"/>
      <c r="HR107" s="897"/>
      <c r="HS107" s="897"/>
      <c r="HT107" s="897"/>
      <c r="HU107" s="895"/>
      <c r="HV107" s="895"/>
      <c r="HW107" s="896"/>
      <c r="HX107" s="897"/>
      <c r="HY107" s="897"/>
      <c r="HZ107" s="897"/>
      <c r="IA107" s="897"/>
      <c r="IB107" s="897"/>
      <c r="IC107" s="897"/>
      <c r="ID107" s="897"/>
      <c r="IE107" s="897"/>
      <c r="IF107" s="895"/>
      <c r="IG107" s="895"/>
      <c r="IH107" s="896"/>
      <c r="II107" s="897"/>
      <c r="IJ107" s="897"/>
      <c r="IK107" s="897"/>
      <c r="IL107" s="897"/>
      <c r="IM107" s="897"/>
      <c r="IN107" s="897"/>
      <c r="IO107" s="897"/>
      <c r="IP107" s="897"/>
      <c r="IQ107" s="895"/>
      <c r="IR107" s="895"/>
      <c r="IS107" s="896"/>
      <c r="IT107" s="897"/>
      <c r="IU107" s="897"/>
      <c r="IV107" s="897"/>
      <c r="IW107" s="897"/>
      <c r="IX107" s="897"/>
      <c r="IY107" s="897"/>
      <c r="IZ107" s="897"/>
      <c r="JA107" s="897"/>
      <c r="JB107" s="895"/>
      <c r="JC107" s="895"/>
      <c r="JD107" s="896"/>
      <c r="JE107" s="897"/>
      <c r="JF107" s="897"/>
      <c r="JG107" s="897"/>
      <c r="JH107" s="897"/>
      <c r="JI107" s="897"/>
      <c r="JJ107" s="897"/>
      <c r="JK107" s="897"/>
      <c r="JL107" s="897"/>
      <c r="JM107" s="895"/>
      <c r="JN107" s="895"/>
      <c r="JO107" s="896"/>
      <c r="JP107" s="897"/>
      <c r="JQ107" s="897"/>
      <c r="JR107" s="897"/>
      <c r="JS107" s="897"/>
      <c r="JT107" s="897"/>
      <c r="JU107" s="897"/>
      <c r="JV107" s="897"/>
      <c r="JW107" s="897"/>
      <c r="JX107" s="895"/>
      <c r="JY107" s="895"/>
      <c r="JZ107" s="896"/>
      <c r="KA107" s="897"/>
      <c r="KB107" s="897"/>
      <c r="KC107" s="897"/>
      <c r="KD107" s="897"/>
      <c r="KE107" s="897"/>
      <c r="KF107" s="897"/>
      <c r="KG107" s="897"/>
      <c r="KH107" s="897"/>
      <c r="KI107" s="895"/>
      <c r="KJ107" s="895"/>
      <c r="KK107" s="896"/>
      <c r="KL107" s="897"/>
      <c r="KM107" s="897"/>
      <c r="KN107" s="897"/>
      <c r="KO107" s="897"/>
      <c r="KP107" s="897"/>
      <c r="KQ107" s="897"/>
      <c r="KR107" s="897"/>
      <c r="KS107" s="897"/>
      <c r="KT107" s="895"/>
      <c r="KU107" s="895"/>
      <c r="KV107" s="896"/>
      <c r="KW107" s="897"/>
      <c r="KX107" s="897"/>
      <c r="KY107" s="897"/>
      <c r="KZ107" s="897"/>
      <c r="LA107" s="897"/>
      <c r="LB107" s="897"/>
      <c r="LC107" s="897"/>
      <c r="LD107" s="897"/>
      <c r="LE107" s="895"/>
      <c r="LF107" s="895"/>
      <c r="LG107" s="896"/>
      <c r="LH107" s="897"/>
      <c r="LI107" s="897"/>
      <c r="LJ107" s="897"/>
      <c r="LK107" s="897"/>
      <c r="LL107" s="897"/>
      <c r="LM107" s="897"/>
      <c r="LN107" s="897"/>
      <c r="LO107" s="897"/>
      <c r="LP107" s="895"/>
      <c r="LQ107" s="895"/>
      <c r="LR107" s="896"/>
      <c r="LS107" s="897"/>
      <c r="LT107" s="897"/>
      <c r="LU107" s="897"/>
      <c r="LV107" s="897"/>
      <c r="LW107" s="897"/>
      <c r="LX107" s="897"/>
      <c r="LY107" s="897"/>
      <c r="LZ107" s="897"/>
      <c r="MA107" s="895"/>
      <c r="MB107" s="895"/>
      <c r="MC107" s="896"/>
      <c r="MD107" s="897"/>
      <c r="ME107" s="897"/>
      <c r="MF107" s="897"/>
      <c r="MG107" s="897"/>
      <c r="MH107" s="897"/>
      <c r="MI107" s="897"/>
      <c r="MJ107" s="897"/>
      <c r="MK107" s="897"/>
      <c r="ML107" s="895"/>
      <c r="MM107" s="895"/>
      <c r="MN107" s="896"/>
      <c r="MO107" s="897"/>
      <c r="MP107" s="897"/>
      <c r="MQ107" s="897"/>
      <c r="MR107" s="897"/>
      <c r="MS107" s="897"/>
      <c r="MT107" s="897"/>
      <c r="MU107" s="897"/>
      <c r="MV107" s="897"/>
      <c r="MW107" s="895"/>
      <c r="MX107" s="895"/>
      <c r="MY107" s="896"/>
      <c r="MZ107" s="897"/>
      <c r="NA107" s="897"/>
      <c r="NB107" s="897"/>
      <c r="NC107" s="897"/>
      <c r="ND107" s="897"/>
      <c r="NE107" s="897"/>
      <c r="NF107" s="897"/>
      <c r="NG107" s="897"/>
      <c r="NH107" s="895"/>
      <c r="NI107" s="895"/>
      <c r="NJ107" s="896"/>
      <c r="NK107" s="897"/>
      <c r="NL107" s="897"/>
      <c r="NM107" s="897"/>
      <c r="NN107" s="897"/>
      <c r="NO107" s="897"/>
      <c r="NP107" s="897"/>
      <c r="NQ107" s="897"/>
      <c r="NR107" s="897"/>
      <c r="NS107" s="895"/>
      <c r="NT107" s="895"/>
      <c r="NU107" s="896"/>
      <c r="NV107" s="897"/>
      <c r="NW107" s="897"/>
      <c r="NX107" s="897"/>
      <c r="NY107" s="897"/>
      <c r="NZ107" s="897"/>
      <c r="OA107" s="897"/>
      <c r="OB107" s="897"/>
      <c r="OC107" s="897"/>
      <c r="OD107" s="895"/>
      <c r="OE107" s="895"/>
      <c r="OF107" s="896"/>
      <c r="OG107" s="897"/>
      <c r="OH107" s="897"/>
      <c r="OI107" s="897"/>
      <c r="OJ107" s="897"/>
      <c r="OK107" s="897"/>
      <c r="OL107" s="897"/>
      <c r="OM107" s="897"/>
      <c r="ON107" s="897"/>
      <c r="OO107" s="895"/>
      <c r="OP107" s="895"/>
      <c r="OQ107" s="896"/>
      <c r="OR107" s="897"/>
      <c r="OS107" s="897"/>
      <c r="OT107" s="897"/>
      <c r="OU107" s="897"/>
      <c r="OV107" s="897"/>
      <c r="OW107" s="897"/>
      <c r="OX107" s="897"/>
      <c r="OY107" s="897"/>
      <c r="OZ107" s="895"/>
      <c r="PA107" s="895"/>
      <c r="PB107" s="896"/>
      <c r="PC107" s="897"/>
      <c r="PD107" s="897"/>
      <c r="PE107" s="897"/>
      <c r="PF107" s="897"/>
      <c r="PG107" s="897"/>
      <c r="PH107" s="897"/>
      <c r="PI107" s="897"/>
      <c r="PJ107" s="897"/>
      <c r="PK107" s="895"/>
      <c r="PL107" s="895"/>
      <c r="PM107" s="896"/>
      <c r="PN107" s="897"/>
      <c r="PO107" s="897"/>
      <c r="PP107" s="897"/>
      <c r="PQ107" s="897"/>
      <c r="PR107" s="897"/>
      <c r="PS107" s="897"/>
      <c r="PT107" s="897"/>
      <c r="PU107" s="897"/>
      <c r="PV107" s="895"/>
      <c r="PW107" s="895"/>
      <c r="PX107" s="896"/>
      <c r="PY107" s="897"/>
      <c r="PZ107" s="897"/>
      <c r="QA107" s="897"/>
      <c r="QB107" s="897"/>
      <c r="QC107" s="897"/>
      <c r="QD107" s="897"/>
      <c r="QE107" s="897"/>
      <c r="QF107" s="897"/>
      <c r="QG107" s="895"/>
      <c r="QH107" s="895"/>
      <c r="QI107" s="896"/>
      <c r="QJ107" s="897"/>
      <c r="QK107" s="897"/>
      <c r="QL107" s="897"/>
      <c r="QM107" s="897"/>
      <c r="QN107" s="897"/>
      <c r="QO107" s="897"/>
      <c r="QP107" s="897"/>
      <c r="QQ107" s="897"/>
      <c r="QR107" s="895"/>
      <c r="QS107" s="895"/>
      <c r="QT107" s="896"/>
      <c r="QU107" s="897"/>
      <c r="QV107" s="897"/>
      <c r="QW107" s="897"/>
      <c r="QX107" s="897"/>
      <c r="QY107" s="897"/>
      <c r="QZ107" s="897"/>
      <c r="RA107" s="897"/>
      <c r="RB107" s="897"/>
      <c r="RC107" s="895"/>
      <c r="RD107" s="895"/>
      <c r="RE107" s="896"/>
      <c r="RF107" s="897"/>
      <c r="RG107" s="897"/>
      <c r="RH107" s="897"/>
      <c r="RI107" s="897"/>
      <c r="RJ107" s="897"/>
      <c r="RK107" s="897"/>
      <c r="RL107" s="897"/>
      <c r="RM107" s="897"/>
      <c r="RN107" s="895"/>
      <c r="RO107" s="895"/>
      <c r="RP107" s="896"/>
      <c r="RQ107" s="897"/>
      <c r="RR107" s="897"/>
      <c r="RS107" s="897"/>
      <c r="RT107" s="897"/>
      <c r="RU107" s="897"/>
      <c r="RV107" s="897"/>
      <c r="RW107" s="897"/>
      <c r="RX107" s="897"/>
      <c r="RY107" s="895"/>
      <c r="RZ107" s="895"/>
      <c r="SA107" s="896"/>
      <c r="SB107" s="897"/>
      <c r="SC107" s="897"/>
      <c r="SD107" s="897"/>
      <c r="SE107" s="897"/>
      <c r="SF107" s="897"/>
      <c r="SG107" s="897"/>
      <c r="SH107" s="897"/>
      <c r="SI107" s="897"/>
      <c r="SJ107" s="895"/>
      <c r="SK107" s="895"/>
      <c r="SL107" s="896"/>
      <c r="SM107" s="897"/>
      <c r="SN107" s="897"/>
      <c r="SO107" s="897"/>
      <c r="SP107" s="897"/>
      <c r="SQ107" s="897"/>
      <c r="SR107" s="897"/>
      <c r="SS107" s="897"/>
      <c r="ST107" s="897"/>
      <c r="SU107" s="895"/>
      <c r="SV107" s="895"/>
      <c r="SW107" s="896"/>
      <c r="SX107" s="897"/>
      <c r="SY107" s="897"/>
      <c r="SZ107" s="897"/>
      <c r="TA107" s="897"/>
      <c r="TB107" s="897"/>
      <c r="TC107" s="897"/>
      <c r="TD107" s="897"/>
      <c r="TE107" s="897"/>
      <c r="TF107" s="895"/>
      <c r="TG107" s="895"/>
      <c r="TH107" s="896"/>
      <c r="TI107" s="897"/>
      <c r="TJ107" s="897"/>
      <c r="TK107" s="897"/>
      <c r="TL107" s="897"/>
      <c r="TM107" s="897"/>
      <c r="TN107" s="897"/>
      <c r="TO107" s="897"/>
      <c r="TP107" s="897"/>
      <c r="TQ107" s="895"/>
      <c r="TR107" s="895"/>
      <c r="TS107" s="896"/>
      <c r="TT107" s="897"/>
      <c r="TU107" s="897"/>
      <c r="TV107" s="897"/>
      <c r="TW107" s="897"/>
      <c r="TX107" s="897"/>
      <c r="TY107" s="897"/>
      <c r="TZ107" s="897"/>
      <c r="UA107" s="897"/>
      <c r="UB107" s="895"/>
      <c r="UC107" s="895"/>
      <c r="UD107" s="896"/>
      <c r="UE107" s="897"/>
      <c r="UF107" s="897"/>
      <c r="UG107" s="897"/>
      <c r="UH107" s="897"/>
      <c r="UI107" s="897"/>
      <c r="UJ107" s="897"/>
      <c r="UK107" s="897"/>
      <c r="UL107" s="897"/>
      <c r="UM107" s="895"/>
      <c r="UN107" s="895"/>
      <c r="UO107" s="896"/>
      <c r="UP107" s="897"/>
      <c r="UQ107" s="897"/>
      <c r="UR107" s="897"/>
      <c r="US107" s="897"/>
      <c r="UT107" s="897"/>
      <c r="UU107" s="897"/>
      <c r="UV107" s="897"/>
      <c r="UW107" s="897"/>
      <c r="UX107" s="895"/>
      <c r="UY107" s="895"/>
      <c r="UZ107" s="896"/>
      <c r="VA107" s="897"/>
      <c r="VB107" s="897"/>
      <c r="VC107" s="897"/>
      <c r="VD107" s="897"/>
      <c r="VE107" s="897"/>
      <c r="VF107" s="897"/>
      <c r="VG107" s="897"/>
      <c r="VH107" s="897"/>
      <c r="VI107" s="895"/>
      <c r="VJ107" s="895"/>
      <c r="VK107" s="896"/>
      <c r="VL107" s="897"/>
      <c r="VM107" s="897"/>
      <c r="VN107" s="897"/>
      <c r="VO107" s="897"/>
      <c r="VP107" s="897"/>
      <c r="VQ107" s="897"/>
      <c r="VR107" s="897"/>
      <c r="VS107" s="897"/>
      <c r="VT107" s="895"/>
      <c r="VU107" s="895"/>
      <c r="VV107" s="896"/>
      <c r="VW107" s="897"/>
      <c r="VX107" s="897"/>
      <c r="VY107" s="897"/>
      <c r="VZ107" s="897"/>
      <c r="WA107" s="897"/>
      <c r="WB107" s="897"/>
      <c r="WC107" s="897"/>
      <c r="WD107" s="897"/>
      <c r="WE107" s="895"/>
      <c r="WF107" s="895"/>
      <c r="WG107" s="896"/>
      <c r="WH107" s="897"/>
      <c r="WI107" s="897"/>
      <c r="WJ107" s="897"/>
      <c r="WK107" s="897"/>
      <c r="WL107" s="897"/>
      <c r="WM107" s="897"/>
      <c r="WN107" s="897"/>
      <c r="WO107" s="897"/>
      <c r="WP107" s="895"/>
      <c r="WQ107" s="895"/>
      <c r="WR107" s="896"/>
      <c r="WS107" s="897"/>
      <c r="WT107" s="897"/>
      <c r="WU107" s="897"/>
      <c r="WV107" s="897"/>
      <c r="WW107" s="897"/>
      <c r="WX107" s="897"/>
      <c r="WY107" s="897"/>
      <c r="WZ107" s="897"/>
      <c r="XA107" s="895"/>
      <c r="XB107" s="895"/>
      <c r="XC107" s="896"/>
      <c r="XD107" s="897"/>
      <c r="XE107" s="897"/>
      <c r="XF107" s="897"/>
      <c r="XG107" s="897"/>
      <c r="XH107" s="897"/>
      <c r="XI107" s="897"/>
      <c r="XJ107" s="897"/>
      <c r="XK107" s="897"/>
      <c r="XL107" s="895"/>
      <c r="XM107" s="895"/>
      <c r="XN107" s="896"/>
      <c r="XO107" s="897"/>
      <c r="XP107" s="897"/>
      <c r="XQ107" s="897"/>
      <c r="XR107" s="897"/>
      <c r="XS107" s="897"/>
      <c r="XT107" s="897"/>
      <c r="XU107" s="897"/>
      <c r="XV107" s="897"/>
      <c r="XW107" s="895"/>
      <c r="XX107" s="895"/>
      <c r="XY107" s="896"/>
      <c r="XZ107" s="897"/>
      <c r="YA107" s="897"/>
      <c r="YB107" s="897"/>
      <c r="YC107" s="897"/>
      <c r="YD107" s="897"/>
      <c r="YE107" s="897"/>
      <c r="YF107" s="897"/>
      <c r="YG107" s="897"/>
      <c r="YH107" s="895"/>
      <c r="YI107" s="895"/>
      <c r="YJ107" s="896"/>
      <c r="YK107" s="897"/>
      <c r="YL107" s="897"/>
      <c r="YM107" s="897"/>
      <c r="YN107" s="897"/>
      <c r="YO107" s="897"/>
      <c r="YP107" s="897"/>
      <c r="YQ107" s="897"/>
      <c r="YR107" s="897"/>
      <c r="YS107" s="895"/>
      <c r="YT107" s="895"/>
      <c r="YU107" s="896"/>
      <c r="YV107" s="897"/>
      <c r="YW107" s="897"/>
      <c r="YX107" s="897"/>
      <c r="YY107" s="897"/>
      <c r="YZ107" s="897"/>
      <c r="ZA107" s="897"/>
      <c r="ZB107" s="897"/>
      <c r="ZC107" s="897"/>
      <c r="ZD107" s="895"/>
      <c r="ZE107" s="895"/>
      <c r="ZF107" s="896"/>
      <c r="ZG107" s="897"/>
      <c r="ZH107" s="897"/>
      <c r="ZI107" s="897"/>
      <c r="ZJ107" s="897"/>
      <c r="ZK107" s="897"/>
      <c r="ZL107" s="897"/>
      <c r="ZM107" s="897"/>
      <c r="ZN107" s="897"/>
      <c r="ZO107" s="895"/>
      <c r="ZP107" s="895"/>
      <c r="ZQ107" s="896"/>
      <c r="ZR107" s="897"/>
      <c r="ZS107" s="897"/>
      <c r="ZT107" s="897"/>
      <c r="ZU107" s="897"/>
      <c r="ZV107" s="897"/>
      <c r="ZW107" s="897"/>
      <c r="ZX107" s="897"/>
      <c r="ZY107" s="897"/>
      <c r="ZZ107" s="895"/>
      <c r="AAA107" s="895"/>
      <c r="AAB107" s="896"/>
      <c r="AAC107" s="897"/>
      <c r="AAD107" s="897"/>
      <c r="AAE107" s="897"/>
      <c r="AAF107" s="897"/>
      <c r="AAG107" s="897"/>
      <c r="AAH107" s="897"/>
      <c r="AAI107" s="897"/>
      <c r="AAJ107" s="897"/>
      <c r="AAK107" s="895"/>
      <c r="AAL107" s="895"/>
      <c r="AAM107" s="896"/>
      <c r="AAN107" s="897"/>
      <c r="AAO107" s="897"/>
      <c r="AAP107" s="897"/>
      <c r="AAQ107" s="897"/>
      <c r="AAR107" s="897"/>
      <c r="AAS107" s="897"/>
      <c r="AAT107" s="897"/>
      <c r="AAU107" s="897"/>
      <c r="AAV107" s="895"/>
      <c r="AAW107" s="895"/>
      <c r="AAX107" s="896"/>
      <c r="AAY107" s="897"/>
      <c r="AAZ107" s="897"/>
      <c r="ABA107" s="897"/>
      <c r="ABB107" s="897"/>
      <c r="ABC107" s="897"/>
      <c r="ABD107" s="897"/>
      <c r="ABE107" s="897"/>
      <c r="ABF107" s="897"/>
      <c r="ABG107" s="895"/>
      <c r="ABH107" s="895"/>
      <c r="ABI107" s="896"/>
      <c r="ABJ107" s="897"/>
      <c r="ABK107" s="897"/>
      <c r="ABL107" s="897"/>
      <c r="ABM107" s="897"/>
      <c r="ABN107" s="897"/>
      <c r="ABO107" s="897"/>
      <c r="ABP107" s="897"/>
      <c r="ABQ107" s="897"/>
      <c r="ABR107" s="895"/>
      <c r="ABS107" s="895"/>
      <c r="ABT107" s="896"/>
      <c r="ABU107" s="897"/>
      <c r="ABV107" s="897"/>
      <c r="ABW107" s="897"/>
      <c r="ABX107" s="897"/>
      <c r="ABY107" s="897"/>
      <c r="ABZ107" s="897"/>
      <c r="ACA107" s="897"/>
      <c r="ACB107" s="897"/>
      <c r="ACC107" s="895"/>
      <c r="ACD107" s="895"/>
      <c r="ACE107" s="896"/>
      <c r="ACF107" s="897"/>
      <c r="ACG107" s="897"/>
      <c r="ACH107" s="897"/>
      <c r="ACI107" s="897"/>
      <c r="ACJ107" s="897"/>
      <c r="ACK107" s="897"/>
      <c r="ACL107" s="897"/>
      <c r="ACM107" s="897"/>
      <c r="ACN107" s="895"/>
      <c r="ACO107" s="895"/>
      <c r="ACP107" s="896"/>
      <c r="ACQ107" s="897"/>
      <c r="ACR107" s="897"/>
      <c r="ACS107" s="897"/>
      <c r="ACT107" s="897"/>
      <c r="ACU107" s="897"/>
      <c r="ACV107" s="897"/>
      <c r="ACW107" s="897"/>
      <c r="ACX107" s="897"/>
      <c r="ACY107" s="895"/>
      <c r="ACZ107" s="895"/>
      <c r="ADA107" s="896"/>
      <c r="ADB107" s="897"/>
      <c r="ADC107" s="897"/>
      <c r="ADD107" s="897"/>
      <c r="ADE107" s="897"/>
      <c r="ADF107" s="897"/>
      <c r="ADG107" s="897"/>
      <c r="ADH107" s="897"/>
      <c r="ADI107" s="897"/>
      <c r="ADJ107" s="895"/>
      <c r="ADK107" s="895"/>
      <c r="ADL107" s="896"/>
      <c r="ADM107" s="897"/>
      <c r="ADN107" s="897"/>
      <c r="ADO107" s="897"/>
      <c r="ADP107" s="897"/>
      <c r="ADQ107" s="897"/>
      <c r="ADR107" s="897"/>
      <c r="ADS107" s="897"/>
      <c r="ADT107" s="897"/>
      <c r="ADU107" s="895"/>
      <c r="ADV107" s="895"/>
      <c r="ADW107" s="896"/>
      <c r="ADX107" s="897"/>
      <c r="ADY107" s="897"/>
      <c r="ADZ107" s="897"/>
      <c r="AEA107" s="897"/>
      <c r="AEB107" s="897"/>
      <c r="AEC107" s="897"/>
      <c r="AED107" s="897"/>
      <c r="AEE107" s="897"/>
      <c r="AEF107" s="895"/>
      <c r="AEG107" s="895"/>
      <c r="AEH107" s="896"/>
      <c r="AEI107" s="897"/>
      <c r="AEJ107" s="897"/>
      <c r="AEK107" s="897"/>
      <c r="AEL107" s="897"/>
      <c r="AEM107" s="897"/>
      <c r="AEN107" s="897"/>
      <c r="AEO107" s="897"/>
      <c r="AEP107" s="897"/>
      <c r="AEQ107" s="895"/>
      <c r="AER107" s="895"/>
      <c r="AES107" s="896"/>
      <c r="AET107" s="897"/>
      <c r="AEU107" s="897"/>
      <c r="AEV107" s="897"/>
      <c r="AEW107" s="897"/>
      <c r="AEX107" s="897"/>
      <c r="AEY107" s="897"/>
      <c r="AEZ107" s="897"/>
      <c r="AFA107" s="897"/>
      <c r="AFB107" s="895"/>
      <c r="AFC107" s="895"/>
      <c r="AFD107" s="896"/>
      <c r="AFE107" s="897"/>
      <c r="AFF107" s="897"/>
      <c r="AFG107" s="897"/>
      <c r="AFH107" s="897"/>
      <c r="AFI107" s="897"/>
      <c r="AFJ107" s="897"/>
      <c r="AFK107" s="897"/>
      <c r="AFL107" s="897"/>
      <c r="AFM107" s="895"/>
      <c r="AFN107" s="895"/>
      <c r="AFO107" s="896"/>
      <c r="AFP107" s="897"/>
      <c r="AFQ107" s="897"/>
      <c r="AFR107" s="897"/>
      <c r="AFS107" s="897"/>
      <c r="AFT107" s="897"/>
      <c r="AFU107" s="897"/>
      <c r="AFV107" s="897"/>
      <c r="AFW107" s="897"/>
      <c r="AFX107" s="895"/>
      <c r="AFY107" s="895"/>
      <c r="AFZ107" s="896"/>
      <c r="AGA107" s="897"/>
      <c r="AGB107" s="897"/>
      <c r="AGC107" s="897"/>
      <c r="AGD107" s="897"/>
      <c r="AGE107" s="897"/>
      <c r="AGF107" s="897"/>
      <c r="AGG107" s="897"/>
      <c r="AGH107" s="897"/>
      <c r="AGI107" s="895"/>
      <c r="AGJ107" s="895"/>
      <c r="AGK107" s="896"/>
      <c r="AGL107" s="897"/>
      <c r="AGM107" s="897"/>
      <c r="AGN107" s="897"/>
      <c r="AGO107" s="897"/>
      <c r="AGP107" s="897"/>
      <c r="AGQ107" s="897"/>
      <c r="AGR107" s="897"/>
      <c r="AGS107" s="897"/>
      <c r="AGT107" s="895"/>
      <c r="AGU107" s="895"/>
      <c r="AGV107" s="896"/>
      <c r="AGW107" s="897"/>
      <c r="AGX107" s="897"/>
      <c r="AGY107" s="897"/>
      <c r="AGZ107" s="897"/>
      <c r="AHA107" s="897"/>
      <c r="AHB107" s="897"/>
      <c r="AHC107" s="897"/>
      <c r="AHD107" s="897"/>
      <c r="AHE107" s="895"/>
      <c r="AHF107" s="895"/>
      <c r="AHG107" s="896"/>
      <c r="AHH107" s="897"/>
      <c r="AHI107" s="897"/>
      <c r="AHJ107" s="897"/>
      <c r="AHK107" s="897"/>
      <c r="AHL107" s="897"/>
      <c r="AHM107" s="897"/>
      <c r="AHN107" s="897"/>
      <c r="AHO107" s="897"/>
      <c r="AHP107" s="895"/>
      <c r="AHQ107" s="895"/>
      <c r="AHR107" s="896"/>
      <c r="AHS107" s="897"/>
      <c r="AHT107" s="897"/>
      <c r="AHU107" s="897"/>
      <c r="AHV107" s="897"/>
      <c r="AHW107" s="897"/>
      <c r="AHX107" s="897"/>
      <c r="AHY107" s="897"/>
      <c r="AHZ107" s="897"/>
      <c r="AIA107" s="895"/>
      <c r="AIB107" s="895"/>
      <c r="AIC107" s="896"/>
      <c r="AID107" s="897"/>
      <c r="AIE107" s="897"/>
      <c r="AIF107" s="897"/>
      <c r="AIG107" s="897"/>
      <c r="AIH107" s="897"/>
      <c r="AII107" s="897"/>
      <c r="AIJ107" s="897"/>
      <c r="AIK107" s="897"/>
      <c r="AIL107" s="895"/>
      <c r="AIM107" s="895"/>
      <c r="AIN107" s="896"/>
      <c r="AIO107" s="897"/>
      <c r="AIP107" s="897"/>
      <c r="AIQ107" s="897"/>
      <c r="AIR107" s="897"/>
      <c r="AIS107" s="897"/>
      <c r="AIT107" s="897"/>
      <c r="AIU107" s="897"/>
      <c r="AIV107" s="897"/>
      <c r="AIW107" s="895"/>
      <c r="AIX107" s="895"/>
      <c r="AIY107" s="896"/>
      <c r="AIZ107" s="897"/>
      <c r="AJA107" s="897"/>
      <c r="AJB107" s="897"/>
      <c r="AJC107" s="897"/>
      <c r="AJD107" s="897"/>
      <c r="AJE107" s="897"/>
      <c r="AJF107" s="897"/>
      <c r="AJG107" s="897"/>
      <c r="AJH107" s="895"/>
      <c r="AJI107" s="895"/>
      <c r="AJJ107" s="896"/>
      <c r="AJK107" s="897"/>
      <c r="AJL107" s="897"/>
      <c r="AJM107" s="897"/>
      <c r="AJN107" s="897"/>
      <c r="AJO107" s="897"/>
      <c r="AJP107" s="897"/>
      <c r="AJQ107" s="897"/>
      <c r="AJR107" s="897"/>
      <c r="AJS107" s="895"/>
      <c r="AJT107" s="895"/>
      <c r="AJU107" s="896"/>
      <c r="AJV107" s="897"/>
      <c r="AJW107" s="897"/>
      <c r="AJX107" s="897"/>
      <c r="AJY107" s="897"/>
      <c r="AJZ107" s="897"/>
      <c r="AKA107" s="897"/>
      <c r="AKB107" s="897"/>
      <c r="AKC107" s="897"/>
      <c r="AKD107" s="895"/>
      <c r="AKE107" s="895"/>
      <c r="AKF107" s="896"/>
      <c r="AKG107" s="897"/>
      <c r="AKH107" s="897"/>
      <c r="AKI107" s="897"/>
      <c r="AKJ107" s="897"/>
      <c r="AKK107" s="897"/>
      <c r="AKL107" s="897"/>
      <c r="AKM107" s="897"/>
      <c r="AKN107" s="897"/>
      <c r="AKO107" s="895"/>
      <c r="AKP107" s="895"/>
      <c r="AKQ107" s="896"/>
      <c r="AKR107" s="897"/>
      <c r="AKS107" s="897"/>
      <c r="AKT107" s="897"/>
      <c r="AKU107" s="897"/>
      <c r="AKV107" s="897"/>
      <c r="AKW107" s="897"/>
      <c r="AKX107" s="897"/>
      <c r="AKY107" s="897"/>
      <c r="AKZ107" s="895"/>
      <c r="ALA107" s="895"/>
      <c r="ALB107" s="896"/>
      <c r="ALC107" s="897"/>
      <c r="ALD107" s="897"/>
      <c r="ALE107" s="897"/>
      <c r="ALF107" s="897"/>
      <c r="ALG107" s="897"/>
      <c r="ALH107" s="897"/>
      <c r="ALI107" s="897"/>
      <c r="ALJ107" s="897"/>
      <c r="ALK107" s="895"/>
      <c r="ALL107" s="895"/>
      <c r="ALM107" s="896"/>
      <c r="ALN107" s="897"/>
      <c r="ALO107" s="897"/>
      <c r="ALP107" s="897"/>
      <c r="ALQ107" s="897"/>
      <c r="ALR107" s="897"/>
      <c r="ALS107" s="897"/>
      <c r="ALT107" s="897"/>
      <c r="ALU107" s="897"/>
      <c r="ALV107" s="895"/>
      <c r="ALW107" s="895"/>
      <c r="ALX107" s="896"/>
      <c r="ALY107" s="897"/>
      <c r="ALZ107" s="897"/>
      <c r="AMA107" s="897"/>
      <c r="AMB107" s="897"/>
      <c r="AMC107" s="897"/>
      <c r="AMD107" s="897"/>
      <c r="AME107" s="897"/>
      <c r="AMF107" s="897"/>
      <c r="AMG107" s="895"/>
      <c r="AMH107" s="895"/>
      <c r="AMI107" s="896"/>
      <c r="AMJ107" s="897"/>
      <c r="AMK107" s="897"/>
      <c r="AML107" s="897"/>
      <c r="AMM107" s="897"/>
      <c r="AMN107" s="897"/>
      <c r="AMO107" s="897"/>
      <c r="AMP107" s="897"/>
      <c r="AMQ107" s="897"/>
      <c r="AMR107" s="895"/>
      <c r="AMS107" s="895"/>
      <c r="AMT107" s="896"/>
      <c r="AMU107" s="897"/>
      <c r="AMV107" s="897"/>
      <c r="AMW107" s="897"/>
      <c r="AMX107" s="897"/>
      <c r="AMY107" s="897"/>
      <c r="AMZ107" s="897"/>
      <c r="ANA107" s="897"/>
      <c r="ANB107" s="897"/>
      <c r="ANC107" s="895"/>
      <c r="AND107" s="895"/>
      <c r="ANE107" s="896"/>
      <c r="ANF107" s="897"/>
      <c r="ANG107" s="897"/>
      <c r="ANH107" s="897"/>
      <c r="ANI107" s="897"/>
      <c r="ANJ107" s="897"/>
      <c r="ANK107" s="897"/>
      <c r="ANL107" s="897"/>
      <c r="ANM107" s="897"/>
      <c r="ANN107" s="895"/>
      <c r="ANO107" s="895"/>
      <c r="ANP107" s="896"/>
      <c r="ANQ107" s="897"/>
      <c r="ANR107" s="897"/>
      <c r="ANS107" s="897"/>
      <c r="ANT107" s="897"/>
      <c r="ANU107" s="897"/>
      <c r="ANV107" s="897"/>
      <c r="ANW107" s="897"/>
      <c r="ANX107" s="897"/>
      <c r="ANY107" s="895"/>
      <c r="ANZ107" s="895"/>
      <c r="AOA107" s="896"/>
      <c r="AOB107" s="897"/>
      <c r="AOC107" s="897"/>
      <c r="AOD107" s="897"/>
      <c r="AOE107" s="897"/>
      <c r="AOF107" s="897"/>
      <c r="AOG107" s="897"/>
      <c r="AOH107" s="897"/>
      <c r="AOI107" s="897"/>
      <c r="AOJ107" s="895"/>
      <c r="AOK107" s="895"/>
      <c r="AOL107" s="896"/>
      <c r="AOM107" s="897"/>
      <c r="AON107" s="897"/>
      <c r="AOO107" s="897"/>
      <c r="AOP107" s="897"/>
      <c r="AOQ107" s="897"/>
      <c r="AOR107" s="897"/>
      <c r="AOS107" s="897"/>
      <c r="AOT107" s="897"/>
      <c r="AOU107" s="895"/>
      <c r="AOV107" s="895"/>
      <c r="AOW107" s="896"/>
      <c r="AOX107" s="897"/>
      <c r="AOY107" s="897"/>
      <c r="AOZ107" s="897"/>
      <c r="APA107" s="897"/>
      <c r="APB107" s="897"/>
      <c r="APC107" s="897"/>
      <c r="APD107" s="897"/>
      <c r="APE107" s="897"/>
      <c r="APF107" s="895"/>
      <c r="APG107" s="895"/>
      <c r="APH107" s="896"/>
      <c r="API107" s="897"/>
      <c r="APJ107" s="897"/>
      <c r="APK107" s="897"/>
      <c r="APL107" s="897"/>
      <c r="APM107" s="897"/>
      <c r="APN107" s="897"/>
      <c r="APO107" s="897"/>
      <c r="APP107" s="897"/>
      <c r="APQ107" s="895"/>
      <c r="APR107" s="895"/>
      <c r="APS107" s="896"/>
      <c r="APT107" s="897"/>
      <c r="APU107" s="897"/>
      <c r="APV107" s="897"/>
      <c r="APW107" s="897"/>
      <c r="APX107" s="897"/>
      <c r="APY107" s="897"/>
      <c r="APZ107" s="897"/>
      <c r="AQA107" s="897"/>
      <c r="AQB107" s="895"/>
      <c r="AQC107" s="895"/>
      <c r="AQD107" s="896"/>
      <c r="AQE107" s="897"/>
      <c r="AQF107" s="897"/>
      <c r="AQG107" s="897"/>
      <c r="AQH107" s="897"/>
      <c r="AQI107" s="897"/>
      <c r="AQJ107" s="897"/>
      <c r="AQK107" s="897"/>
      <c r="AQL107" s="897"/>
      <c r="AQM107" s="895"/>
      <c r="AQN107" s="895"/>
      <c r="AQO107" s="896"/>
      <c r="AQP107" s="897"/>
      <c r="AQQ107" s="897"/>
      <c r="AQR107" s="897"/>
      <c r="AQS107" s="897"/>
      <c r="AQT107" s="897"/>
      <c r="AQU107" s="897"/>
      <c r="AQV107" s="897"/>
      <c r="AQW107" s="897"/>
      <c r="AQX107" s="895"/>
      <c r="AQY107" s="895"/>
      <c r="AQZ107" s="896"/>
      <c r="ARA107" s="897"/>
      <c r="ARB107" s="897"/>
      <c r="ARC107" s="897"/>
      <c r="ARD107" s="897"/>
      <c r="ARE107" s="897"/>
      <c r="ARF107" s="897"/>
      <c r="ARG107" s="897"/>
      <c r="ARH107" s="897"/>
      <c r="ARI107" s="895"/>
      <c r="ARJ107" s="895"/>
      <c r="ARK107" s="896"/>
      <c r="ARL107" s="897"/>
      <c r="ARM107" s="897"/>
      <c r="ARN107" s="897"/>
      <c r="ARO107" s="897"/>
      <c r="ARP107" s="897"/>
      <c r="ARQ107" s="897"/>
      <c r="ARR107" s="897"/>
      <c r="ARS107" s="897"/>
      <c r="ART107" s="895"/>
      <c r="ARU107" s="895"/>
      <c r="ARV107" s="896"/>
      <c r="ARW107" s="897"/>
      <c r="ARX107" s="897"/>
      <c r="ARY107" s="897"/>
      <c r="ARZ107" s="897"/>
      <c r="ASA107" s="897"/>
      <c r="ASB107" s="897"/>
      <c r="ASC107" s="897"/>
      <c r="ASD107" s="897"/>
      <c r="ASE107" s="895"/>
      <c r="ASF107" s="895"/>
      <c r="ASG107" s="896"/>
      <c r="ASH107" s="897"/>
      <c r="ASI107" s="897"/>
      <c r="ASJ107" s="897"/>
      <c r="ASK107" s="897"/>
      <c r="ASL107" s="897"/>
      <c r="ASM107" s="897"/>
      <c r="ASN107" s="897"/>
      <c r="ASO107" s="897"/>
      <c r="ASP107" s="895"/>
      <c r="ASQ107" s="895"/>
      <c r="ASR107" s="896"/>
      <c r="ASS107" s="897"/>
      <c r="AST107" s="897"/>
      <c r="ASU107" s="897"/>
      <c r="ASV107" s="897"/>
      <c r="ASW107" s="897"/>
      <c r="ASX107" s="897"/>
      <c r="ASY107" s="897"/>
      <c r="ASZ107" s="897"/>
      <c r="ATA107" s="895"/>
      <c r="ATB107" s="895"/>
      <c r="ATC107" s="896"/>
      <c r="ATD107" s="897"/>
      <c r="ATE107" s="897"/>
      <c r="ATF107" s="897"/>
      <c r="ATG107" s="897"/>
      <c r="ATH107" s="897"/>
      <c r="ATI107" s="897"/>
      <c r="ATJ107" s="897"/>
      <c r="ATK107" s="897"/>
      <c r="ATL107" s="895"/>
      <c r="ATM107" s="895"/>
      <c r="ATN107" s="896"/>
      <c r="ATO107" s="897"/>
      <c r="ATP107" s="897"/>
      <c r="ATQ107" s="897"/>
      <c r="ATR107" s="897"/>
      <c r="ATS107" s="897"/>
      <c r="ATT107" s="897"/>
      <c r="ATU107" s="897"/>
      <c r="ATV107" s="897"/>
      <c r="ATW107" s="895"/>
      <c r="ATX107" s="895"/>
      <c r="ATY107" s="896"/>
      <c r="ATZ107" s="897"/>
      <c r="AUA107" s="897"/>
      <c r="AUB107" s="897"/>
      <c r="AUC107" s="897"/>
      <c r="AUD107" s="897"/>
      <c r="AUE107" s="897"/>
      <c r="AUF107" s="897"/>
      <c r="AUG107" s="897"/>
      <c r="AUH107" s="895"/>
      <c r="AUI107" s="895"/>
      <c r="AUJ107" s="896"/>
      <c r="AUK107" s="897"/>
      <c r="AUL107" s="897"/>
      <c r="AUM107" s="897"/>
      <c r="AUN107" s="897"/>
      <c r="AUO107" s="897"/>
      <c r="AUP107" s="897"/>
      <c r="AUQ107" s="897"/>
      <c r="AUR107" s="897"/>
      <c r="AUS107" s="895"/>
      <c r="AUT107" s="895"/>
      <c r="AUU107" s="896"/>
      <c r="AUV107" s="897"/>
      <c r="AUW107" s="897"/>
      <c r="AUX107" s="897"/>
      <c r="AUY107" s="897"/>
      <c r="AUZ107" s="897"/>
      <c r="AVA107" s="897"/>
      <c r="AVB107" s="897"/>
      <c r="AVC107" s="897"/>
      <c r="AVD107" s="895"/>
      <c r="AVE107" s="895"/>
      <c r="AVF107" s="896"/>
      <c r="AVG107" s="897"/>
      <c r="AVH107" s="897"/>
      <c r="AVI107" s="897"/>
      <c r="AVJ107" s="897"/>
      <c r="AVK107" s="897"/>
      <c r="AVL107" s="897"/>
      <c r="AVM107" s="897"/>
      <c r="AVN107" s="897"/>
      <c r="AVO107" s="895"/>
      <c r="AVP107" s="895"/>
      <c r="AVQ107" s="896"/>
      <c r="AVR107" s="897"/>
      <c r="AVS107" s="897"/>
      <c r="AVT107" s="897"/>
      <c r="AVU107" s="897"/>
      <c r="AVV107" s="897"/>
      <c r="AVW107" s="897"/>
      <c r="AVX107" s="897"/>
      <c r="AVY107" s="897"/>
      <c r="AVZ107" s="895"/>
      <c r="AWA107" s="895"/>
      <c r="AWB107" s="896"/>
      <c r="AWC107" s="897"/>
      <c r="AWD107" s="897"/>
      <c r="AWE107" s="897"/>
      <c r="AWF107" s="897"/>
      <c r="AWG107" s="897"/>
      <c r="AWH107" s="897"/>
      <c r="AWI107" s="897"/>
      <c r="AWJ107" s="897"/>
      <c r="AWK107" s="895"/>
      <c r="AWL107" s="895"/>
      <c r="AWM107" s="896"/>
      <c r="AWN107" s="897"/>
      <c r="AWO107" s="897"/>
      <c r="AWP107" s="897"/>
      <c r="AWQ107" s="897"/>
      <c r="AWR107" s="897"/>
      <c r="AWS107" s="897"/>
      <c r="AWT107" s="897"/>
      <c r="AWU107" s="897"/>
      <c r="AWV107" s="895"/>
      <c r="AWW107" s="895"/>
      <c r="AWX107" s="896"/>
      <c r="AWY107" s="897"/>
      <c r="AWZ107" s="897"/>
      <c r="AXA107" s="897"/>
      <c r="AXB107" s="897"/>
      <c r="AXC107" s="897"/>
      <c r="AXD107" s="897"/>
      <c r="AXE107" s="897"/>
      <c r="AXF107" s="897"/>
      <c r="AXG107" s="895"/>
      <c r="AXH107" s="895"/>
      <c r="AXI107" s="896"/>
      <c r="AXJ107" s="897"/>
      <c r="AXK107" s="897"/>
      <c r="AXL107" s="897"/>
      <c r="AXM107" s="897"/>
      <c r="AXN107" s="897"/>
      <c r="AXO107" s="897"/>
      <c r="AXP107" s="897"/>
      <c r="AXQ107" s="897"/>
      <c r="AXR107" s="895"/>
      <c r="AXS107" s="895"/>
      <c r="AXT107" s="896"/>
      <c r="AXU107" s="897"/>
      <c r="AXV107" s="897"/>
      <c r="AXW107" s="897"/>
      <c r="AXX107" s="897"/>
      <c r="AXY107" s="897"/>
      <c r="AXZ107" s="897"/>
      <c r="AYA107" s="897"/>
      <c r="AYB107" s="897"/>
      <c r="AYC107" s="895"/>
      <c r="AYD107" s="895"/>
      <c r="AYE107" s="896"/>
      <c r="AYF107" s="897"/>
      <c r="AYG107" s="897"/>
      <c r="AYH107" s="897"/>
      <c r="AYI107" s="897"/>
      <c r="AYJ107" s="897"/>
      <c r="AYK107" s="897"/>
      <c r="AYL107" s="897"/>
      <c r="AYM107" s="897"/>
      <c r="AYN107" s="895"/>
      <c r="AYO107" s="895"/>
      <c r="AYP107" s="896"/>
      <c r="AYQ107" s="897"/>
      <c r="AYR107" s="897"/>
      <c r="AYS107" s="897"/>
      <c r="AYT107" s="897"/>
      <c r="AYU107" s="897"/>
      <c r="AYV107" s="897"/>
      <c r="AYW107" s="897"/>
      <c r="AYX107" s="897"/>
      <c r="AYY107" s="895"/>
      <c r="AYZ107" s="895"/>
      <c r="AZA107" s="896"/>
      <c r="AZB107" s="897"/>
      <c r="AZC107" s="897"/>
      <c r="AZD107" s="897"/>
      <c r="AZE107" s="897"/>
      <c r="AZF107" s="897"/>
      <c r="AZG107" s="897"/>
      <c r="AZH107" s="897"/>
      <c r="AZI107" s="897"/>
      <c r="AZJ107" s="895"/>
      <c r="AZK107" s="895"/>
      <c r="AZL107" s="896"/>
      <c r="AZM107" s="897"/>
      <c r="AZN107" s="897"/>
      <c r="AZO107" s="897"/>
      <c r="AZP107" s="897"/>
      <c r="AZQ107" s="897"/>
      <c r="AZR107" s="897"/>
      <c r="AZS107" s="897"/>
      <c r="AZT107" s="897"/>
      <c r="AZU107" s="895"/>
      <c r="AZV107" s="895"/>
      <c r="AZW107" s="896"/>
      <c r="AZX107" s="897"/>
      <c r="AZY107" s="897"/>
      <c r="AZZ107" s="897"/>
      <c r="BAA107" s="897"/>
      <c r="BAB107" s="897"/>
      <c r="BAC107" s="897"/>
      <c r="BAD107" s="897"/>
      <c r="BAE107" s="897"/>
      <c r="BAF107" s="895"/>
      <c r="BAG107" s="895"/>
      <c r="BAH107" s="896"/>
      <c r="BAI107" s="897"/>
      <c r="BAJ107" s="897"/>
      <c r="BAK107" s="897"/>
      <c r="BAL107" s="897"/>
      <c r="BAM107" s="897"/>
      <c r="BAN107" s="897"/>
      <c r="BAO107" s="897"/>
      <c r="BAP107" s="897"/>
      <c r="BAQ107" s="895"/>
      <c r="BAR107" s="895"/>
      <c r="BAS107" s="896"/>
      <c r="BAT107" s="897"/>
      <c r="BAU107" s="897"/>
      <c r="BAV107" s="897"/>
      <c r="BAW107" s="897"/>
      <c r="BAX107" s="897"/>
      <c r="BAY107" s="897"/>
      <c r="BAZ107" s="897"/>
      <c r="BBA107" s="897"/>
      <c r="BBB107" s="895"/>
      <c r="BBC107" s="895"/>
      <c r="BBD107" s="896"/>
      <c r="BBE107" s="897"/>
      <c r="BBF107" s="897"/>
      <c r="BBG107" s="897"/>
      <c r="BBH107" s="897"/>
      <c r="BBI107" s="897"/>
      <c r="BBJ107" s="897"/>
      <c r="BBK107" s="897"/>
      <c r="BBL107" s="897"/>
      <c r="BBM107" s="895"/>
      <c r="BBN107" s="895"/>
      <c r="BBO107" s="896"/>
      <c r="BBP107" s="897"/>
      <c r="BBQ107" s="897"/>
      <c r="BBR107" s="897"/>
      <c r="BBS107" s="897"/>
      <c r="BBT107" s="897"/>
      <c r="BBU107" s="897"/>
      <c r="BBV107" s="897"/>
      <c r="BBW107" s="897"/>
      <c r="BBX107" s="895"/>
      <c r="BBY107" s="895"/>
      <c r="BBZ107" s="896"/>
      <c r="BCA107" s="897"/>
      <c r="BCB107" s="897"/>
      <c r="BCC107" s="897"/>
      <c r="BCD107" s="897"/>
      <c r="BCE107" s="897"/>
      <c r="BCF107" s="897"/>
      <c r="BCG107" s="897"/>
      <c r="BCH107" s="897"/>
      <c r="BCI107" s="895"/>
      <c r="BCJ107" s="895"/>
      <c r="BCK107" s="896"/>
      <c r="BCL107" s="897"/>
      <c r="BCM107" s="897"/>
      <c r="BCN107" s="897"/>
      <c r="BCO107" s="897"/>
      <c r="BCP107" s="897"/>
      <c r="BCQ107" s="897"/>
      <c r="BCR107" s="897"/>
      <c r="BCS107" s="897"/>
      <c r="BCT107" s="895"/>
      <c r="BCU107" s="895"/>
      <c r="BCV107" s="896"/>
      <c r="BCW107" s="897"/>
      <c r="BCX107" s="897"/>
      <c r="BCY107" s="897"/>
      <c r="BCZ107" s="897"/>
      <c r="BDA107" s="897"/>
      <c r="BDB107" s="897"/>
      <c r="BDC107" s="897"/>
      <c r="BDD107" s="897"/>
      <c r="BDE107" s="895"/>
      <c r="BDF107" s="895"/>
      <c r="BDG107" s="896"/>
      <c r="BDH107" s="897"/>
      <c r="BDI107" s="897"/>
      <c r="BDJ107" s="897"/>
      <c r="BDK107" s="897"/>
      <c r="BDL107" s="897"/>
      <c r="BDM107" s="897"/>
      <c r="BDN107" s="897"/>
      <c r="BDO107" s="897"/>
      <c r="BDP107" s="895"/>
      <c r="BDQ107" s="895"/>
      <c r="BDR107" s="896"/>
      <c r="BDS107" s="897"/>
      <c r="BDT107" s="897"/>
      <c r="BDU107" s="897"/>
      <c r="BDV107" s="897"/>
      <c r="BDW107" s="897"/>
      <c r="BDX107" s="897"/>
      <c r="BDY107" s="897"/>
      <c r="BDZ107" s="897"/>
      <c r="BEA107" s="895"/>
      <c r="BEB107" s="895"/>
      <c r="BEC107" s="896"/>
      <c r="BED107" s="897"/>
      <c r="BEE107" s="897"/>
      <c r="BEF107" s="897"/>
      <c r="BEG107" s="897"/>
      <c r="BEH107" s="897"/>
      <c r="BEI107" s="897"/>
      <c r="BEJ107" s="897"/>
      <c r="BEK107" s="897"/>
      <c r="BEL107" s="895"/>
      <c r="BEM107" s="895"/>
      <c r="BEN107" s="896"/>
      <c r="BEO107" s="897"/>
      <c r="BEP107" s="897"/>
      <c r="BEQ107" s="897"/>
      <c r="BER107" s="897"/>
      <c r="BES107" s="897"/>
      <c r="BET107" s="897"/>
      <c r="BEU107" s="897"/>
      <c r="BEV107" s="897"/>
      <c r="BEW107" s="895"/>
      <c r="BEX107" s="895"/>
      <c r="BEY107" s="896"/>
      <c r="BEZ107" s="897"/>
      <c r="BFA107" s="897"/>
      <c r="BFB107" s="897"/>
      <c r="BFC107" s="897"/>
      <c r="BFD107" s="897"/>
      <c r="BFE107" s="897"/>
      <c r="BFF107" s="897"/>
      <c r="BFG107" s="897"/>
      <c r="BFH107" s="895"/>
      <c r="BFI107" s="895"/>
      <c r="BFJ107" s="896"/>
      <c r="BFK107" s="897"/>
      <c r="BFL107" s="897"/>
      <c r="BFM107" s="897"/>
      <c r="BFN107" s="897"/>
      <c r="BFO107" s="897"/>
      <c r="BFP107" s="897"/>
      <c r="BFQ107" s="897"/>
      <c r="BFR107" s="897"/>
      <c r="BFS107" s="895"/>
      <c r="BFT107" s="895"/>
      <c r="BFU107" s="896"/>
      <c r="BFV107" s="897"/>
      <c r="BFW107" s="897"/>
      <c r="BFX107" s="897"/>
      <c r="BFY107" s="897"/>
      <c r="BFZ107" s="897"/>
      <c r="BGA107" s="897"/>
      <c r="BGB107" s="897"/>
      <c r="BGC107" s="897"/>
      <c r="BGD107" s="895"/>
      <c r="BGE107" s="895"/>
      <c r="BGF107" s="896"/>
      <c r="BGG107" s="897"/>
      <c r="BGH107" s="897"/>
      <c r="BGI107" s="897"/>
      <c r="BGJ107" s="897"/>
      <c r="BGK107" s="897"/>
      <c r="BGL107" s="897"/>
      <c r="BGM107" s="897"/>
      <c r="BGN107" s="897"/>
      <c r="BGO107" s="895"/>
      <c r="BGP107" s="895"/>
      <c r="BGQ107" s="896"/>
      <c r="BGR107" s="897"/>
      <c r="BGS107" s="897"/>
      <c r="BGT107" s="897"/>
      <c r="BGU107" s="897"/>
      <c r="BGV107" s="897"/>
      <c r="BGW107" s="897"/>
      <c r="BGX107" s="897"/>
      <c r="BGY107" s="897"/>
      <c r="BGZ107" s="895"/>
      <c r="BHA107" s="895"/>
      <c r="BHB107" s="896"/>
      <c r="BHC107" s="897"/>
      <c r="BHD107" s="897"/>
      <c r="BHE107" s="897"/>
      <c r="BHF107" s="897"/>
      <c r="BHG107" s="897"/>
      <c r="BHH107" s="897"/>
      <c r="BHI107" s="897"/>
      <c r="BHJ107" s="897"/>
      <c r="BHK107" s="895"/>
      <c r="BHL107" s="895"/>
      <c r="BHM107" s="896"/>
      <c r="BHN107" s="897"/>
      <c r="BHO107" s="897"/>
      <c r="BHP107" s="897"/>
      <c r="BHQ107" s="897"/>
      <c r="BHR107" s="897"/>
      <c r="BHS107" s="897"/>
      <c r="BHT107" s="897"/>
      <c r="BHU107" s="897"/>
      <c r="BHV107" s="895"/>
      <c r="BHW107" s="895"/>
      <c r="BHX107" s="896"/>
      <c r="BHY107" s="897"/>
      <c r="BHZ107" s="897"/>
      <c r="BIA107" s="897"/>
      <c r="BIB107" s="897"/>
      <c r="BIC107" s="897"/>
      <c r="BID107" s="897"/>
      <c r="BIE107" s="897"/>
      <c r="BIF107" s="897"/>
      <c r="BIG107" s="895"/>
      <c r="BIH107" s="895"/>
      <c r="BII107" s="896"/>
      <c r="BIJ107" s="897"/>
      <c r="BIK107" s="897"/>
      <c r="BIL107" s="897"/>
      <c r="BIM107" s="897"/>
      <c r="BIN107" s="897"/>
      <c r="BIO107" s="897"/>
      <c r="BIP107" s="897"/>
      <c r="BIQ107" s="897"/>
      <c r="BIR107" s="895"/>
      <c r="BIS107" s="895"/>
      <c r="BIT107" s="896"/>
      <c r="BIU107" s="897"/>
      <c r="BIV107" s="897"/>
      <c r="BIW107" s="897"/>
      <c r="BIX107" s="897"/>
      <c r="BIY107" s="897"/>
      <c r="BIZ107" s="897"/>
      <c r="BJA107" s="897"/>
      <c r="BJB107" s="897"/>
      <c r="BJC107" s="895"/>
      <c r="BJD107" s="895"/>
      <c r="BJE107" s="896"/>
      <c r="BJF107" s="897"/>
      <c r="BJG107" s="897"/>
      <c r="BJH107" s="897"/>
      <c r="BJI107" s="897"/>
      <c r="BJJ107" s="897"/>
      <c r="BJK107" s="897"/>
      <c r="BJL107" s="897"/>
      <c r="BJM107" s="897"/>
      <c r="BJN107" s="895"/>
      <c r="BJO107" s="895"/>
      <c r="BJP107" s="896"/>
      <c r="BJQ107" s="897"/>
      <c r="BJR107" s="897"/>
      <c r="BJS107" s="897"/>
      <c r="BJT107" s="897"/>
      <c r="BJU107" s="897"/>
      <c r="BJV107" s="897"/>
      <c r="BJW107" s="897"/>
      <c r="BJX107" s="897"/>
      <c r="BJY107" s="895"/>
      <c r="BJZ107" s="895"/>
      <c r="BKA107" s="896"/>
      <c r="BKB107" s="897"/>
      <c r="BKC107" s="897"/>
      <c r="BKD107" s="897"/>
      <c r="BKE107" s="897"/>
      <c r="BKF107" s="897"/>
      <c r="BKG107" s="897"/>
      <c r="BKH107" s="897"/>
      <c r="BKI107" s="897"/>
      <c r="BKJ107" s="895"/>
      <c r="BKK107" s="895"/>
      <c r="BKL107" s="896"/>
      <c r="BKM107" s="897"/>
      <c r="BKN107" s="897"/>
      <c r="BKO107" s="897"/>
      <c r="BKP107" s="897"/>
      <c r="BKQ107" s="897"/>
      <c r="BKR107" s="897"/>
      <c r="BKS107" s="897"/>
      <c r="BKT107" s="897"/>
      <c r="BKU107" s="895"/>
      <c r="BKV107" s="895"/>
      <c r="BKW107" s="896"/>
      <c r="BKX107" s="897"/>
      <c r="BKY107" s="897"/>
      <c r="BKZ107" s="897"/>
      <c r="BLA107" s="897"/>
      <c r="BLB107" s="897"/>
      <c r="BLC107" s="897"/>
      <c r="BLD107" s="897"/>
      <c r="BLE107" s="897"/>
      <c r="BLF107" s="895"/>
      <c r="BLG107" s="895"/>
      <c r="BLH107" s="896"/>
      <c r="BLI107" s="897"/>
      <c r="BLJ107" s="897"/>
      <c r="BLK107" s="897"/>
      <c r="BLL107" s="897"/>
      <c r="BLM107" s="897"/>
      <c r="BLN107" s="897"/>
      <c r="BLO107" s="897"/>
      <c r="BLP107" s="897"/>
      <c r="BLQ107" s="895"/>
      <c r="BLR107" s="895"/>
      <c r="BLS107" s="896"/>
      <c r="BLT107" s="897"/>
      <c r="BLU107" s="897"/>
      <c r="BLV107" s="897"/>
      <c r="BLW107" s="897"/>
      <c r="BLX107" s="897"/>
      <c r="BLY107" s="897"/>
      <c r="BLZ107" s="897"/>
      <c r="BMA107" s="897"/>
      <c r="BMB107" s="895"/>
      <c r="BMC107" s="895"/>
      <c r="BMD107" s="896"/>
      <c r="BME107" s="897"/>
      <c r="BMF107" s="897"/>
      <c r="BMG107" s="897"/>
      <c r="BMH107" s="897"/>
      <c r="BMI107" s="897"/>
      <c r="BMJ107" s="897"/>
      <c r="BMK107" s="897"/>
      <c r="BML107" s="897"/>
      <c r="BMM107" s="895"/>
      <c r="BMN107" s="895"/>
      <c r="BMO107" s="896"/>
      <c r="BMP107" s="897"/>
      <c r="BMQ107" s="897"/>
      <c r="BMR107" s="897"/>
      <c r="BMS107" s="897"/>
      <c r="BMT107" s="897"/>
      <c r="BMU107" s="897"/>
      <c r="BMV107" s="897"/>
      <c r="BMW107" s="897"/>
      <c r="BMX107" s="895"/>
      <c r="BMY107" s="895"/>
      <c r="BMZ107" s="896"/>
      <c r="BNA107" s="897"/>
      <c r="BNB107" s="897"/>
      <c r="BNC107" s="897"/>
      <c r="BND107" s="897"/>
      <c r="BNE107" s="897"/>
      <c r="BNF107" s="897"/>
      <c r="BNG107" s="897"/>
      <c r="BNH107" s="897"/>
      <c r="BNI107" s="895"/>
      <c r="BNJ107" s="895"/>
      <c r="BNK107" s="896"/>
      <c r="BNL107" s="897"/>
      <c r="BNM107" s="897"/>
      <c r="BNN107" s="897"/>
      <c r="BNO107" s="897"/>
      <c r="BNP107" s="897"/>
      <c r="BNQ107" s="897"/>
      <c r="BNR107" s="897"/>
      <c r="BNS107" s="897"/>
      <c r="BNT107" s="895"/>
      <c r="BNU107" s="895"/>
      <c r="BNV107" s="896"/>
      <c r="BNW107" s="897"/>
      <c r="BNX107" s="897"/>
      <c r="BNY107" s="897"/>
      <c r="BNZ107" s="897"/>
      <c r="BOA107" s="897"/>
      <c r="BOB107" s="897"/>
      <c r="BOC107" s="897"/>
      <c r="BOD107" s="897"/>
      <c r="BOE107" s="895"/>
      <c r="BOF107" s="895"/>
      <c r="BOG107" s="896"/>
      <c r="BOH107" s="897"/>
      <c r="BOI107" s="897"/>
      <c r="BOJ107" s="897"/>
      <c r="BOK107" s="897"/>
      <c r="BOL107" s="897"/>
      <c r="BOM107" s="897"/>
      <c r="BON107" s="897"/>
      <c r="BOO107" s="897"/>
      <c r="BOP107" s="895"/>
      <c r="BOQ107" s="895"/>
      <c r="BOR107" s="896"/>
      <c r="BOS107" s="897"/>
      <c r="BOT107" s="897"/>
      <c r="BOU107" s="897"/>
      <c r="BOV107" s="897"/>
      <c r="BOW107" s="897"/>
      <c r="BOX107" s="897"/>
      <c r="BOY107" s="897"/>
      <c r="BOZ107" s="897"/>
      <c r="BPA107" s="895"/>
      <c r="BPB107" s="895"/>
      <c r="BPC107" s="896"/>
      <c r="BPD107" s="897"/>
      <c r="BPE107" s="897"/>
      <c r="BPF107" s="897"/>
      <c r="BPG107" s="897"/>
      <c r="BPH107" s="897"/>
      <c r="BPI107" s="897"/>
      <c r="BPJ107" s="897"/>
      <c r="BPK107" s="897"/>
      <c r="BPL107" s="895"/>
      <c r="BPM107" s="895"/>
      <c r="BPN107" s="896"/>
      <c r="BPO107" s="897"/>
      <c r="BPP107" s="897"/>
      <c r="BPQ107" s="897"/>
      <c r="BPR107" s="897"/>
      <c r="BPS107" s="897"/>
      <c r="BPT107" s="897"/>
      <c r="BPU107" s="897"/>
      <c r="BPV107" s="897"/>
      <c r="BPW107" s="895"/>
      <c r="BPX107" s="895"/>
      <c r="BPY107" s="896"/>
      <c r="BPZ107" s="897"/>
      <c r="BQA107" s="897"/>
      <c r="BQB107" s="897"/>
      <c r="BQC107" s="897"/>
      <c r="BQD107" s="897"/>
      <c r="BQE107" s="897"/>
      <c r="BQF107" s="897"/>
      <c r="BQG107" s="897"/>
      <c r="BQH107" s="895"/>
      <c r="BQI107" s="895"/>
      <c r="BQJ107" s="896"/>
      <c r="BQK107" s="897"/>
      <c r="BQL107" s="897"/>
      <c r="BQM107" s="897"/>
      <c r="BQN107" s="897"/>
      <c r="BQO107" s="897"/>
      <c r="BQP107" s="897"/>
      <c r="BQQ107" s="897"/>
      <c r="BQR107" s="897"/>
      <c r="BQS107" s="895"/>
      <c r="BQT107" s="895"/>
      <c r="BQU107" s="896"/>
      <c r="BQV107" s="897"/>
      <c r="BQW107" s="897"/>
      <c r="BQX107" s="897"/>
      <c r="BQY107" s="897"/>
      <c r="BQZ107" s="897"/>
      <c r="BRA107" s="897"/>
      <c r="BRB107" s="897"/>
      <c r="BRC107" s="897"/>
      <c r="BRD107" s="895"/>
      <c r="BRE107" s="895"/>
      <c r="BRF107" s="896"/>
      <c r="BRG107" s="897"/>
      <c r="BRH107" s="897"/>
      <c r="BRI107" s="897"/>
      <c r="BRJ107" s="897"/>
      <c r="BRK107" s="897"/>
      <c r="BRL107" s="897"/>
      <c r="BRM107" s="897"/>
      <c r="BRN107" s="897"/>
      <c r="BRO107" s="895"/>
      <c r="BRP107" s="895"/>
      <c r="BRQ107" s="896"/>
      <c r="BRR107" s="897"/>
      <c r="BRS107" s="897"/>
      <c r="BRT107" s="897"/>
      <c r="BRU107" s="897"/>
      <c r="BRV107" s="897"/>
      <c r="BRW107" s="897"/>
      <c r="BRX107" s="897"/>
      <c r="BRY107" s="897"/>
      <c r="BRZ107" s="895"/>
      <c r="BSA107" s="895"/>
      <c r="BSB107" s="896"/>
      <c r="BSC107" s="897"/>
      <c r="BSD107" s="897"/>
      <c r="BSE107" s="897"/>
      <c r="BSF107" s="897"/>
      <c r="BSG107" s="897"/>
      <c r="BSH107" s="897"/>
      <c r="BSI107" s="897"/>
      <c r="BSJ107" s="897"/>
      <c r="BSK107" s="895"/>
      <c r="BSL107" s="895"/>
      <c r="BSM107" s="896"/>
      <c r="BSN107" s="897"/>
      <c r="BSO107" s="897"/>
      <c r="BSP107" s="897"/>
      <c r="BSQ107" s="897"/>
      <c r="BSR107" s="897"/>
      <c r="BSS107" s="897"/>
      <c r="BST107" s="897"/>
      <c r="BSU107" s="897"/>
      <c r="BSV107" s="895"/>
      <c r="BSW107" s="895"/>
      <c r="BSX107" s="896"/>
      <c r="BSY107" s="897"/>
      <c r="BSZ107" s="897"/>
      <c r="BTA107" s="897"/>
      <c r="BTB107" s="897"/>
      <c r="BTC107" s="897"/>
      <c r="BTD107" s="897"/>
      <c r="BTE107" s="897"/>
      <c r="BTF107" s="897"/>
      <c r="BTG107" s="895"/>
      <c r="BTH107" s="895"/>
      <c r="BTI107" s="896"/>
      <c r="BTJ107" s="897"/>
      <c r="BTK107" s="897"/>
      <c r="BTL107" s="897"/>
      <c r="BTM107" s="897"/>
      <c r="BTN107" s="897"/>
      <c r="BTO107" s="897"/>
      <c r="BTP107" s="897"/>
      <c r="BTQ107" s="897"/>
      <c r="BTR107" s="895"/>
      <c r="BTS107" s="895"/>
      <c r="BTT107" s="896"/>
      <c r="BTU107" s="897"/>
      <c r="BTV107" s="897"/>
      <c r="BTW107" s="897"/>
      <c r="BTX107" s="897"/>
      <c r="BTY107" s="897"/>
      <c r="BTZ107" s="897"/>
      <c r="BUA107" s="897"/>
      <c r="BUB107" s="897"/>
      <c r="BUC107" s="895"/>
      <c r="BUD107" s="895"/>
      <c r="BUE107" s="896"/>
      <c r="BUF107" s="897"/>
      <c r="BUG107" s="897"/>
      <c r="BUH107" s="897"/>
      <c r="BUI107" s="897"/>
      <c r="BUJ107" s="897"/>
      <c r="BUK107" s="897"/>
      <c r="BUL107" s="897"/>
      <c r="BUM107" s="897"/>
      <c r="BUN107" s="895"/>
      <c r="BUO107" s="895"/>
      <c r="BUP107" s="896"/>
      <c r="BUQ107" s="897"/>
      <c r="BUR107" s="897"/>
      <c r="BUS107" s="897"/>
      <c r="BUT107" s="897"/>
      <c r="BUU107" s="897"/>
      <c r="BUV107" s="897"/>
      <c r="BUW107" s="897"/>
      <c r="BUX107" s="897"/>
      <c r="BUY107" s="895"/>
      <c r="BUZ107" s="895"/>
      <c r="BVA107" s="896"/>
      <c r="BVB107" s="897"/>
      <c r="BVC107" s="897"/>
      <c r="BVD107" s="897"/>
      <c r="BVE107" s="897"/>
      <c r="BVF107" s="897"/>
      <c r="BVG107" s="897"/>
      <c r="BVH107" s="897"/>
      <c r="BVI107" s="897"/>
      <c r="BVJ107" s="895"/>
      <c r="BVK107" s="895"/>
      <c r="BVL107" s="896"/>
      <c r="BVM107" s="897"/>
      <c r="BVN107" s="897"/>
      <c r="BVO107" s="897"/>
      <c r="BVP107" s="897"/>
      <c r="BVQ107" s="897"/>
      <c r="BVR107" s="897"/>
      <c r="BVS107" s="897"/>
      <c r="BVT107" s="897"/>
      <c r="BVU107" s="895"/>
      <c r="BVV107" s="895"/>
      <c r="BVW107" s="896"/>
      <c r="BVX107" s="897"/>
      <c r="BVY107" s="897"/>
      <c r="BVZ107" s="897"/>
      <c r="BWA107" s="897"/>
      <c r="BWB107" s="897"/>
      <c r="BWC107" s="897"/>
      <c r="BWD107" s="897"/>
      <c r="BWE107" s="897"/>
      <c r="BWF107" s="895"/>
      <c r="BWG107" s="895"/>
      <c r="BWH107" s="896"/>
      <c r="BWI107" s="897"/>
      <c r="BWJ107" s="897"/>
      <c r="BWK107" s="897"/>
      <c r="BWL107" s="897"/>
      <c r="BWM107" s="897"/>
      <c r="BWN107" s="897"/>
      <c r="BWO107" s="897"/>
      <c r="BWP107" s="897"/>
      <c r="BWQ107" s="895"/>
      <c r="BWR107" s="895"/>
      <c r="BWS107" s="896"/>
      <c r="BWT107" s="897"/>
      <c r="BWU107" s="897"/>
      <c r="BWV107" s="897"/>
      <c r="BWW107" s="897"/>
      <c r="BWX107" s="897"/>
      <c r="BWY107" s="897"/>
      <c r="BWZ107" s="897"/>
      <c r="BXA107" s="897"/>
      <c r="BXB107" s="895"/>
      <c r="BXC107" s="895"/>
      <c r="BXD107" s="896"/>
      <c r="BXE107" s="897"/>
      <c r="BXF107" s="897"/>
      <c r="BXG107" s="897"/>
      <c r="BXH107" s="897"/>
      <c r="BXI107" s="897"/>
      <c r="BXJ107" s="897"/>
      <c r="BXK107" s="897"/>
      <c r="BXL107" s="897"/>
      <c r="BXM107" s="895"/>
      <c r="BXN107" s="895"/>
      <c r="BXO107" s="896"/>
      <c r="BXP107" s="897"/>
      <c r="BXQ107" s="897"/>
      <c r="BXR107" s="897"/>
      <c r="BXS107" s="897"/>
      <c r="BXT107" s="897"/>
      <c r="BXU107" s="897"/>
      <c r="BXV107" s="897"/>
      <c r="BXW107" s="897"/>
      <c r="BXX107" s="895"/>
      <c r="BXY107" s="895"/>
      <c r="BXZ107" s="896"/>
      <c r="BYA107" s="897"/>
      <c r="BYB107" s="897"/>
      <c r="BYC107" s="897"/>
      <c r="BYD107" s="897"/>
      <c r="BYE107" s="897"/>
      <c r="BYF107" s="897"/>
      <c r="BYG107" s="897"/>
      <c r="BYH107" s="897"/>
      <c r="BYI107" s="895"/>
      <c r="BYJ107" s="895"/>
      <c r="BYK107" s="896"/>
      <c r="BYL107" s="897"/>
      <c r="BYM107" s="897"/>
      <c r="BYN107" s="897"/>
      <c r="BYO107" s="897"/>
      <c r="BYP107" s="897"/>
      <c r="BYQ107" s="897"/>
      <c r="BYR107" s="897"/>
      <c r="BYS107" s="897"/>
      <c r="BYT107" s="895"/>
      <c r="BYU107" s="895"/>
      <c r="BYV107" s="896"/>
      <c r="BYW107" s="897"/>
      <c r="BYX107" s="897"/>
      <c r="BYY107" s="897"/>
      <c r="BYZ107" s="897"/>
      <c r="BZA107" s="897"/>
      <c r="BZB107" s="897"/>
      <c r="BZC107" s="897"/>
      <c r="BZD107" s="897"/>
      <c r="BZE107" s="895"/>
      <c r="BZF107" s="895"/>
      <c r="BZG107" s="896"/>
      <c r="BZH107" s="897"/>
      <c r="BZI107" s="897"/>
      <c r="BZJ107" s="897"/>
      <c r="BZK107" s="897"/>
      <c r="BZL107" s="897"/>
      <c r="BZM107" s="897"/>
      <c r="BZN107" s="897"/>
      <c r="BZO107" s="897"/>
      <c r="BZP107" s="895"/>
      <c r="BZQ107" s="895"/>
      <c r="BZR107" s="896"/>
      <c r="BZS107" s="897"/>
      <c r="BZT107" s="897"/>
      <c r="BZU107" s="897"/>
      <c r="BZV107" s="897"/>
      <c r="BZW107" s="897"/>
      <c r="BZX107" s="897"/>
      <c r="BZY107" s="897"/>
      <c r="BZZ107" s="897"/>
      <c r="CAA107" s="895"/>
      <c r="CAB107" s="895"/>
      <c r="CAC107" s="896"/>
      <c r="CAD107" s="897"/>
      <c r="CAE107" s="897"/>
      <c r="CAF107" s="897"/>
      <c r="CAG107" s="897"/>
      <c r="CAH107" s="897"/>
      <c r="CAI107" s="897"/>
      <c r="CAJ107" s="897"/>
      <c r="CAK107" s="897"/>
      <c r="CAL107" s="895"/>
      <c r="CAM107" s="895"/>
      <c r="CAN107" s="896"/>
      <c r="CAO107" s="897"/>
      <c r="CAP107" s="897"/>
      <c r="CAQ107" s="897"/>
      <c r="CAR107" s="897"/>
      <c r="CAS107" s="897"/>
      <c r="CAT107" s="897"/>
      <c r="CAU107" s="897"/>
      <c r="CAV107" s="897"/>
      <c r="CAW107" s="895"/>
      <c r="CAX107" s="895"/>
      <c r="CAY107" s="896"/>
      <c r="CAZ107" s="897"/>
      <c r="CBA107" s="897"/>
      <c r="CBB107" s="897"/>
      <c r="CBC107" s="897"/>
      <c r="CBD107" s="897"/>
      <c r="CBE107" s="897"/>
      <c r="CBF107" s="897"/>
      <c r="CBG107" s="897"/>
      <c r="CBH107" s="895"/>
      <c r="CBI107" s="895"/>
      <c r="CBJ107" s="896"/>
      <c r="CBK107" s="897"/>
      <c r="CBL107" s="897"/>
      <c r="CBM107" s="897"/>
      <c r="CBN107" s="897"/>
      <c r="CBO107" s="897"/>
      <c r="CBP107" s="897"/>
      <c r="CBQ107" s="897"/>
      <c r="CBR107" s="897"/>
      <c r="CBS107" s="895"/>
      <c r="CBT107" s="895"/>
      <c r="CBU107" s="896"/>
      <c r="CBV107" s="897"/>
      <c r="CBW107" s="897"/>
      <c r="CBX107" s="897"/>
      <c r="CBY107" s="897"/>
      <c r="CBZ107" s="897"/>
      <c r="CCA107" s="897"/>
      <c r="CCB107" s="897"/>
      <c r="CCC107" s="897"/>
      <c r="CCD107" s="895"/>
      <c r="CCE107" s="895"/>
      <c r="CCF107" s="896"/>
      <c r="CCG107" s="897"/>
      <c r="CCH107" s="897"/>
      <c r="CCI107" s="897"/>
      <c r="CCJ107" s="897"/>
      <c r="CCK107" s="897"/>
      <c r="CCL107" s="897"/>
      <c r="CCM107" s="897"/>
      <c r="CCN107" s="897"/>
      <c r="CCO107" s="895"/>
      <c r="CCP107" s="895"/>
      <c r="CCQ107" s="896"/>
      <c r="CCR107" s="897"/>
      <c r="CCS107" s="897"/>
      <c r="CCT107" s="897"/>
      <c r="CCU107" s="897"/>
      <c r="CCV107" s="897"/>
      <c r="CCW107" s="897"/>
      <c r="CCX107" s="897"/>
      <c r="CCY107" s="897"/>
      <c r="CCZ107" s="895"/>
      <c r="CDA107" s="895"/>
      <c r="CDB107" s="896"/>
      <c r="CDC107" s="897"/>
      <c r="CDD107" s="897"/>
      <c r="CDE107" s="897"/>
      <c r="CDF107" s="897"/>
      <c r="CDG107" s="897"/>
      <c r="CDH107" s="897"/>
      <c r="CDI107" s="897"/>
      <c r="CDJ107" s="897"/>
      <c r="CDK107" s="895"/>
      <c r="CDL107" s="895"/>
      <c r="CDM107" s="896"/>
      <c r="CDN107" s="897"/>
      <c r="CDO107" s="897"/>
      <c r="CDP107" s="897"/>
      <c r="CDQ107" s="897"/>
      <c r="CDR107" s="897"/>
      <c r="CDS107" s="897"/>
      <c r="CDT107" s="897"/>
      <c r="CDU107" s="897"/>
      <c r="CDV107" s="895"/>
      <c r="CDW107" s="895"/>
      <c r="CDX107" s="896"/>
      <c r="CDY107" s="897"/>
      <c r="CDZ107" s="897"/>
      <c r="CEA107" s="897"/>
      <c r="CEB107" s="897"/>
      <c r="CEC107" s="897"/>
      <c r="CED107" s="897"/>
      <c r="CEE107" s="897"/>
      <c r="CEF107" s="897"/>
      <c r="CEG107" s="895"/>
      <c r="CEH107" s="895"/>
      <c r="CEI107" s="896"/>
      <c r="CEJ107" s="897"/>
      <c r="CEK107" s="897"/>
      <c r="CEL107" s="897"/>
      <c r="CEM107" s="897"/>
      <c r="CEN107" s="897"/>
      <c r="CEO107" s="897"/>
      <c r="CEP107" s="897"/>
      <c r="CEQ107" s="897"/>
      <c r="CER107" s="895"/>
      <c r="CES107" s="895"/>
      <c r="CET107" s="896"/>
      <c r="CEU107" s="897"/>
      <c r="CEV107" s="897"/>
      <c r="CEW107" s="897"/>
      <c r="CEX107" s="897"/>
      <c r="CEY107" s="897"/>
      <c r="CEZ107" s="897"/>
      <c r="CFA107" s="897"/>
      <c r="CFB107" s="897"/>
      <c r="CFC107" s="895"/>
      <c r="CFD107" s="895"/>
      <c r="CFE107" s="896"/>
      <c r="CFF107" s="897"/>
      <c r="CFG107" s="897"/>
      <c r="CFH107" s="897"/>
      <c r="CFI107" s="897"/>
      <c r="CFJ107" s="897"/>
      <c r="CFK107" s="897"/>
      <c r="CFL107" s="897"/>
      <c r="CFM107" s="897"/>
      <c r="CFN107" s="895"/>
      <c r="CFO107" s="895"/>
      <c r="CFP107" s="896"/>
      <c r="CFQ107" s="897"/>
      <c r="CFR107" s="897"/>
      <c r="CFS107" s="897"/>
      <c r="CFT107" s="897"/>
      <c r="CFU107" s="897"/>
      <c r="CFV107" s="897"/>
      <c r="CFW107" s="897"/>
      <c r="CFX107" s="897"/>
      <c r="CFY107" s="895"/>
      <c r="CFZ107" s="895"/>
      <c r="CGA107" s="896"/>
      <c r="CGB107" s="897"/>
      <c r="CGC107" s="897"/>
      <c r="CGD107" s="897"/>
      <c r="CGE107" s="897"/>
      <c r="CGF107" s="897"/>
      <c r="CGG107" s="897"/>
      <c r="CGH107" s="897"/>
      <c r="CGI107" s="897"/>
      <c r="CGJ107" s="895"/>
      <c r="CGK107" s="895"/>
      <c r="CGL107" s="896"/>
      <c r="CGM107" s="897"/>
      <c r="CGN107" s="897"/>
      <c r="CGO107" s="897"/>
      <c r="CGP107" s="897"/>
      <c r="CGQ107" s="897"/>
      <c r="CGR107" s="897"/>
      <c r="CGS107" s="897"/>
      <c r="CGT107" s="897"/>
      <c r="CGU107" s="895"/>
      <c r="CGV107" s="895"/>
      <c r="CGW107" s="896"/>
      <c r="CGX107" s="897"/>
      <c r="CGY107" s="897"/>
      <c r="CGZ107" s="897"/>
      <c r="CHA107" s="897"/>
      <c r="CHB107" s="897"/>
      <c r="CHC107" s="897"/>
      <c r="CHD107" s="897"/>
      <c r="CHE107" s="897"/>
      <c r="CHF107" s="895"/>
      <c r="CHG107" s="895"/>
      <c r="CHH107" s="896"/>
      <c r="CHI107" s="897"/>
      <c r="CHJ107" s="897"/>
      <c r="CHK107" s="897"/>
      <c r="CHL107" s="897"/>
      <c r="CHM107" s="897"/>
      <c r="CHN107" s="897"/>
      <c r="CHO107" s="897"/>
      <c r="CHP107" s="897"/>
      <c r="CHQ107" s="895"/>
      <c r="CHR107" s="895"/>
      <c r="CHS107" s="896"/>
      <c r="CHT107" s="897"/>
      <c r="CHU107" s="897"/>
      <c r="CHV107" s="897"/>
      <c r="CHW107" s="897"/>
      <c r="CHX107" s="897"/>
      <c r="CHY107" s="897"/>
      <c r="CHZ107" s="897"/>
      <c r="CIA107" s="897"/>
      <c r="CIB107" s="895"/>
      <c r="CIC107" s="895"/>
      <c r="CID107" s="896"/>
      <c r="CIE107" s="897"/>
      <c r="CIF107" s="897"/>
      <c r="CIG107" s="897"/>
      <c r="CIH107" s="897"/>
      <c r="CII107" s="897"/>
      <c r="CIJ107" s="897"/>
      <c r="CIK107" s="897"/>
      <c r="CIL107" s="897"/>
      <c r="CIM107" s="895"/>
      <c r="CIN107" s="895"/>
      <c r="CIO107" s="896"/>
      <c r="CIP107" s="897"/>
      <c r="CIQ107" s="897"/>
      <c r="CIR107" s="897"/>
      <c r="CIS107" s="897"/>
      <c r="CIT107" s="897"/>
      <c r="CIU107" s="897"/>
      <c r="CIV107" s="897"/>
      <c r="CIW107" s="897"/>
      <c r="CIX107" s="895"/>
      <c r="CIY107" s="895"/>
      <c r="CIZ107" s="896"/>
      <c r="CJA107" s="897"/>
      <c r="CJB107" s="897"/>
      <c r="CJC107" s="897"/>
      <c r="CJD107" s="897"/>
      <c r="CJE107" s="897"/>
      <c r="CJF107" s="897"/>
      <c r="CJG107" s="897"/>
      <c r="CJH107" s="897"/>
      <c r="CJI107" s="895"/>
      <c r="CJJ107" s="895"/>
      <c r="CJK107" s="896"/>
      <c r="CJL107" s="897"/>
      <c r="CJM107" s="897"/>
      <c r="CJN107" s="897"/>
      <c r="CJO107" s="897"/>
      <c r="CJP107" s="897"/>
      <c r="CJQ107" s="897"/>
      <c r="CJR107" s="897"/>
      <c r="CJS107" s="897"/>
      <c r="CJT107" s="895"/>
      <c r="CJU107" s="895"/>
      <c r="CJV107" s="896"/>
      <c r="CJW107" s="897"/>
      <c r="CJX107" s="897"/>
      <c r="CJY107" s="897"/>
      <c r="CJZ107" s="897"/>
      <c r="CKA107" s="897"/>
      <c r="CKB107" s="897"/>
      <c r="CKC107" s="897"/>
      <c r="CKD107" s="897"/>
      <c r="CKE107" s="895"/>
      <c r="CKF107" s="895"/>
      <c r="CKG107" s="896"/>
      <c r="CKH107" s="897"/>
      <c r="CKI107" s="897"/>
      <c r="CKJ107" s="897"/>
      <c r="CKK107" s="897"/>
      <c r="CKL107" s="897"/>
      <c r="CKM107" s="897"/>
      <c r="CKN107" s="897"/>
      <c r="CKO107" s="897"/>
      <c r="CKP107" s="895"/>
      <c r="CKQ107" s="895"/>
      <c r="CKR107" s="896"/>
      <c r="CKS107" s="897"/>
      <c r="CKT107" s="897"/>
      <c r="CKU107" s="897"/>
      <c r="CKV107" s="897"/>
      <c r="CKW107" s="897"/>
      <c r="CKX107" s="897"/>
      <c r="CKY107" s="897"/>
      <c r="CKZ107" s="897"/>
      <c r="CLA107" s="895"/>
      <c r="CLB107" s="895"/>
      <c r="CLC107" s="896"/>
      <c r="CLD107" s="897"/>
      <c r="CLE107" s="897"/>
      <c r="CLF107" s="897"/>
      <c r="CLG107" s="897"/>
      <c r="CLH107" s="897"/>
      <c r="CLI107" s="897"/>
      <c r="CLJ107" s="897"/>
      <c r="CLK107" s="897"/>
      <c r="CLL107" s="895"/>
      <c r="CLM107" s="895"/>
      <c r="CLN107" s="896"/>
      <c r="CLO107" s="897"/>
      <c r="CLP107" s="897"/>
      <c r="CLQ107" s="897"/>
      <c r="CLR107" s="897"/>
      <c r="CLS107" s="897"/>
      <c r="CLT107" s="897"/>
      <c r="CLU107" s="897"/>
      <c r="CLV107" s="897"/>
      <c r="CLW107" s="895"/>
      <c r="CLX107" s="895"/>
      <c r="CLY107" s="896"/>
      <c r="CLZ107" s="897"/>
      <c r="CMA107" s="897"/>
      <c r="CMB107" s="897"/>
      <c r="CMC107" s="897"/>
      <c r="CMD107" s="897"/>
      <c r="CME107" s="897"/>
      <c r="CMF107" s="897"/>
      <c r="CMG107" s="897"/>
      <c r="CMH107" s="895"/>
      <c r="CMI107" s="895"/>
      <c r="CMJ107" s="896"/>
      <c r="CMK107" s="897"/>
      <c r="CML107" s="897"/>
      <c r="CMM107" s="897"/>
      <c r="CMN107" s="897"/>
      <c r="CMO107" s="897"/>
      <c r="CMP107" s="897"/>
      <c r="CMQ107" s="897"/>
      <c r="CMR107" s="897"/>
      <c r="CMS107" s="895"/>
      <c r="CMT107" s="895"/>
      <c r="CMU107" s="896"/>
      <c r="CMV107" s="897"/>
      <c r="CMW107" s="897"/>
      <c r="CMX107" s="897"/>
      <c r="CMY107" s="897"/>
      <c r="CMZ107" s="897"/>
      <c r="CNA107" s="897"/>
      <c r="CNB107" s="897"/>
      <c r="CNC107" s="897"/>
      <c r="CND107" s="895"/>
      <c r="CNE107" s="895"/>
      <c r="CNF107" s="896"/>
      <c r="CNG107" s="897"/>
      <c r="CNH107" s="897"/>
      <c r="CNI107" s="897"/>
      <c r="CNJ107" s="897"/>
      <c r="CNK107" s="897"/>
      <c r="CNL107" s="897"/>
      <c r="CNM107" s="897"/>
      <c r="CNN107" s="897"/>
      <c r="CNO107" s="895"/>
      <c r="CNP107" s="895"/>
      <c r="CNQ107" s="896"/>
      <c r="CNR107" s="897"/>
      <c r="CNS107" s="897"/>
      <c r="CNT107" s="897"/>
      <c r="CNU107" s="897"/>
      <c r="CNV107" s="897"/>
      <c r="CNW107" s="897"/>
      <c r="CNX107" s="897"/>
      <c r="CNY107" s="897"/>
      <c r="CNZ107" s="895"/>
      <c r="COA107" s="895"/>
      <c r="COB107" s="896"/>
      <c r="COC107" s="897"/>
      <c r="COD107" s="897"/>
      <c r="COE107" s="897"/>
      <c r="COF107" s="897"/>
      <c r="COG107" s="897"/>
      <c r="COH107" s="897"/>
      <c r="COI107" s="897"/>
      <c r="COJ107" s="897"/>
      <c r="COK107" s="895"/>
      <c r="COL107" s="895"/>
      <c r="COM107" s="896"/>
      <c r="CON107" s="897"/>
      <c r="COO107" s="897"/>
      <c r="COP107" s="897"/>
      <c r="COQ107" s="897"/>
      <c r="COR107" s="897"/>
      <c r="COS107" s="897"/>
      <c r="COT107" s="897"/>
      <c r="COU107" s="897"/>
      <c r="COV107" s="895"/>
      <c r="COW107" s="895"/>
      <c r="COX107" s="896"/>
      <c r="COY107" s="897"/>
      <c r="COZ107" s="897"/>
      <c r="CPA107" s="897"/>
      <c r="CPB107" s="897"/>
      <c r="CPC107" s="897"/>
      <c r="CPD107" s="897"/>
      <c r="CPE107" s="897"/>
      <c r="CPF107" s="897"/>
      <c r="CPG107" s="895"/>
      <c r="CPH107" s="895"/>
      <c r="CPI107" s="896"/>
      <c r="CPJ107" s="897"/>
      <c r="CPK107" s="897"/>
      <c r="CPL107" s="897"/>
      <c r="CPM107" s="897"/>
      <c r="CPN107" s="897"/>
      <c r="CPO107" s="897"/>
      <c r="CPP107" s="897"/>
      <c r="CPQ107" s="897"/>
      <c r="CPR107" s="895"/>
      <c r="CPS107" s="895"/>
      <c r="CPT107" s="896"/>
      <c r="CPU107" s="897"/>
      <c r="CPV107" s="897"/>
      <c r="CPW107" s="897"/>
      <c r="CPX107" s="897"/>
      <c r="CPY107" s="897"/>
      <c r="CPZ107" s="897"/>
      <c r="CQA107" s="897"/>
      <c r="CQB107" s="897"/>
      <c r="CQC107" s="895"/>
      <c r="CQD107" s="895"/>
      <c r="CQE107" s="896"/>
      <c r="CQF107" s="897"/>
      <c r="CQG107" s="897"/>
      <c r="CQH107" s="897"/>
      <c r="CQI107" s="897"/>
      <c r="CQJ107" s="897"/>
      <c r="CQK107" s="897"/>
      <c r="CQL107" s="897"/>
      <c r="CQM107" s="897"/>
      <c r="CQN107" s="895"/>
      <c r="CQO107" s="895"/>
      <c r="CQP107" s="896"/>
      <c r="CQQ107" s="897"/>
      <c r="CQR107" s="897"/>
      <c r="CQS107" s="897"/>
      <c r="CQT107" s="897"/>
      <c r="CQU107" s="897"/>
      <c r="CQV107" s="897"/>
      <c r="CQW107" s="897"/>
      <c r="CQX107" s="897"/>
      <c r="CQY107" s="895"/>
      <c r="CQZ107" s="895"/>
      <c r="CRA107" s="896"/>
      <c r="CRB107" s="897"/>
      <c r="CRC107" s="897"/>
      <c r="CRD107" s="897"/>
      <c r="CRE107" s="897"/>
      <c r="CRF107" s="897"/>
      <c r="CRG107" s="897"/>
      <c r="CRH107" s="897"/>
      <c r="CRI107" s="897"/>
      <c r="CRJ107" s="895"/>
      <c r="CRK107" s="895"/>
      <c r="CRL107" s="896"/>
      <c r="CRM107" s="897"/>
      <c r="CRN107" s="897"/>
      <c r="CRO107" s="897"/>
      <c r="CRP107" s="897"/>
      <c r="CRQ107" s="897"/>
      <c r="CRR107" s="897"/>
      <c r="CRS107" s="897"/>
      <c r="CRT107" s="897"/>
      <c r="CRU107" s="895"/>
      <c r="CRV107" s="895"/>
      <c r="CRW107" s="896"/>
      <c r="CRX107" s="897"/>
      <c r="CRY107" s="897"/>
      <c r="CRZ107" s="897"/>
      <c r="CSA107" s="897"/>
      <c r="CSB107" s="897"/>
      <c r="CSC107" s="897"/>
      <c r="CSD107" s="897"/>
      <c r="CSE107" s="897"/>
      <c r="CSF107" s="895"/>
      <c r="CSG107" s="895"/>
      <c r="CSH107" s="896"/>
      <c r="CSI107" s="897"/>
      <c r="CSJ107" s="897"/>
      <c r="CSK107" s="897"/>
      <c r="CSL107" s="897"/>
      <c r="CSM107" s="897"/>
      <c r="CSN107" s="897"/>
      <c r="CSO107" s="897"/>
      <c r="CSP107" s="897"/>
      <c r="CSQ107" s="895"/>
      <c r="CSR107" s="895"/>
      <c r="CSS107" s="896"/>
      <c r="CST107" s="897"/>
      <c r="CSU107" s="897"/>
      <c r="CSV107" s="897"/>
      <c r="CSW107" s="897"/>
      <c r="CSX107" s="897"/>
      <c r="CSY107" s="897"/>
      <c r="CSZ107" s="897"/>
      <c r="CTA107" s="897"/>
      <c r="CTB107" s="895"/>
      <c r="CTC107" s="895"/>
      <c r="CTD107" s="896"/>
      <c r="CTE107" s="897"/>
      <c r="CTF107" s="897"/>
      <c r="CTG107" s="897"/>
      <c r="CTH107" s="897"/>
      <c r="CTI107" s="897"/>
      <c r="CTJ107" s="897"/>
      <c r="CTK107" s="897"/>
      <c r="CTL107" s="897"/>
      <c r="CTM107" s="895"/>
      <c r="CTN107" s="895"/>
      <c r="CTO107" s="896"/>
      <c r="CTP107" s="897"/>
      <c r="CTQ107" s="897"/>
      <c r="CTR107" s="897"/>
      <c r="CTS107" s="897"/>
      <c r="CTT107" s="897"/>
      <c r="CTU107" s="897"/>
      <c r="CTV107" s="897"/>
      <c r="CTW107" s="897"/>
      <c r="CTX107" s="895"/>
      <c r="CTY107" s="895"/>
      <c r="CTZ107" s="896"/>
      <c r="CUA107" s="897"/>
      <c r="CUB107" s="897"/>
      <c r="CUC107" s="897"/>
      <c r="CUD107" s="897"/>
      <c r="CUE107" s="897"/>
      <c r="CUF107" s="897"/>
      <c r="CUG107" s="897"/>
      <c r="CUH107" s="897"/>
      <c r="CUI107" s="895"/>
      <c r="CUJ107" s="895"/>
      <c r="CUK107" s="896"/>
      <c r="CUL107" s="897"/>
      <c r="CUM107" s="897"/>
      <c r="CUN107" s="897"/>
      <c r="CUO107" s="897"/>
      <c r="CUP107" s="897"/>
      <c r="CUQ107" s="897"/>
      <c r="CUR107" s="897"/>
      <c r="CUS107" s="897"/>
      <c r="CUT107" s="895"/>
      <c r="CUU107" s="895"/>
      <c r="CUV107" s="896"/>
      <c r="CUW107" s="897"/>
      <c r="CUX107" s="897"/>
      <c r="CUY107" s="897"/>
      <c r="CUZ107" s="897"/>
      <c r="CVA107" s="897"/>
      <c r="CVB107" s="897"/>
      <c r="CVC107" s="897"/>
      <c r="CVD107" s="897"/>
      <c r="CVE107" s="895"/>
      <c r="CVF107" s="895"/>
      <c r="CVG107" s="896"/>
      <c r="CVH107" s="897"/>
      <c r="CVI107" s="897"/>
      <c r="CVJ107" s="897"/>
      <c r="CVK107" s="897"/>
      <c r="CVL107" s="897"/>
      <c r="CVM107" s="897"/>
      <c r="CVN107" s="897"/>
      <c r="CVO107" s="897"/>
      <c r="CVP107" s="895"/>
      <c r="CVQ107" s="895"/>
      <c r="CVR107" s="896"/>
      <c r="CVS107" s="897"/>
      <c r="CVT107" s="897"/>
      <c r="CVU107" s="897"/>
      <c r="CVV107" s="897"/>
      <c r="CVW107" s="897"/>
      <c r="CVX107" s="897"/>
      <c r="CVY107" s="897"/>
      <c r="CVZ107" s="897"/>
      <c r="CWA107" s="895"/>
      <c r="CWB107" s="895"/>
      <c r="CWC107" s="896"/>
      <c r="CWD107" s="897"/>
      <c r="CWE107" s="897"/>
      <c r="CWF107" s="897"/>
      <c r="CWG107" s="897"/>
      <c r="CWH107" s="897"/>
      <c r="CWI107" s="897"/>
      <c r="CWJ107" s="897"/>
      <c r="CWK107" s="897"/>
      <c r="CWL107" s="895"/>
      <c r="CWM107" s="895"/>
      <c r="CWN107" s="896"/>
      <c r="CWO107" s="897"/>
      <c r="CWP107" s="897"/>
      <c r="CWQ107" s="897"/>
      <c r="CWR107" s="897"/>
      <c r="CWS107" s="897"/>
      <c r="CWT107" s="897"/>
      <c r="CWU107" s="897"/>
      <c r="CWV107" s="897"/>
      <c r="CWW107" s="895"/>
      <c r="CWX107" s="895"/>
      <c r="CWY107" s="896"/>
      <c r="CWZ107" s="897"/>
      <c r="CXA107" s="897"/>
      <c r="CXB107" s="897"/>
      <c r="CXC107" s="897"/>
      <c r="CXD107" s="897"/>
      <c r="CXE107" s="897"/>
      <c r="CXF107" s="897"/>
      <c r="CXG107" s="897"/>
      <c r="CXH107" s="895"/>
      <c r="CXI107" s="895"/>
      <c r="CXJ107" s="896"/>
      <c r="CXK107" s="897"/>
      <c r="CXL107" s="897"/>
      <c r="CXM107" s="897"/>
      <c r="CXN107" s="897"/>
      <c r="CXO107" s="897"/>
      <c r="CXP107" s="897"/>
      <c r="CXQ107" s="897"/>
      <c r="CXR107" s="897"/>
      <c r="CXS107" s="895"/>
      <c r="CXT107" s="895"/>
      <c r="CXU107" s="896"/>
      <c r="CXV107" s="897"/>
      <c r="CXW107" s="897"/>
      <c r="CXX107" s="897"/>
      <c r="CXY107" s="897"/>
      <c r="CXZ107" s="897"/>
      <c r="CYA107" s="897"/>
      <c r="CYB107" s="897"/>
      <c r="CYC107" s="897"/>
      <c r="CYD107" s="895"/>
      <c r="CYE107" s="895"/>
      <c r="CYF107" s="896"/>
      <c r="CYG107" s="897"/>
      <c r="CYH107" s="897"/>
      <c r="CYI107" s="897"/>
      <c r="CYJ107" s="897"/>
      <c r="CYK107" s="897"/>
      <c r="CYL107" s="897"/>
      <c r="CYM107" s="897"/>
      <c r="CYN107" s="897"/>
      <c r="CYO107" s="895"/>
      <c r="CYP107" s="895"/>
      <c r="CYQ107" s="896"/>
      <c r="CYR107" s="897"/>
      <c r="CYS107" s="897"/>
      <c r="CYT107" s="897"/>
      <c r="CYU107" s="897"/>
      <c r="CYV107" s="897"/>
      <c r="CYW107" s="897"/>
      <c r="CYX107" s="897"/>
      <c r="CYY107" s="897"/>
      <c r="CYZ107" s="895"/>
      <c r="CZA107" s="895"/>
      <c r="CZB107" s="896"/>
      <c r="CZC107" s="897"/>
      <c r="CZD107" s="897"/>
      <c r="CZE107" s="897"/>
      <c r="CZF107" s="897"/>
      <c r="CZG107" s="897"/>
      <c r="CZH107" s="897"/>
      <c r="CZI107" s="897"/>
      <c r="CZJ107" s="897"/>
      <c r="CZK107" s="895"/>
      <c r="CZL107" s="895"/>
      <c r="CZM107" s="896"/>
      <c r="CZN107" s="897"/>
      <c r="CZO107" s="897"/>
      <c r="CZP107" s="897"/>
      <c r="CZQ107" s="897"/>
      <c r="CZR107" s="897"/>
      <c r="CZS107" s="897"/>
      <c r="CZT107" s="897"/>
      <c r="CZU107" s="897"/>
      <c r="CZV107" s="895"/>
      <c r="CZW107" s="895"/>
      <c r="CZX107" s="896"/>
      <c r="CZY107" s="897"/>
      <c r="CZZ107" s="897"/>
      <c r="DAA107" s="897"/>
      <c r="DAB107" s="897"/>
      <c r="DAC107" s="897"/>
      <c r="DAD107" s="897"/>
      <c r="DAE107" s="897"/>
      <c r="DAF107" s="897"/>
      <c r="DAG107" s="895"/>
      <c r="DAH107" s="895"/>
      <c r="DAI107" s="896"/>
      <c r="DAJ107" s="897"/>
      <c r="DAK107" s="897"/>
      <c r="DAL107" s="897"/>
      <c r="DAM107" s="897"/>
      <c r="DAN107" s="897"/>
      <c r="DAO107" s="897"/>
      <c r="DAP107" s="897"/>
      <c r="DAQ107" s="897"/>
      <c r="DAR107" s="895"/>
      <c r="DAS107" s="895"/>
      <c r="DAT107" s="896"/>
      <c r="DAU107" s="897"/>
      <c r="DAV107" s="897"/>
      <c r="DAW107" s="897"/>
      <c r="DAX107" s="897"/>
      <c r="DAY107" s="897"/>
      <c r="DAZ107" s="897"/>
      <c r="DBA107" s="897"/>
      <c r="DBB107" s="897"/>
      <c r="DBC107" s="895"/>
      <c r="DBD107" s="895"/>
      <c r="DBE107" s="896"/>
      <c r="DBF107" s="897"/>
      <c r="DBG107" s="897"/>
      <c r="DBH107" s="897"/>
      <c r="DBI107" s="897"/>
      <c r="DBJ107" s="897"/>
      <c r="DBK107" s="897"/>
      <c r="DBL107" s="897"/>
      <c r="DBM107" s="897"/>
      <c r="DBN107" s="895"/>
      <c r="DBO107" s="895"/>
      <c r="DBP107" s="896"/>
      <c r="DBQ107" s="897"/>
      <c r="DBR107" s="897"/>
      <c r="DBS107" s="897"/>
      <c r="DBT107" s="897"/>
      <c r="DBU107" s="897"/>
      <c r="DBV107" s="897"/>
      <c r="DBW107" s="897"/>
      <c r="DBX107" s="897"/>
      <c r="DBY107" s="895"/>
      <c r="DBZ107" s="895"/>
      <c r="DCA107" s="896"/>
      <c r="DCB107" s="897"/>
      <c r="DCC107" s="897"/>
      <c r="DCD107" s="897"/>
      <c r="DCE107" s="897"/>
      <c r="DCF107" s="897"/>
      <c r="DCG107" s="897"/>
      <c r="DCH107" s="897"/>
      <c r="DCI107" s="897"/>
      <c r="DCJ107" s="895"/>
      <c r="DCK107" s="895"/>
      <c r="DCL107" s="896"/>
      <c r="DCM107" s="897"/>
      <c r="DCN107" s="897"/>
      <c r="DCO107" s="897"/>
      <c r="DCP107" s="897"/>
      <c r="DCQ107" s="897"/>
      <c r="DCR107" s="897"/>
      <c r="DCS107" s="897"/>
      <c r="DCT107" s="897"/>
      <c r="DCU107" s="895"/>
      <c r="DCV107" s="895"/>
      <c r="DCW107" s="896"/>
      <c r="DCX107" s="897"/>
      <c r="DCY107" s="897"/>
      <c r="DCZ107" s="897"/>
      <c r="DDA107" s="897"/>
      <c r="DDB107" s="897"/>
      <c r="DDC107" s="897"/>
      <c r="DDD107" s="897"/>
      <c r="DDE107" s="897"/>
      <c r="DDF107" s="895"/>
      <c r="DDG107" s="895"/>
      <c r="DDH107" s="896"/>
      <c r="DDI107" s="897"/>
      <c r="DDJ107" s="897"/>
      <c r="DDK107" s="897"/>
      <c r="DDL107" s="897"/>
      <c r="DDM107" s="897"/>
      <c r="DDN107" s="897"/>
      <c r="DDO107" s="897"/>
      <c r="DDP107" s="897"/>
      <c r="DDQ107" s="895"/>
      <c r="DDR107" s="895"/>
      <c r="DDS107" s="896"/>
      <c r="DDT107" s="897"/>
      <c r="DDU107" s="897"/>
      <c r="DDV107" s="897"/>
      <c r="DDW107" s="897"/>
      <c r="DDX107" s="897"/>
      <c r="DDY107" s="897"/>
      <c r="DDZ107" s="897"/>
      <c r="DEA107" s="897"/>
      <c r="DEB107" s="895"/>
      <c r="DEC107" s="895"/>
      <c r="DED107" s="896"/>
      <c r="DEE107" s="897"/>
      <c r="DEF107" s="897"/>
      <c r="DEG107" s="897"/>
      <c r="DEH107" s="897"/>
      <c r="DEI107" s="897"/>
      <c r="DEJ107" s="897"/>
      <c r="DEK107" s="897"/>
      <c r="DEL107" s="897"/>
      <c r="DEM107" s="895"/>
      <c r="DEN107" s="895"/>
      <c r="DEO107" s="896"/>
      <c r="DEP107" s="897"/>
      <c r="DEQ107" s="897"/>
      <c r="DER107" s="897"/>
      <c r="DES107" s="897"/>
      <c r="DET107" s="897"/>
      <c r="DEU107" s="897"/>
      <c r="DEV107" s="897"/>
      <c r="DEW107" s="897"/>
      <c r="DEX107" s="895"/>
      <c r="DEY107" s="895"/>
      <c r="DEZ107" s="896"/>
      <c r="DFA107" s="897"/>
      <c r="DFB107" s="897"/>
      <c r="DFC107" s="897"/>
      <c r="DFD107" s="897"/>
      <c r="DFE107" s="897"/>
      <c r="DFF107" s="897"/>
      <c r="DFG107" s="897"/>
      <c r="DFH107" s="897"/>
      <c r="DFI107" s="895"/>
      <c r="DFJ107" s="895"/>
      <c r="DFK107" s="896"/>
      <c r="DFL107" s="897"/>
      <c r="DFM107" s="897"/>
      <c r="DFN107" s="897"/>
      <c r="DFO107" s="897"/>
      <c r="DFP107" s="897"/>
      <c r="DFQ107" s="897"/>
      <c r="DFR107" s="897"/>
      <c r="DFS107" s="897"/>
      <c r="DFT107" s="895"/>
      <c r="DFU107" s="895"/>
      <c r="DFV107" s="896"/>
      <c r="DFW107" s="897"/>
      <c r="DFX107" s="897"/>
      <c r="DFY107" s="897"/>
      <c r="DFZ107" s="897"/>
      <c r="DGA107" s="897"/>
      <c r="DGB107" s="897"/>
      <c r="DGC107" s="897"/>
      <c r="DGD107" s="897"/>
      <c r="DGE107" s="895"/>
      <c r="DGF107" s="895"/>
      <c r="DGG107" s="896"/>
      <c r="DGH107" s="897"/>
      <c r="DGI107" s="897"/>
      <c r="DGJ107" s="897"/>
      <c r="DGK107" s="897"/>
      <c r="DGL107" s="897"/>
      <c r="DGM107" s="897"/>
      <c r="DGN107" s="897"/>
      <c r="DGO107" s="897"/>
      <c r="DGP107" s="895"/>
      <c r="DGQ107" s="895"/>
      <c r="DGR107" s="896"/>
      <c r="DGS107" s="897"/>
      <c r="DGT107" s="897"/>
      <c r="DGU107" s="897"/>
      <c r="DGV107" s="897"/>
      <c r="DGW107" s="897"/>
      <c r="DGX107" s="897"/>
      <c r="DGY107" s="897"/>
      <c r="DGZ107" s="897"/>
      <c r="DHA107" s="895"/>
      <c r="DHB107" s="895"/>
      <c r="DHC107" s="896"/>
      <c r="DHD107" s="897"/>
      <c r="DHE107" s="897"/>
      <c r="DHF107" s="897"/>
      <c r="DHG107" s="897"/>
      <c r="DHH107" s="897"/>
      <c r="DHI107" s="897"/>
      <c r="DHJ107" s="897"/>
      <c r="DHK107" s="897"/>
      <c r="DHL107" s="895"/>
      <c r="DHM107" s="895"/>
      <c r="DHN107" s="896"/>
      <c r="DHO107" s="897"/>
      <c r="DHP107" s="897"/>
      <c r="DHQ107" s="897"/>
      <c r="DHR107" s="897"/>
      <c r="DHS107" s="897"/>
      <c r="DHT107" s="897"/>
      <c r="DHU107" s="897"/>
      <c r="DHV107" s="897"/>
      <c r="DHW107" s="895"/>
      <c r="DHX107" s="895"/>
      <c r="DHY107" s="896"/>
      <c r="DHZ107" s="897"/>
      <c r="DIA107" s="897"/>
      <c r="DIB107" s="897"/>
      <c r="DIC107" s="897"/>
      <c r="DID107" s="897"/>
      <c r="DIE107" s="897"/>
      <c r="DIF107" s="897"/>
      <c r="DIG107" s="897"/>
      <c r="DIH107" s="895"/>
      <c r="DII107" s="895"/>
      <c r="DIJ107" s="896"/>
      <c r="DIK107" s="897"/>
      <c r="DIL107" s="897"/>
      <c r="DIM107" s="897"/>
      <c r="DIN107" s="897"/>
      <c r="DIO107" s="897"/>
      <c r="DIP107" s="897"/>
      <c r="DIQ107" s="897"/>
      <c r="DIR107" s="897"/>
      <c r="DIS107" s="895"/>
      <c r="DIT107" s="895"/>
      <c r="DIU107" s="896"/>
      <c r="DIV107" s="897"/>
      <c r="DIW107" s="897"/>
      <c r="DIX107" s="897"/>
      <c r="DIY107" s="897"/>
      <c r="DIZ107" s="897"/>
      <c r="DJA107" s="897"/>
      <c r="DJB107" s="897"/>
      <c r="DJC107" s="897"/>
      <c r="DJD107" s="895"/>
      <c r="DJE107" s="895"/>
      <c r="DJF107" s="896"/>
      <c r="DJG107" s="897"/>
      <c r="DJH107" s="897"/>
      <c r="DJI107" s="897"/>
      <c r="DJJ107" s="897"/>
      <c r="DJK107" s="897"/>
      <c r="DJL107" s="897"/>
      <c r="DJM107" s="897"/>
      <c r="DJN107" s="897"/>
      <c r="DJO107" s="895"/>
      <c r="DJP107" s="895"/>
      <c r="DJQ107" s="896"/>
      <c r="DJR107" s="897"/>
      <c r="DJS107" s="897"/>
      <c r="DJT107" s="897"/>
      <c r="DJU107" s="897"/>
      <c r="DJV107" s="897"/>
      <c r="DJW107" s="897"/>
      <c r="DJX107" s="897"/>
      <c r="DJY107" s="897"/>
      <c r="DJZ107" s="895"/>
      <c r="DKA107" s="895"/>
      <c r="DKB107" s="896"/>
      <c r="DKC107" s="897"/>
      <c r="DKD107" s="897"/>
      <c r="DKE107" s="897"/>
      <c r="DKF107" s="897"/>
      <c r="DKG107" s="897"/>
      <c r="DKH107" s="897"/>
      <c r="DKI107" s="897"/>
      <c r="DKJ107" s="897"/>
      <c r="DKK107" s="895"/>
      <c r="DKL107" s="895"/>
      <c r="DKM107" s="896"/>
      <c r="DKN107" s="897"/>
      <c r="DKO107" s="897"/>
      <c r="DKP107" s="897"/>
      <c r="DKQ107" s="897"/>
      <c r="DKR107" s="897"/>
      <c r="DKS107" s="897"/>
      <c r="DKT107" s="897"/>
      <c r="DKU107" s="897"/>
      <c r="DKV107" s="895"/>
      <c r="DKW107" s="895"/>
      <c r="DKX107" s="896"/>
      <c r="DKY107" s="897"/>
      <c r="DKZ107" s="897"/>
      <c r="DLA107" s="897"/>
      <c r="DLB107" s="897"/>
      <c r="DLC107" s="897"/>
      <c r="DLD107" s="897"/>
      <c r="DLE107" s="897"/>
      <c r="DLF107" s="897"/>
      <c r="DLG107" s="895"/>
      <c r="DLH107" s="895"/>
      <c r="DLI107" s="896"/>
      <c r="DLJ107" s="897"/>
      <c r="DLK107" s="897"/>
      <c r="DLL107" s="897"/>
      <c r="DLM107" s="897"/>
      <c r="DLN107" s="897"/>
      <c r="DLO107" s="897"/>
      <c r="DLP107" s="897"/>
      <c r="DLQ107" s="897"/>
      <c r="DLR107" s="895"/>
      <c r="DLS107" s="895"/>
      <c r="DLT107" s="896"/>
      <c r="DLU107" s="897"/>
      <c r="DLV107" s="897"/>
      <c r="DLW107" s="897"/>
      <c r="DLX107" s="897"/>
      <c r="DLY107" s="897"/>
      <c r="DLZ107" s="897"/>
      <c r="DMA107" s="897"/>
      <c r="DMB107" s="897"/>
      <c r="DMC107" s="895"/>
      <c r="DMD107" s="895"/>
      <c r="DME107" s="896"/>
      <c r="DMF107" s="897"/>
      <c r="DMG107" s="897"/>
      <c r="DMH107" s="897"/>
      <c r="DMI107" s="897"/>
      <c r="DMJ107" s="897"/>
      <c r="DMK107" s="897"/>
      <c r="DML107" s="897"/>
      <c r="DMM107" s="897"/>
      <c r="DMN107" s="895"/>
      <c r="DMO107" s="895"/>
      <c r="DMP107" s="896"/>
      <c r="DMQ107" s="897"/>
      <c r="DMR107" s="897"/>
      <c r="DMS107" s="897"/>
      <c r="DMT107" s="897"/>
      <c r="DMU107" s="897"/>
      <c r="DMV107" s="897"/>
      <c r="DMW107" s="897"/>
      <c r="DMX107" s="897"/>
      <c r="DMY107" s="895"/>
      <c r="DMZ107" s="895"/>
      <c r="DNA107" s="896"/>
      <c r="DNB107" s="897"/>
      <c r="DNC107" s="897"/>
      <c r="DND107" s="897"/>
      <c r="DNE107" s="897"/>
      <c r="DNF107" s="897"/>
      <c r="DNG107" s="897"/>
      <c r="DNH107" s="897"/>
      <c r="DNI107" s="897"/>
      <c r="DNJ107" s="895"/>
      <c r="DNK107" s="895"/>
      <c r="DNL107" s="896"/>
      <c r="DNM107" s="897"/>
      <c r="DNN107" s="897"/>
      <c r="DNO107" s="897"/>
      <c r="DNP107" s="897"/>
      <c r="DNQ107" s="897"/>
      <c r="DNR107" s="897"/>
      <c r="DNS107" s="897"/>
      <c r="DNT107" s="897"/>
      <c r="DNU107" s="895"/>
      <c r="DNV107" s="895"/>
      <c r="DNW107" s="896"/>
      <c r="DNX107" s="897"/>
      <c r="DNY107" s="897"/>
      <c r="DNZ107" s="897"/>
      <c r="DOA107" s="897"/>
      <c r="DOB107" s="897"/>
      <c r="DOC107" s="897"/>
      <c r="DOD107" s="897"/>
      <c r="DOE107" s="897"/>
      <c r="DOF107" s="895"/>
      <c r="DOG107" s="895"/>
      <c r="DOH107" s="896"/>
      <c r="DOI107" s="897"/>
      <c r="DOJ107" s="897"/>
      <c r="DOK107" s="897"/>
      <c r="DOL107" s="897"/>
      <c r="DOM107" s="897"/>
      <c r="DON107" s="897"/>
      <c r="DOO107" s="897"/>
      <c r="DOP107" s="897"/>
      <c r="DOQ107" s="895"/>
      <c r="DOR107" s="895"/>
      <c r="DOS107" s="896"/>
      <c r="DOT107" s="897"/>
      <c r="DOU107" s="897"/>
      <c r="DOV107" s="897"/>
      <c r="DOW107" s="897"/>
      <c r="DOX107" s="897"/>
      <c r="DOY107" s="897"/>
      <c r="DOZ107" s="897"/>
      <c r="DPA107" s="897"/>
      <c r="DPB107" s="895"/>
      <c r="DPC107" s="895"/>
      <c r="DPD107" s="896"/>
      <c r="DPE107" s="897"/>
      <c r="DPF107" s="897"/>
      <c r="DPG107" s="897"/>
      <c r="DPH107" s="897"/>
      <c r="DPI107" s="897"/>
      <c r="DPJ107" s="897"/>
      <c r="DPK107" s="897"/>
      <c r="DPL107" s="897"/>
      <c r="DPM107" s="895"/>
      <c r="DPN107" s="895"/>
      <c r="DPO107" s="896"/>
      <c r="DPP107" s="897"/>
      <c r="DPQ107" s="897"/>
      <c r="DPR107" s="897"/>
      <c r="DPS107" s="897"/>
      <c r="DPT107" s="897"/>
      <c r="DPU107" s="897"/>
      <c r="DPV107" s="897"/>
      <c r="DPW107" s="897"/>
      <c r="DPX107" s="895"/>
      <c r="DPY107" s="895"/>
      <c r="DPZ107" s="896"/>
      <c r="DQA107" s="897"/>
      <c r="DQB107" s="897"/>
      <c r="DQC107" s="897"/>
      <c r="DQD107" s="897"/>
      <c r="DQE107" s="897"/>
      <c r="DQF107" s="897"/>
      <c r="DQG107" s="897"/>
      <c r="DQH107" s="897"/>
      <c r="DQI107" s="895"/>
      <c r="DQJ107" s="895"/>
      <c r="DQK107" s="896"/>
      <c r="DQL107" s="897"/>
      <c r="DQM107" s="897"/>
      <c r="DQN107" s="897"/>
      <c r="DQO107" s="897"/>
      <c r="DQP107" s="897"/>
      <c r="DQQ107" s="897"/>
      <c r="DQR107" s="897"/>
      <c r="DQS107" s="897"/>
      <c r="DQT107" s="895"/>
      <c r="DQU107" s="895"/>
      <c r="DQV107" s="896"/>
      <c r="DQW107" s="897"/>
      <c r="DQX107" s="897"/>
      <c r="DQY107" s="897"/>
      <c r="DQZ107" s="897"/>
      <c r="DRA107" s="897"/>
      <c r="DRB107" s="897"/>
      <c r="DRC107" s="897"/>
      <c r="DRD107" s="897"/>
      <c r="DRE107" s="895"/>
      <c r="DRF107" s="895"/>
      <c r="DRG107" s="896"/>
      <c r="DRH107" s="897"/>
      <c r="DRI107" s="897"/>
      <c r="DRJ107" s="897"/>
      <c r="DRK107" s="897"/>
      <c r="DRL107" s="897"/>
      <c r="DRM107" s="897"/>
      <c r="DRN107" s="897"/>
      <c r="DRO107" s="897"/>
      <c r="DRP107" s="895"/>
      <c r="DRQ107" s="895"/>
      <c r="DRR107" s="896"/>
      <c r="DRS107" s="897"/>
      <c r="DRT107" s="897"/>
      <c r="DRU107" s="897"/>
      <c r="DRV107" s="897"/>
      <c r="DRW107" s="897"/>
      <c r="DRX107" s="897"/>
      <c r="DRY107" s="897"/>
      <c r="DRZ107" s="897"/>
      <c r="DSA107" s="895"/>
      <c r="DSB107" s="895"/>
      <c r="DSC107" s="896"/>
      <c r="DSD107" s="897"/>
      <c r="DSE107" s="897"/>
      <c r="DSF107" s="897"/>
      <c r="DSG107" s="897"/>
      <c r="DSH107" s="897"/>
      <c r="DSI107" s="897"/>
      <c r="DSJ107" s="897"/>
      <c r="DSK107" s="897"/>
      <c r="DSL107" s="895"/>
      <c r="DSM107" s="895"/>
      <c r="DSN107" s="896"/>
      <c r="DSO107" s="897"/>
      <c r="DSP107" s="897"/>
      <c r="DSQ107" s="897"/>
      <c r="DSR107" s="897"/>
      <c r="DSS107" s="897"/>
      <c r="DST107" s="897"/>
      <c r="DSU107" s="897"/>
      <c r="DSV107" s="897"/>
      <c r="DSW107" s="895"/>
      <c r="DSX107" s="895"/>
      <c r="DSY107" s="896"/>
      <c r="DSZ107" s="897"/>
      <c r="DTA107" s="897"/>
      <c r="DTB107" s="897"/>
      <c r="DTC107" s="897"/>
      <c r="DTD107" s="897"/>
      <c r="DTE107" s="897"/>
      <c r="DTF107" s="897"/>
      <c r="DTG107" s="897"/>
      <c r="DTH107" s="895"/>
      <c r="DTI107" s="895"/>
      <c r="DTJ107" s="896"/>
      <c r="DTK107" s="897"/>
      <c r="DTL107" s="897"/>
      <c r="DTM107" s="897"/>
      <c r="DTN107" s="897"/>
      <c r="DTO107" s="897"/>
      <c r="DTP107" s="897"/>
      <c r="DTQ107" s="897"/>
      <c r="DTR107" s="897"/>
      <c r="DTS107" s="895"/>
      <c r="DTT107" s="895"/>
      <c r="DTU107" s="896"/>
      <c r="DTV107" s="897"/>
      <c r="DTW107" s="897"/>
      <c r="DTX107" s="897"/>
      <c r="DTY107" s="897"/>
      <c r="DTZ107" s="897"/>
      <c r="DUA107" s="897"/>
      <c r="DUB107" s="897"/>
      <c r="DUC107" s="897"/>
      <c r="DUD107" s="895"/>
      <c r="DUE107" s="895"/>
      <c r="DUF107" s="896"/>
      <c r="DUG107" s="897"/>
      <c r="DUH107" s="897"/>
      <c r="DUI107" s="897"/>
      <c r="DUJ107" s="897"/>
      <c r="DUK107" s="897"/>
      <c r="DUL107" s="897"/>
      <c r="DUM107" s="897"/>
      <c r="DUN107" s="897"/>
      <c r="DUO107" s="895"/>
      <c r="DUP107" s="895"/>
      <c r="DUQ107" s="896"/>
      <c r="DUR107" s="897"/>
      <c r="DUS107" s="897"/>
      <c r="DUT107" s="897"/>
      <c r="DUU107" s="897"/>
      <c r="DUV107" s="897"/>
      <c r="DUW107" s="897"/>
      <c r="DUX107" s="897"/>
      <c r="DUY107" s="897"/>
      <c r="DUZ107" s="895"/>
      <c r="DVA107" s="895"/>
      <c r="DVB107" s="896"/>
      <c r="DVC107" s="897"/>
      <c r="DVD107" s="897"/>
      <c r="DVE107" s="897"/>
      <c r="DVF107" s="897"/>
      <c r="DVG107" s="897"/>
      <c r="DVH107" s="897"/>
      <c r="DVI107" s="897"/>
      <c r="DVJ107" s="897"/>
      <c r="DVK107" s="895"/>
      <c r="DVL107" s="895"/>
      <c r="DVM107" s="896"/>
      <c r="DVN107" s="897"/>
      <c r="DVO107" s="897"/>
      <c r="DVP107" s="897"/>
      <c r="DVQ107" s="897"/>
      <c r="DVR107" s="897"/>
      <c r="DVS107" s="897"/>
      <c r="DVT107" s="897"/>
      <c r="DVU107" s="897"/>
      <c r="DVV107" s="895"/>
      <c r="DVW107" s="895"/>
      <c r="DVX107" s="896"/>
      <c r="DVY107" s="897"/>
      <c r="DVZ107" s="897"/>
      <c r="DWA107" s="897"/>
      <c r="DWB107" s="897"/>
      <c r="DWC107" s="897"/>
      <c r="DWD107" s="897"/>
      <c r="DWE107" s="897"/>
      <c r="DWF107" s="897"/>
      <c r="DWG107" s="895"/>
      <c r="DWH107" s="895"/>
      <c r="DWI107" s="896"/>
      <c r="DWJ107" s="897"/>
      <c r="DWK107" s="897"/>
      <c r="DWL107" s="897"/>
      <c r="DWM107" s="897"/>
      <c r="DWN107" s="897"/>
      <c r="DWO107" s="897"/>
      <c r="DWP107" s="897"/>
      <c r="DWQ107" s="897"/>
      <c r="DWR107" s="895"/>
      <c r="DWS107" s="895"/>
      <c r="DWT107" s="896"/>
      <c r="DWU107" s="897"/>
      <c r="DWV107" s="897"/>
      <c r="DWW107" s="897"/>
      <c r="DWX107" s="897"/>
      <c r="DWY107" s="897"/>
      <c r="DWZ107" s="897"/>
      <c r="DXA107" s="897"/>
      <c r="DXB107" s="897"/>
      <c r="DXC107" s="895"/>
      <c r="DXD107" s="895"/>
      <c r="DXE107" s="896"/>
      <c r="DXF107" s="897"/>
      <c r="DXG107" s="897"/>
      <c r="DXH107" s="897"/>
      <c r="DXI107" s="897"/>
      <c r="DXJ107" s="897"/>
      <c r="DXK107" s="897"/>
      <c r="DXL107" s="897"/>
      <c r="DXM107" s="897"/>
      <c r="DXN107" s="895"/>
      <c r="DXO107" s="895"/>
      <c r="DXP107" s="896"/>
      <c r="DXQ107" s="897"/>
      <c r="DXR107" s="897"/>
      <c r="DXS107" s="897"/>
      <c r="DXT107" s="897"/>
      <c r="DXU107" s="897"/>
      <c r="DXV107" s="897"/>
      <c r="DXW107" s="897"/>
      <c r="DXX107" s="897"/>
      <c r="DXY107" s="895"/>
      <c r="DXZ107" s="895"/>
      <c r="DYA107" s="896"/>
      <c r="DYB107" s="897"/>
      <c r="DYC107" s="897"/>
      <c r="DYD107" s="897"/>
      <c r="DYE107" s="897"/>
      <c r="DYF107" s="897"/>
      <c r="DYG107" s="897"/>
      <c r="DYH107" s="897"/>
      <c r="DYI107" s="897"/>
      <c r="DYJ107" s="895"/>
      <c r="DYK107" s="895"/>
      <c r="DYL107" s="896"/>
      <c r="DYM107" s="897"/>
      <c r="DYN107" s="897"/>
      <c r="DYO107" s="897"/>
      <c r="DYP107" s="897"/>
      <c r="DYQ107" s="897"/>
      <c r="DYR107" s="897"/>
      <c r="DYS107" s="897"/>
      <c r="DYT107" s="897"/>
      <c r="DYU107" s="895"/>
      <c r="DYV107" s="895"/>
      <c r="DYW107" s="896"/>
      <c r="DYX107" s="897"/>
      <c r="DYY107" s="897"/>
      <c r="DYZ107" s="897"/>
      <c r="DZA107" s="897"/>
      <c r="DZB107" s="897"/>
      <c r="DZC107" s="897"/>
      <c r="DZD107" s="897"/>
      <c r="DZE107" s="897"/>
      <c r="DZF107" s="895"/>
      <c r="DZG107" s="895"/>
      <c r="DZH107" s="896"/>
      <c r="DZI107" s="897"/>
      <c r="DZJ107" s="897"/>
      <c r="DZK107" s="897"/>
      <c r="DZL107" s="897"/>
      <c r="DZM107" s="897"/>
      <c r="DZN107" s="897"/>
      <c r="DZO107" s="897"/>
      <c r="DZP107" s="897"/>
      <c r="DZQ107" s="895"/>
      <c r="DZR107" s="895"/>
      <c r="DZS107" s="896"/>
      <c r="DZT107" s="897"/>
      <c r="DZU107" s="897"/>
      <c r="DZV107" s="897"/>
      <c r="DZW107" s="897"/>
      <c r="DZX107" s="897"/>
      <c r="DZY107" s="897"/>
      <c r="DZZ107" s="897"/>
      <c r="EAA107" s="897"/>
      <c r="EAB107" s="895"/>
      <c r="EAC107" s="895"/>
      <c r="EAD107" s="896"/>
      <c r="EAE107" s="897"/>
      <c r="EAF107" s="897"/>
      <c r="EAG107" s="897"/>
      <c r="EAH107" s="897"/>
      <c r="EAI107" s="897"/>
      <c r="EAJ107" s="897"/>
      <c r="EAK107" s="897"/>
      <c r="EAL107" s="897"/>
      <c r="EAM107" s="895"/>
      <c r="EAN107" s="895"/>
      <c r="EAO107" s="896"/>
      <c r="EAP107" s="897"/>
      <c r="EAQ107" s="897"/>
      <c r="EAR107" s="897"/>
      <c r="EAS107" s="897"/>
      <c r="EAT107" s="897"/>
      <c r="EAU107" s="897"/>
      <c r="EAV107" s="897"/>
      <c r="EAW107" s="897"/>
      <c r="EAX107" s="895"/>
      <c r="EAY107" s="895"/>
      <c r="EAZ107" s="896"/>
      <c r="EBA107" s="897"/>
      <c r="EBB107" s="897"/>
      <c r="EBC107" s="897"/>
      <c r="EBD107" s="897"/>
      <c r="EBE107" s="897"/>
      <c r="EBF107" s="897"/>
      <c r="EBG107" s="897"/>
      <c r="EBH107" s="897"/>
      <c r="EBI107" s="895"/>
      <c r="EBJ107" s="895"/>
      <c r="EBK107" s="896"/>
      <c r="EBL107" s="897"/>
      <c r="EBM107" s="897"/>
      <c r="EBN107" s="897"/>
      <c r="EBO107" s="897"/>
      <c r="EBP107" s="897"/>
      <c r="EBQ107" s="897"/>
      <c r="EBR107" s="897"/>
      <c r="EBS107" s="897"/>
      <c r="EBT107" s="895"/>
      <c r="EBU107" s="895"/>
      <c r="EBV107" s="896"/>
      <c r="EBW107" s="897"/>
      <c r="EBX107" s="897"/>
      <c r="EBY107" s="897"/>
      <c r="EBZ107" s="897"/>
      <c r="ECA107" s="897"/>
      <c r="ECB107" s="897"/>
      <c r="ECC107" s="897"/>
      <c r="ECD107" s="897"/>
      <c r="ECE107" s="895"/>
      <c r="ECF107" s="895"/>
      <c r="ECG107" s="896"/>
      <c r="ECH107" s="897"/>
      <c r="ECI107" s="897"/>
      <c r="ECJ107" s="897"/>
      <c r="ECK107" s="897"/>
      <c r="ECL107" s="897"/>
      <c r="ECM107" s="897"/>
      <c r="ECN107" s="897"/>
      <c r="ECO107" s="897"/>
      <c r="ECP107" s="895"/>
      <c r="ECQ107" s="895"/>
      <c r="ECR107" s="896"/>
      <c r="ECS107" s="897"/>
      <c r="ECT107" s="897"/>
      <c r="ECU107" s="897"/>
      <c r="ECV107" s="897"/>
      <c r="ECW107" s="897"/>
      <c r="ECX107" s="897"/>
      <c r="ECY107" s="897"/>
      <c r="ECZ107" s="897"/>
      <c r="EDA107" s="895"/>
      <c r="EDB107" s="895"/>
      <c r="EDC107" s="896"/>
      <c r="EDD107" s="897"/>
      <c r="EDE107" s="897"/>
      <c r="EDF107" s="897"/>
      <c r="EDG107" s="897"/>
      <c r="EDH107" s="897"/>
      <c r="EDI107" s="897"/>
      <c r="EDJ107" s="897"/>
      <c r="EDK107" s="897"/>
      <c r="EDL107" s="895"/>
      <c r="EDM107" s="895"/>
      <c r="EDN107" s="896"/>
      <c r="EDO107" s="897"/>
      <c r="EDP107" s="897"/>
      <c r="EDQ107" s="897"/>
      <c r="EDR107" s="897"/>
      <c r="EDS107" s="897"/>
      <c r="EDT107" s="897"/>
      <c r="EDU107" s="897"/>
      <c r="EDV107" s="897"/>
      <c r="EDW107" s="895"/>
      <c r="EDX107" s="895"/>
      <c r="EDY107" s="896"/>
      <c r="EDZ107" s="897"/>
      <c r="EEA107" s="897"/>
      <c r="EEB107" s="897"/>
      <c r="EEC107" s="897"/>
      <c r="EED107" s="897"/>
      <c r="EEE107" s="897"/>
      <c r="EEF107" s="897"/>
      <c r="EEG107" s="897"/>
      <c r="EEH107" s="895"/>
      <c r="EEI107" s="895"/>
      <c r="EEJ107" s="896"/>
      <c r="EEK107" s="897"/>
      <c r="EEL107" s="897"/>
      <c r="EEM107" s="897"/>
      <c r="EEN107" s="897"/>
      <c r="EEO107" s="897"/>
      <c r="EEP107" s="897"/>
      <c r="EEQ107" s="897"/>
      <c r="EER107" s="897"/>
      <c r="EES107" s="895"/>
      <c r="EET107" s="895"/>
      <c r="EEU107" s="896"/>
      <c r="EEV107" s="897"/>
      <c r="EEW107" s="897"/>
      <c r="EEX107" s="897"/>
      <c r="EEY107" s="897"/>
      <c r="EEZ107" s="897"/>
      <c r="EFA107" s="897"/>
      <c r="EFB107" s="897"/>
      <c r="EFC107" s="897"/>
      <c r="EFD107" s="895"/>
      <c r="EFE107" s="895"/>
      <c r="EFF107" s="896"/>
      <c r="EFG107" s="897"/>
      <c r="EFH107" s="897"/>
      <c r="EFI107" s="897"/>
      <c r="EFJ107" s="897"/>
      <c r="EFK107" s="897"/>
      <c r="EFL107" s="897"/>
      <c r="EFM107" s="897"/>
      <c r="EFN107" s="897"/>
      <c r="EFO107" s="895"/>
      <c r="EFP107" s="895"/>
      <c r="EFQ107" s="896"/>
      <c r="EFR107" s="897"/>
      <c r="EFS107" s="897"/>
      <c r="EFT107" s="897"/>
      <c r="EFU107" s="897"/>
      <c r="EFV107" s="897"/>
      <c r="EFW107" s="897"/>
      <c r="EFX107" s="897"/>
      <c r="EFY107" s="897"/>
      <c r="EFZ107" s="895"/>
      <c r="EGA107" s="895"/>
      <c r="EGB107" s="896"/>
      <c r="EGC107" s="897"/>
      <c r="EGD107" s="897"/>
      <c r="EGE107" s="897"/>
      <c r="EGF107" s="897"/>
      <c r="EGG107" s="897"/>
      <c r="EGH107" s="897"/>
      <c r="EGI107" s="897"/>
      <c r="EGJ107" s="897"/>
      <c r="EGK107" s="895"/>
      <c r="EGL107" s="895"/>
      <c r="EGM107" s="896"/>
      <c r="EGN107" s="897"/>
      <c r="EGO107" s="897"/>
      <c r="EGP107" s="897"/>
      <c r="EGQ107" s="897"/>
      <c r="EGR107" s="897"/>
      <c r="EGS107" s="897"/>
      <c r="EGT107" s="897"/>
      <c r="EGU107" s="897"/>
      <c r="EGV107" s="895"/>
      <c r="EGW107" s="895"/>
      <c r="EGX107" s="896"/>
      <c r="EGY107" s="897"/>
      <c r="EGZ107" s="897"/>
      <c r="EHA107" s="897"/>
      <c r="EHB107" s="897"/>
      <c r="EHC107" s="897"/>
      <c r="EHD107" s="897"/>
      <c r="EHE107" s="897"/>
      <c r="EHF107" s="897"/>
      <c r="EHG107" s="895"/>
      <c r="EHH107" s="895"/>
      <c r="EHI107" s="896"/>
      <c r="EHJ107" s="897"/>
      <c r="EHK107" s="897"/>
      <c r="EHL107" s="897"/>
      <c r="EHM107" s="897"/>
      <c r="EHN107" s="897"/>
      <c r="EHO107" s="897"/>
      <c r="EHP107" s="897"/>
      <c r="EHQ107" s="897"/>
      <c r="EHR107" s="895"/>
      <c r="EHS107" s="895"/>
      <c r="EHT107" s="896"/>
      <c r="EHU107" s="897"/>
      <c r="EHV107" s="897"/>
      <c r="EHW107" s="897"/>
      <c r="EHX107" s="897"/>
      <c r="EHY107" s="897"/>
      <c r="EHZ107" s="897"/>
      <c r="EIA107" s="897"/>
      <c r="EIB107" s="897"/>
      <c r="EIC107" s="895"/>
      <c r="EID107" s="895"/>
      <c r="EIE107" s="896"/>
      <c r="EIF107" s="897"/>
      <c r="EIG107" s="897"/>
      <c r="EIH107" s="897"/>
      <c r="EII107" s="897"/>
      <c r="EIJ107" s="897"/>
      <c r="EIK107" s="897"/>
      <c r="EIL107" s="897"/>
      <c r="EIM107" s="897"/>
      <c r="EIN107" s="895"/>
      <c r="EIO107" s="895"/>
      <c r="EIP107" s="896"/>
      <c r="EIQ107" s="897"/>
      <c r="EIR107" s="897"/>
      <c r="EIS107" s="897"/>
      <c r="EIT107" s="897"/>
      <c r="EIU107" s="897"/>
      <c r="EIV107" s="897"/>
      <c r="EIW107" s="897"/>
      <c r="EIX107" s="897"/>
      <c r="EIY107" s="895"/>
      <c r="EIZ107" s="895"/>
      <c r="EJA107" s="896"/>
      <c r="EJB107" s="897"/>
      <c r="EJC107" s="897"/>
      <c r="EJD107" s="897"/>
      <c r="EJE107" s="897"/>
      <c r="EJF107" s="897"/>
      <c r="EJG107" s="897"/>
      <c r="EJH107" s="897"/>
      <c r="EJI107" s="897"/>
      <c r="EJJ107" s="895"/>
      <c r="EJK107" s="895"/>
      <c r="EJL107" s="896"/>
      <c r="EJM107" s="897"/>
      <c r="EJN107" s="897"/>
      <c r="EJO107" s="897"/>
      <c r="EJP107" s="897"/>
      <c r="EJQ107" s="897"/>
      <c r="EJR107" s="897"/>
      <c r="EJS107" s="897"/>
      <c r="EJT107" s="897"/>
      <c r="EJU107" s="895"/>
      <c r="EJV107" s="895"/>
      <c r="EJW107" s="896"/>
      <c r="EJX107" s="897"/>
      <c r="EJY107" s="897"/>
      <c r="EJZ107" s="897"/>
      <c r="EKA107" s="897"/>
      <c r="EKB107" s="897"/>
      <c r="EKC107" s="897"/>
      <c r="EKD107" s="897"/>
      <c r="EKE107" s="897"/>
      <c r="EKF107" s="895"/>
      <c r="EKG107" s="895"/>
      <c r="EKH107" s="896"/>
      <c r="EKI107" s="897"/>
      <c r="EKJ107" s="897"/>
      <c r="EKK107" s="897"/>
      <c r="EKL107" s="897"/>
      <c r="EKM107" s="897"/>
      <c r="EKN107" s="897"/>
      <c r="EKO107" s="897"/>
      <c r="EKP107" s="897"/>
      <c r="EKQ107" s="895"/>
      <c r="EKR107" s="895"/>
      <c r="EKS107" s="896"/>
      <c r="EKT107" s="897"/>
      <c r="EKU107" s="897"/>
      <c r="EKV107" s="897"/>
      <c r="EKW107" s="897"/>
      <c r="EKX107" s="897"/>
      <c r="EKY107" s="897"/>
      <c r="EKZ107" s="897"/>
      <c r="ELA107" s="897"/>
      <c r="ELB107" s="895"/>
      <c r="ELC107" s="895"/>
      <c r="ELD107" s="896"/>
      <c r="ELE107" s="897"/>
      <c r="ELF107" s="897"/>
      <c r="ELG107" s="897"/>
      <c r="ELH107" s="897"/>
      <c r="ELI107" s="897"/>
      <c r="ELJ107" s="897"/>
      <c r="ELK107" s="897"/>
      <c r="ELL107" s="897"/>
      <c r="ELM107" s="895"/>
      <c r="ELN107" s="895"/>
      <c r="ELO107" s="896"/>
      <c r="ELP107" s="897"/>
      <c r="ELQ107" s="897"/>
      <c r="ELR107" s="897"/>
      <c r="ELS107" s="897"/>
      <c r="ELT107" s="897"/>
      <c r="ELU107" s="897"/>
      <c r="ELV107" s="897"/>
      <c r="ELW107" s="897"/>
      <c r="ELX107" s="895"/>
      <c r="ELY107" s="895"/>
      <c r="ELZ107" s="896"/>
      <c r="EMA107" s="897"/>
      <c r="EMB107" s="897"/>
      <c r="EMC107" s="897"/>
      <c r="EMD107" s="897"/>
      <c r="EME107" s="897"/>
      <c r="EMF107" s="897"/>
      <c r="EMG107" s="897"/>
      <c r="EMH107" s="897"/>
      <c r="EMI107" s="895"/>
      <c r="EMJ107" s="895"/>
      <c r="EMK107" s="896"/>
      <c r="EML107" s="897"/>
      <c r="EMM107" s="897"/>
      <c r="EMN107" s="897"/>
      <c r="EMO107" s="897"/>
      <c r="EMP107" s="897"/>
      <c r="EMQ107" s="897"/>
      <c r="EMR107" s="897"/>
      <c r="EMS107" s="897"/>
      <c r="EMT107" s="895"/>
      <c r="EMU107" s="895"/>
      <c r="EMV107" s="896"/>
      <c r="EMW107" s="897"/>
      <c r="EMX107" s="897"/>
      <c r="EMY107" s="897"/>
      <c r="EMZ107" s="897"/>
      <c r="ENA107" s="897"/>
      <c r="ENB107" s="897"/>
      <c r="ENC107" s="897"/>
      <c r="END107" s="897"/>
      <c r="ENE107" s="895"/>
      <c r="ENF107" s="895"/>
      <c r="ENG107" s="896"/>
      <c r="ENH107" s="897"/>
      <c r="ENI107" s="897"/>
      <c r="ENJ107" s="897"/>
      <c r="ENK107" s="897"/>
      <c r="ENL107" s="897"/>
      <c r="ENM107" s="897"/>
      <c r="ENN107" s="897"/>
      <c r="ENO107" s="897"/>
      <c r="ENP107" s="895"/>
      <c r="ENQ107" s="895"/>
      <c r="ENR107" s="896"/>
      <c r="ENS107" s="897"/>
      <c r="ENT107" s="897"/>
      <c r="ENU107" s="897"/>
      <c r="ENV107" s="897"/>
      <c r="ENW107" s="897"/>
      <c r="ENX107" s="897"/>
      <c r="ENY107" s="897"/>
      <c r="ENZ107" s="897"/>
      <c r="EOA107" s="895"/>
      <c r="EOB107" s="895"/>
      <c r="EOC107" s="896"/>
      <c r="EOD107" s="897"/>
      <c r="EOE107" s="897"/>
      <c r="EOF107" s="897"/>
      <c r="EOG107" s="897"/>
      <c r="EOH107" s="897"/>
      <c r="EOI107" s="897"/>
      <c r="EOJ107" s="897"/>
      <c r="EOK107" s="897"/>
      <c r="EOL107" s="895"/>
      <c r="EOM107" s="895"/>
      <c r="EON107" s="896"/>
      <c r="EOO107" s="897"/>
      <c r="EOP107" s="897"/>
      <c r="EOQ107" s="897"/>
      <c r="EOR107" s="897"/>
      <c r="EOS107" s="897"/>
      <c r="EOT107" s="897"/>
      <c r="EOU107" s="897"/>
      <c r="EOV107" s="897"/>
      <c r="EOW107" s="895"/>
      <c r="EOX107" s="895"/>
      <c r="EOY107" s="896"/>
      <c r="EOZ107" s="897"/>
      <c r="EPA107" s="897"/>
      <c r="EPB107" s="897"/>
      <c r="EPC107" s="897"/>
      <c r="EPD107" s="897"/>
      <c r="EPE107" s="897"/>
      <c r="EPF107" s="897"/>
      <c r="EPG107" s="897"/>
      <c r="EPH107" s="895"/>
      <c r="EPI107" s="895"/>
      <c r="EPJ107" s="896"/>
      <c r="EPK107" s="897"/>
      <c r="EPL107" s="897"/>
      <c r="EPM107" s="897"/>
      <c r="EPN107" s="897"/>
      <c r="EPO107" s="897"/>
      <c r="EPP107" s="897"/>
      <c r="EPQ107" s="897"/>
      <c r="EPR107" s="897"/>
      <c r="EPS107" s="895"/>
      <c r="EPT107" s="895"/>
      <c r="EPU107" s="896"/>
      <c r="EPV107" s="897"/>
      <c r="EPW107" s="897"/>
      <c r="EPX107" s="897"/>
      <c r="EPY107" s="897"/>
      <c r="EPZ107" s="897"/>
      <c r="EQA107" s="897"/>
      <c r="EQB107" s="897"/>
      <c r="EQC107" s="897"/>
      <c r="EQD107" s="895"/>
      <c r="EQE107" s="895"/>
      <c r="EQF107" s="896"/>
      <c r="EQG107" s="897"/>
      <c r="EQH107" s="897"/>
      <c r="EQI107" s="897"/>
      <c r="EQJ107" s="897"/>
      <c r="EQK107" s="897"/>
      <c r="EQL107" s="897"/>
      <c r="EQM107" s="897"/>
      <c r="EQN107" s="897"/>
      <c r="EQO107" s="895"/>
      <c r="EQP107" s="895"/>
      <c r="EQQ107" s="896"/>
      <c r="EQR107" s="897"/>
      <c r="EQS107" s="897"/>
      <c r="EQT107" s="897"/>
      <c r="EQU107" s="897"/>
      <c r="EQV107" s="897"/>
      <c r="EQW107" s="897"/>
      <c r="EQX107" s="897"/>
      <c r="EQY107" s="897"/>
      <c r="EQZ107" s="895"/>
      <c r="ERA107" s="895"/>
      <c r="ERB107" s="896"/>
      <c r="ERC107" s="897"/>
      <c r="ERD107" s="897"/>
      <c r="ERE107" s="897"/>
      <c r="ERF107" s="897"/>
      <c r="ERG107" s="897"/>
      <c r="ERH107" s="897"/>
      <c r="ERI107" s="897"/>
      <c r="ERJ107" s="897"/>
      <c r="ERK107" s="895"/>
      <c r="ERL107" s="895"/>
      <c r="ERM107" s="896"/>
      <c r="ERN107" s="897"/>
      <c r="ERO107" s="897"/>
      <c r="ERP107" s="897"/>
      <c r="ERQ107" s="897"/>
      <c r="ERR107" s="897"/>
      <c r="ERS107" s="897"/>
      <c r="ERT107" s="897"/>
      <c r="ERU107" s="897"/>
      <c r="ERV107" s="895"/>
      <c r="ERW107" s="895"/>
      <c r="ERX107" s="896"/>
      <c r="ERY107" s="897"/>
      <c r="ERZ107" s="897"/>
      <c r="ESA107" s="897"/>
      <c r="ESB107" s="897"/>
      <c r="ESC107" s="897"/>
      <c r="ESD107" s="897"/>
      <c r="ESE107" s="897"/>
      <c r="ESF107" s="897"/>
      <c r="ESG107" s="895"/>
      <c r="ESH107" s="895"/>
      <c r="ESI107" s="896"/>
      <c r="ESJ107" s="897"/>
      <c r="ESK107" s="897"/>
      <c r="ESL107" s="897"/>
      <c r="ESM107" s="897"/>
      <c r="ESN107" s="897"/>
      <c r="ESO107" s="897"/>
      <c r="ESP107" s="897"/>
      <c r="ESQ107" s="897"/>
      <c r="ESR107" s="895"/>
      <c r="ESS107" s="895"/>
      <c r="EST107" s="896"/>
      <c r="ESU107" s="897"/>
      <c r="ESV107" s="897"/>
      <c r="ESW107" s="897"/>
      <c r="ESX107" s="897"/>
      <c r="ESY107" s="897"/>
      <c r="ESZ107" s="897"/>
      <c r="ETA107" s="897"/>
      <c r="ETB107" s="897"/>
      <c r="ETC107" s="895"/>
      <c r="ETD107" s="895"/>
      <c r="ETE107" s="896"/>
      <c r="ETF107" s="897"/>
      <c r="ETG107" s="897"/>
      <c r="ETH107" s="897"/>
      <c r="ETI107" s="897"/>
      <c r="ETJ107" s="897"/>
      <c r="ETK107" s="897"/>
      <c r="ETL107" s="897"/>
      <c r="ETM107" s="897"/>
      <c r="ETN107" s="895"/>
      <c r="ETO107" s="895"/>
      <c r="ETP107" s="896"/>
      <c r="ETQ107" s="897"/>
      <c r="ETR107" s="897"/>
      <c r="ETS107" s="897"/>
      <c r="ETT107" s="897"/>
      <c r="ETU107" s="897"/>
      <c r="ETV107" s="897"/>
      <c r="ETW107" s="897"/>
      <c r="ETX107" s="897"/>
      <c r="ETY107" s="895"/>
      <c r="ETZ107" s="895"/>
      <c r="EUA107" s="896"/>
      <c r="EUB107" s="897"/>
      <c r="EUC107" s="897"/>
      <c r="EUD107" s="897"/>
      <c r="EUE107" s="897"/>
      <c r="EUF107" s="897"/>
      <c r="EUG107" s="897"/>
      <c r="EUH107" s="897"/>
      <c r="EUI107" s="897"/>
      <c r="EUJ107" s="895"/>
      <c r="EUK107" s="895"/>
      <c r="EUL107" s="896"/>
      <c r="EUM107" s="897"/>
      <c r="EUN107" s="897"/>
      <c r="EUO107" s="897"/>
      <c r="EUP107" s="897"/>
      <c r="EUQ107" s="897"/>
      <c r="EUR107" s="897"/>
      <c r="EUS107" s="897"/>
      <c r="EUT107" s="897"/>
      <c r="EUU107" s="895"/>
      <c r="EUV107" s="895"/>
      <c r="EUW107" s="896"/>
      <c r="EUX107" s="897"/>
      <c r="EUY107" s="897"/>
      <c r="EUZ107" s="897"/>
      <c r="EVA107" s="897"/>
      <c r="EVB107" s="897"/>
      <c r="EVC107" s="897"/>
      <c r="EVD107" s="897"/>
      <c r="EVE107" s="897"/>
      <c r="EVF107" s="895"/>
      <c r="EVG107" s="895"/>
      <c r="EVH107" s="896"/>
      <c r="EVI107" s="897"/>
      <c r="EVJ107" s="897"/>
      <c r="EVK107" s="897"/>
      <c r="EVL107" s="897"/>
      <c r="EVM107" s="897"/>
      <c r="EVN107" s="897"/>
      <c r="EVO107" s="897"/>
      <c r="EVP107" s="897"/>
      <c r="EVQ107" s="895"/>
      <c r="EVR107" s="895"/>
      <c r="EVS107" s="896"/>
      <c r="EVT107" s="897"/>
      <c r="EVU107" s="897"/>
      <c r="EVV107" s="897"/>
      <c r="EVW107" s="897"/>
      <c r="EVX107" s="897"/>
      <c r="EVY107" s="897"/>
      <c r="EVZ107" s="897"/>
      <c r="EWA107" s="897"/>
      <c r="EWB107" s="895"/>
      <c r="EWC107" s="895"/>
      <c r="EWD107" s="896"/>
      <c r="EWE107" s="897"/>
      <c r="EWF107" s="897"/>
      <c r="EWG107" s="897"/>
      <c r="EWH107" s="897"/>
      <c r="EWI107" s="897"/>
      <c r="EWJ107" s="897"/>
      <c r="EWK107" s="897"/>
      <c r="EWL107" s="897"/>
      <c r="EWM107" s="895"/>
      <c r="EWN107" s="895"/>
      <c r="EWO107" s="896"/>
      <c r="EWP107" s="897"/>
      <c r="EWQ107" s="897"/>
      <c r="EWR107" s="897"/>
      <c r="EWS107" s="897"/>
      <c r="EWT107" s="897"/>
      <c r="EWU107" s="897"/>
      <c r="EWV107" s="897"/>
      <c r="EWW107" s="897"/>
      <c r="EWX107" s="895"/>
      <c r="EWY107" s="895"/>
      <c r="EWZ107" s="896"/>
      <c r="EXA107" s="897"/>
      <c r="EXB107" s="897"/>
      <c r="EXC107" s="897"/>
      <c r="EXD107" s="897"/>
      <c r="EXE107" s="897"/>
      <c r="EXF107" s="897"/>
      <c r="EXG107" s="897"/>
      <c r="EXH107" s="897"/>
      <c r="EXI107" s="895"/>
      <c r="EXJ107" s="895"/>
      <c r="EXK107" s="896"/>
      <c r="EXL107" s="897"/>
      <c r="EXM107" s="897"/>
      <c r="EXN107" s="897"/>
      <c r="EXO107" s="897"/>
      <c r="EXP107" s="897"/>
      <c r="EXQ107" s="897"/>
      <c r="EXR107" s="897"/>
      <c r="EXS107" s="897"/>
      <c r="EXT107" s="895"/>
      <c r="EXU107" s="895"/>
      <c r="EXV107" s="896"/>
      <c r="EXW107" s="897"/>
      <c r="EXX107" s="897"/>
      <c r="EXY107" s="897"/>
      <c r="EXZ107" s="897"/>
      <c r="EYA107" s="897"/>
      <c r="EYB107" s="897"/>
      <c r="EYC107" s="897"/>
      <c r="EYD107" s="897"/>
      <c r="EYE107" s="895"/>
      <c r="EYF107" s="895"/>
      <c r="EYG107" s="896"/>
      <c r="EYH107" s="897"/>
      <c r="EYI107" s="897"/>
      <c r="EYJ107" s="897"/>
      <c r="EYK107" s="897"/>
      <c r="EYL107" s="897"/>
      <c r="EYM107" s="897"/>
      <c r="EYN107" s="897"/>
      <c r="EYO107" s="897"/>
      <c r="EYP107" s="895"/>
      <c r="EYQ107" s="895"/>
      <c r="EYR107" s="896"/>
      <c r="EYS107" s="897"/>
      <c r="EYT107" s="897"/>
      <c r="EYU107" s="897"/>
      <c r="EYV107" s="897"/>
      <c r="EYW107" s="897"/>
      <c r="EYX107" s="897"/>
      <c r="EYY107" s="897"/>
      <c r="EYZ107" s="897"/>
      <c r="EZA107" s="895"/>
      <c r="EZB107" s="895"/>
      <c r="EZC107" s="896"/>
      <c r="EZD107" s="897"/>
      <c r="EZE107" s="897"/>
      <c r="EZF107" s="897"/>
      <c r="EZG107" s="897"/>
      <c r="EZH107" s="897"/>
      <c r="EZI107" s="897"/>
      <c r="EZJ107" s="897"/>
      <c r="EZK107" s="897"/>
      <c r="EZL107" s="895"/>
      <c r="EZM107" s="895"/>
      <c r="EZN107" s="896"/>
      <c r="EZO107" s="897"/>
      <c r="EZP107" s="897"/>
      <c r="EZQ107" s="897"/>
      <c r="EZR107" s="897"/>
      <c r="EZS107" s="897"/>
      <c r="EZT107" s="897"/>
      <c r="EZU107" s="897"/>
      <c r="EZV107" s="897"/>
      <c r="EZW107" s="895"/>
      <c r="EZX107" s="895"/>
      <c r="EZY107" s="896"/>
      <c r="EZZ107" s="897"/>
      <c r="FAA107" s="897"/>
      <c r="FAB107" s="897"/>
      <c r="FAC107" s="897"/>
      <c r="FAD107" s="897"/>
      <c r="FAE107" s="897"/>
      <c r="FAF107" s="897"/>
      <c r="FAG107" s="897"/>
      <c r="FAH107" s="895"/>
      <c r="FAI107" s="895"/>
      <c r="FAJ107" s="896"/>
      <c r="FAK107" s="897"/>
      <c r="FAL107" s="897"/>
      <c r="FAM107" s="897"/>
      <c r="FAN107" s="897"/>
      <c r="FAO107" s="897"/>
      <c r="FAP107" s="897"/>
      <c r="FAQ107" s="897"/>
      <c r="FAR107" s="897"/>
      <c r="FAS107" s="895"/>
      <c r="FAT107" s="895"/>
      <c r="FAU107" s="896"/>
      <c r="FAV107" s="897"/>
      <c r="FAW107" s="897"/>
      <c r="FAX107" s="897"/>
      <c r="FAY107" s="897"/>
      <c r="FAZ107" s="897"/>
      <c r="FBA107" s="897"/>
      <c r="FBB107" s="897"/>
      <c r="FBC107" s="897"/>
      <c r="FBD107" s="895"/>
      <c r="FBE107" s="895"/>
      <c r="FBF107" s="896"/>
      <c r="FBG107" s="897"/>
      <c r="FBH107" s="897"/>
      <c r="FBI107" s="897"/>
      <c r="FBJ107" s="897"/>
      <c r="FBK107" s="897"/>
      <c r="FBL107" s="897"/>
      <c r="FBM107" s="897"/>
      <c r="FBN107" s="897"/>
      <c r="FBO107" s="895"/>
      <c r="FBP107" s="895"/>
      <c r="FBQ107" s="896"/>
      <c r="FBR107" s="897"/>
      <c r="FBS107" s="897"/>
      <c r="FBT107" s="897"/>
      <c r="FBU107" s="897"/>
      <c r="FBV107" s="897"/>
      <c r="FBW107" s="897"/>
      <c r="FBX107" s="897"/>
      <c r="FBY107" s="897"/>
      <c r="FBZ107" s="895"/>
      <c r="FCA107" s="895"/>
      <c r="FCB107" s="896"/>
      <c r="FCC107" s="897"/>
      <c r="FCD107" s="897"/>
      <c r="FCE107" s="897"/>
      <c r="FCF107" s="897"/>
      <c r="FCG107" s="897"/>
      <c r="FCH107" s="897"/>
      <c r="FCI107" s="897"/>
      <c r="FCJ107" s="897"/>
      <c r="FCK107" s="895"/>
      <c r="FCL107" s="895"/>
      <c r="FCM107" s="896"/>
      <c r="FCN107" s="897"/>
      <c r="FCO107" s="897"/>
      <c r="FCP107" s="897"/>
      <c r="FCQ107" s="897"/>
      <c r="FCR107" s="897"/>
      <c r="FCS107" s="897"/>
      <c r="FCT107" s="897"/>
      <c r="FCU107" s="897"/>
      <c r="FCV107" s="895"/>
      <c r="FCW107" s="895"/>
      <c r="FCX107" s="896"/>
      <c r="FCY107" s="897"/>
      <c r="FCZ107" s="897"/>
      <c r="FDA107" s="897"/>
      <c r="FDB107" s="897"/>
      <c r="FDC107" s="897"/>
      <c r="FDD107" s="897"/>
      <c r="FDE107" s="897"/>
      <c r="FDF107" s="897"/>
      <c r="FDG107" s="895"/>
      <c r="FDH107" s="895"/>
      <c r="FDI107" s="896"/>
      <c r="FDJ107" s="897"/>
      <c r="FDK107" s="897"/>
      <c r="FDL107" s="897"/>
      <c r="FDM107" s="897"/>
      <c r="FDN107" s="897"/>
      <c r="FDO107" s="897"/>
      <c r="FDP107" s="897"/>
      <c r="FDQ107" s="897"/>
      <c r="FDR107" s="895"/>
      <c r="FDS107" s="895"/>
      <c r="FDT107" s="896"/>
      <c r="FDU107" s="897"/>
      <c r="FDV107" s="897"/>
      <c r="FDW107" s="897"/>
      <c r="FDX107" s="897"/>
      <c r="FDY107" s="897"/>
      <c r="FDZ107" s="897"/>
      <c r="FEA107" s="897"/>
      <c r="FEB107" s="897"/>
      <c r="FEC107" s="895"/>
      <c r="FED107" s="895"/>
      <c r="FEE107" s="896"/>
      <c r="FEF107" s="897"/>
      <c r="FEG107" s="897"/>
      <c r="FEH107" s="897"/>
      <c r="FEI107" s="897"/>
      <c r="FEJ107" s="897"/>
      <c r="FEK107" s="897"/>
      <c r="FEL107" s="897"/>
      <c r="FEM107" s="897"/>
      <c r="FEN107" s="895"/>
      <c r="FEO107" s="895"/>
      <c r="FEP107" s="896"/>
      <c r="FEQ107" s="897"/>
      <c r="FER107" s="897"/>
      <c r="FES107" s="897"/>
      <c r="FET107" s="897"/>
      <c r="FEU107" s="897"/>
      <c r="FEV107" s="897"/>
      <c r="FEW107" s="897"/>
      <c r="FEX107" s="897"/>
      <c r="FEY107" s="895"/>
      <c r="FEZ107" s="895"/>
      <c r="FFA107" s="896"/>
      <c r="FFB107" s="897"/>
      <c r="FFC107" s="897"/>
      <c r="FFD107" s="897"/>
      <c r="FFE107" s="897"/>
      <c r="FFF107" s="897"/>
      <c r="FFG107" s="897"/>
      <c r="FFH107" s="897"/>
      <c r="FFI107" s="897"/>
      <c r="FFJ107" s="895"/>
      <c r="FFK107" s="895"/>
      <c r="FFL107" s="896"/>
      <c r="FFM107" s="897"/>
      <c r="FFN107" s="897"/>
      <c r="FFO107" s="897"/>
      <c r="FFP107" s="897"/>
      <c r="FFQ107" s="897"/>
      <c r="FFR107" s="897"/>
      <c r="FFS107" s="897"/>
      <c r="FFT107" s="897"/>
      <c r="FFU107" s="895"/>
      <c r="FFV107" s="895"/>
      <c r="FFW107" s="896"/>
      <c r="FFX107" s="897"/>
      <c r="FFY107" s="897"/>
      <c r="FFZ107" s="897"/>
      <c r="FGA107" s="897"/>
      <c r="FGB107" s="897"/>
      <c r="FGC107" s="897"/>
      <c r="FGD107" s="897"/>
      <c r="FGE107" s="897"/>
      <c r="FGF107" s="895"/>
      <c r="FGG107" s="895"/>
      <c r="FGH107" s="896"/>
      <c r="FGI107" s="897"/>
      <c r="FGJ107" s="897"/>
      <c r="FGK107" s="897"/>
      <c r="FGL107" s="897"/>
      <c r="FGM107" s="897"/>
      <c r="FGN107" s="897"/>
      <c r="FGO107" s="897"/>
      <c r="FGP107" s="897"/>
      <c r="FGQ107" s="895"/>
      <c r="FGR107" s="895"/>
      <c r="FGS107" s="896"/>
      <c r="FGT107" s="897"/>
      <c r="FGU107" s="897"/>
      <c r="FGV107" s="897"/>
      <c r="FGW107" s="897"/>
      <c r="FGX107" s="897"/>
      <c r="FGY107" s="897"/>
      <c r="FGZ107" s="897"/>
      <c r="FHA107" s="897"/>
      <c r="FHB107" s="895"/>
      <c r="FHC107" s="895"/>
      <c r="FHD107" s="896"/>
      <c r="FHE107" s="897"/>
      <c r="FHF107" s="897"/>
      <c r="FHG107" s="897"/>
      <c r="FHH107" s="897"/>
      <c r="FHI107" s="897"/>
      <c r="FHJ107" s="897"/>
      <c r="FHK107" s="897"/>
      <c r="FHL107" s="897"/>
      <c r="FHM107" s="895"/>
      <c r="FHN107" s="895"/>
      <c r="FHO107" s="896"/>
      <c r="FHP107" s="897"/>
      <c r="FHQ107" s="897"/>
      <c r="FHR107" s="897"/>
      <c r="FHS107" s="897"/>
      <c r="FHT107" s="897"/>
      <c r="FHU107" s="897"/>
      <c r="FHV107" s="897"/>
      <c r="FHW107" s="897"/>
      <c r="FHX107" s="895"/>
      <c r="FHY107" s="895"/>
      <c r="FHZ107" s="896"/>
      <c r="FIA107" s="897"/>
      <c r="FIB107" s="897"/>
      <c r="FIC107" s="897"/>
      <c r="FID107" s="897"/>
      <c r="FIE107" s="897"/>
      <c r="FIF107" s="897"/>
      <c r="FIG107" s="897"/>
      <c r="FIH107" s="897"/>
      <c r="FII107" s="895"/>
      <c r="FIJ107" s="895"/>
      <c r="FIK107" s="896"/>
      <c r="FIL107" s="897"/>
      <c r="FIM107" s="897"/>
      <c r="FIN107" s="897"/>
      <c r="FIO107" s="897"/>
      <c r="FIP107" s="897"/>
      <c r="FIQ107" s="897"/>
      <c r="FIR107" s="897"/>
      <c r="FIS107" s="897"/>
      <c r="FIT107" s="895"/>
      <c r="FIU107" s="895"/>
      <c r="FIV107" s="896"/>
      <c r="FIW107" s="897"/>
      <c r="FIX107" s="897"/>
      <c r="FIY107" s="897"/>
      <c r="FIZ107" s="897"/>
      <c r="FJA107" s="897"/>
      <c r="FJB107" s="897"/>
      <c r="FJC107" s="897"/>
      <c r="FJD107" s="897"/>
      <c r="FJE107" s="895"/>
      <c r="FJF107" s="895"/>
      <c r="FJG107" s="896"/>
      <c r="FJH107" s="897"/>
      <c r="FJI107" s="897"/>
      <c r="FJJ107" s="897"/>
      <c r="FJK107" s="897"/>
      <c r="FJL107" s="897"/>
      <c r="FJM107" s="897"/>
      <c r="FJN107" s="897"/>
      <c r="FJO107" s="897"/>
      <c r="FJP107" s="895"/>
      <c r="FJQ107" s="895"/>
      <c r="FJR107" s="896"/>
      <c r="FJS107" s="897"/>
      <c r="FJT107" s="897"/>
      <c r="FJU107" s="897"/>
      <c r="FJV107" s="897"/>
      <c r="FJW107" s="897"/>
      <c r="FJX107" s="897"/>
      <c r="FJY107" s="897"/>
      <c r="FJZ107" s="897"/>
      <c r="FKA107" s="895"/>
      <c r="FKB107" s="895"/>
      <c r="FKC107" s="896"/>
      <c r="FKD107" s="897"/>
      <c r="FKE107" s="897"/>
      <c r="FKF107" s="897"/>
      <c r="FKG107" s="897"/>
      <c r="FKH107" s="897"/>
      <c r="FKI107" s="897"/>
      <c r="FKJ107" s="897"/>
      <c r="FKK107" s="897"/>
      <c r="FKL107" s="895"/>
      <c r="FKM107" s="895"/>
      <c r="FKN107" s="896"/>
      <c r="FKO107" s="897"/>
      <c r="FKP107" s="897"/>
      <c r="FKQ107" s="897"/>
      <c r="FKR107" s="897"/>
      <c r="FKS107" s="897"/>
      <c r="FKT107" s="897"/>
      <c r="FKU107" s="897"/>
      <c r="FKV107" s="897"/>
      <c r="FKW107" s="895"/>
      <c r="FKX107" s="895"/>
      <c r="FKY107" s="896"/>
      <c r="FKZ107" s="897"/>
      <c r="FLA107" s="897"/>
      <c r="FLB107" s="897"/>
      <c r="FLC107" s="897"/>
      <c r="FLD107" s="897"/>
      <c r="FLE107" s="897"/>
      <c r="FLF107" s="897"/>
      <c r="FLG107" s="897"/>
      <c r="FLH107" s="895"/>
      <c r="FLI107" s="895"/>
      <c r="FLJ107" s="896"/>
      <c r="FLK107" s="897"/>
      <c r="FLL107" s="897"/>
      <c r="FLM107" s="897"/>
      <c r="FLN107" s="897"/>
      <c r="FLO107" s="897"/>
      <c r="FLP107" s="897"/>
      <c r="FLQ107" s="897"/>
      <c r="FLR107" s="897"/>
      <c r="FLS107" s="895"/>
      <c r="FLT107" s="895"/>
      <c r="FLU107" s="896"/>
      <c r="FLV107" s="897"/>
      <c r="FLW107" s="897"/>
      <c r="FLX107" s="897"/>
      <c r="FLY107" s="897"/>
      <c r="FLZ107" s="897"/>
      <c r="FMA107" s="897"/>
      <c r="FMB107" s="897"/>
      <c r="FMC107" s="897"/>
      <c r="FMD107" s="895"/>
      <c r="FME107" s="895"/>
      <c r="FMF107" s="896"/>
      <c r="FMG107" s="897"/>
      <c r="FMH107" s="897"/>
      <c r="FMI107" s="897"/>
      <c r="FMJ107" s="897"/>
      <c r="FMK107" s="897"/>
      <c r="FML107" s="897"/>
      <c r="FMM107" s="897"/>
      <c r="FMN107" s="897"/>
      <c r="FMO107" s="895"/>
      <c r="FMP107" s="895"/>
      <c r="FMQ107" s="896"/>
      <c r="FMR107" s="897"/>
      <c r="FMS107" s="897"/>
      <c r="FMT107" s="897"/>
      <c r="FMU107" s="897"/>
      <c r="FMV107" s="897"/>
      <c r="FMW107" s="897"/>
      <c r="FMX107" s="897"/>
      <c r="FMY107" s="897"/>
      <c r="FMZ107" s="895"/>
      <c r="FNA107" s="895"/>
      <c r="FNB107" s="896"/>
      <c r="FNC107" s="897"/>
      <c r="FND107" s="897"/>
      <c r="FNE107" s="897"/>
      <c r="FNF107" s="897"/>
      <c r="FNG107" s="897"/>
      <c r="FNH107" s="897"/>
      <c r="FNI107" s="897"/>
      <c r="FNJ107" s="897"/>
      <c r="FNK107" s="895"/>
      <c r="FNL107" s="895"/>
      <c r="FNM107" s="896"/>
      <c r="FNN107" s="897"/>
      <c r="FNO107" s="897"/>
      <c r="FNP107" s="897"/>
      <c r="FNQ107" s="897"/>
      <c r="FNR107" s="897"/>
      <c r="FNS107" s="897"/>
      <c r="FNT107" s="897"/>
      <c r="FNU107" s="897"/>
      <c r="FNV107" s="895"/>
      <c r="FNW107" s="895"/>
      <c r="FNX107" s="896"/>
      <c r="FNY107" s="897"/>
      <c r="FNZ107" s="897"/>
      <c r="FOA107" s="897"/>
      <c r="FOB107" s="897"/>
      <c r="FOC107" s="897"/>
      <c r="FOD107" s="897"/>
      <c r="FOE107" s="897"/>
      <c r="FOF107" s="897"/>
      <c r="FOG107" s="895"/>
      <c r="FOH107" s="895"/>
      <c r="FOI107" s="896"/>
      <c r="FOJ107" s="897"/>
      <c r="FOK107" s="897"/>
      <c r="FOL107" s="897"/>
      <c r="FOM107" s="897"/>
      <c r="FON107" s="897"/>
      <c r="FOO107" s="897"/>
      <c r="FOP107" s="897"/>
      <c r="FOQ107" s="897"/>
      <c r="FOR107" s="895"/>
      <c r="FOS107" s="895"/>
      <c r="FOT107" s="896"/>
      <c r="FOU107" s="897"/>
      <c r="FOV107" s="897"/>
      <c r="FOW107" s="897"/>
      <c r="FOX107" s="897"/>
      <c r="FOY107" s="897"/>
      <c r="FOZ107" s="897"/>
      <c r="FPA107" s="897"/>
      <c r="FPB107" s="897"/>
      <c r="FPC107" s="895"/>
      <c r="FPD107" s="895"/>
      <c r="FPE107" s="896"/>
      <c r="FPF107" s="897"/>
      <c r="FPG107" s="897"/>
      <c r="FPH107" s="897"/>
      <c r="FPI107" s="897"/>
      <c r="FPJ107" s="897"/>
      <c r="FPK107" s="897"/>
      <c r="FPL107" s="897"/>
      <c r="FPM107" s="897"/>
      <c r="FPN107" s="895"/>
      <c r="FPO107" s="895"/>
      <c r="FPP107" s="896"/>
      <c r="FPQ107" s="897"/>
      <c r="FPR107" s="897"/>
      <c r="FPS107" s="897"/>
      <c r="FPT107" s="897"/>
      <c r="FPU107" s="897"/>
      <c r="FPV107" s="897"/>
      <c r="FPW107" s="897"/>
      <c r="FPX107" s="897"/>
      <c r="FPY107" s="895"/>
      <c r="FPZ107" s="895"/>
      <c r="FQA107" s="896"/>
      <c r="FQB107" s="897"/>
      <c r="FQC107" s="897"/>
      <c r="FQD107" s="897"/>
      <c r="FQE107" s="897"/>
      <c r="FQF107" s="897"/>
      <c r="FQG107" s="897"/>
      <c r="FQH107" s="897"/>
      <c r="FQI107" s="897"/>
      <c r="FQJ107" s="895"/>
      <c r="FQK107" s="895"/>
      <c r="FQL107" s="896"/>
      <c r="FQM107" s="897"/>
      <c r="FQN107" s="897"/>
      <c r="FQO107" s="897"/>
      <c r="FQP107" s="897"/>
      <c r="FQQ107" s="897"/>
      <c r="FQR107" s="897"/>
      <c r="FQS107" s="897"/>
      <c r="FQT107" s="897"/>
      <c r="FQU107" s="895"/>
      <c r="FQV107" s="895"/>
      <c r="FQW107" s="896"/>
      <c r="FQX107" s="897"/>
      <c r="FQY107" s="897"/>
      <c r="FQZ107" s="897"/>
      <c r="FRA107" s="897"/>
      <c r="FRB107" s="897"/>
      <c r="FRC107" s="897"/>
      <c r="FRD107" s="897"/>
      <c r="FRE107" s="897"/>
      <c r="FRF107" s="895"/>
      <c r="FRG107" s="895"/>
      <c r="FRH107" s="896"/>
      <c r="FRI107" s="897"/>
      <c r="FRJ107" s="897"/>
      <c r="FRK107" s="897"/>
      <c r="FRL107" s="897"/>
      <c r="FRM107" s="897"/>
      <c r="FRN107" s="897"/>
      <c r="FRO107" s="897"/>
      <c r="FRP107" s="897"/>
      <c r="FRQ107" s="895"/>
      <c r="FRR107" s="895"/>
      <c r="FRS107" s="896"/>
      <c r="FRT107" s="897"/>
      <c r="FRU107" s="897"/>
      <c r="FRV107" s="897"/>
      <c r="FRW107" s="897"/>
      <c r="FRX107" s="897"/>
      <c r="FRY107" s="897"/>
      <c r="FRZ107" s="897"/>
      <c r="FSA107" s="897"/>
      <c r="FSB107" s="895"/>
      <c r="FSC107" s="895"/>
      <c r="FSD107" s="896"/>
      <c r="FSE107" s="897"/>
      <c r="FSF107" s="897"/>
      <c r="FSG107" s="897"/>
      <c r="FSH107" s="897"/>
      <c r="FSI107" s="897"/>
      <c r="FSJ107" s="897"/>
      <c r="FSK107" s="897"/>
      <c r="FSL107" s="897"/>
      <c r="FSM107" s="895"/>
      <c r="FSN107" s="895"/>
      <c r="FSO107" s="896"/>
      <c r="FSP107" s="897"/>
      <c r="FSQ107" s="897"/>
      <c r="FSR107" s="897"/>
      <c r="FSS107" s="897"/>
      <c r="FST107" s="897"/>
      <c r="FSU107" s="897"/>
      <c r="FSV107" s="897"/>
      <c r="FSW107" s="897"/>
      <c r="FSX107" s="895"/>
      <c r="FSY107" s="895"/>
      <c r="FSZ107" s="896"/>
      <c r="FTA107" s="897"/>
      <c r="FTB107" s="897"/>
      <c r="FTC107" s="897"/>
      <c r="FTD107" s="897"/>
      <c r="FTE107" s="897"/>
      <c r="FTF107" s="897"/>
      <c r="FTG107" s="897"/>
      <c r="FTH107" s="897"/>
      <c r="FTI107" s="895"/>
      <c r="FTJ107" s="895"/>
      <c r="FTK107" s="896"/>
      <c r="FTL107" s="897"/>
      <c r="FTM107" s="897"/>
      <c r="FTN107" s="897"/>
      <c r="FTO107" s="897"/>
      <c r="FTP107" s="897"/>
      <c r="FTQ107" s="897"/>
      <c r="FTR107" s="897"/>
      <c r="FTS107" s="897"/>
      <c r="FTT107" s="895"/>
      <c r="FTU107" s="895"/>
      <c r="FTV107" s="896"/>
      <c r="FTW107" s="897"/>
      <c r="FTX107" s="897"/>
      <c r="FTY107" s="897"/>
      <c r="FTZ107" s="897"/>
      <c r="FUA107" s="897"/>
      <c r="FUB107" s="897"/>
      <c r="FUC107" s="897"/>
      <c r="FUD107" s="897"/>
      <c r="FUE107" s="895"/>
      <c r="FUF107" s="895"/>
      <c r="FUG107" s="896"/>
      <c r="FUH107" s="897"/>
      <c r="FUI107" s="897"/>
      <c r="FUJ107" s="897"/>
      <c r="FUK107" s="897"/>
      <c r="FUL107" s="897"/>
      <c r="FUM107" s="897"/>
      <c r="FUN107" s="897"/>
      <c r="FUO107" s="897"/>
      <c r="FUP107" s="895"/>
      <c r="FUQ107" s="895"/>
      <c r="FUR107" s="896"/>
      <c r="FUS107" s="897"/>
      <c r="FUT107" s="897"/>
      <c r="FUU107" s="897"/>
      <c r="FUV107" s="897"/>
      <c r="FUW107" s="897"/>
      <c r="FUX107" s="897"/>
      <c r="FUY107" s="897"/>
      <c r="FUZ107" s="897"/>
      <c r="FVA107" s="895"/>
      <c r="FVB107" s="895"/>
      <c r="FVC107" s="896"/>
      <c r="FVD107" s="897"/>
      <c r="FVE107" s="897"/>
      <c r="FVF107" s="897"/>
      <c r="FVG107" s="897"/>
      <c r="FVH107" s="897"/>
      <c r="FVI107" s="897"/>
      <c r="FVJ107" s="897"/>
      <c r="FVK107" s="897"/>
      <c r="FVL107" s="895"/>
      <c r="FVM107" s="895"/>
      <c r="FVN107" s="896"/>
      <c r="FVO107" s="897"/>
      <c r="FVP107" s="897"/>
      <c r="FVQ107" s="897"/>
      <c r="FVR107" s="897"/>
      <c r="FVS107" s="897"/>
      <c r="FVT107" s="897"/>
      <c r="FVU107" s="897"/>
      <c r="FVV107" s="897"/>
      <c r="FVW107" s="895"/>
      <c r="FVX107" s="895"/>
      <c r="FVY107" s="896"/>
      <c r="FVZ107" s="897"/>
      <c r="FWA107" s="897"/>
      <c r="FWB107" s="897"/>
      <c r="FWC107" s="897"/>
      <c r="FWD107" s="897"/>
      <c r="FWE107" s="897"/>
      <c r="FWF107" s="897"/>
      <c r="FWG107" s="897"/>
      <c r="FWH107" s="895"/>
      <c r="FWI107" s="895"/>
      <c r="FWJ107" s="896"/>
      <c r="FWK107" s="897"/>
      <c r="FWL107" s="897"/>
      <c r="FWM107" s="897"/>
      <c r="FWN107" s="897"/>
      <c r="FWO107" s="897"/>
      <c r="FWP107" s="897"/>
      <c r="FWQ107" s="897"/>
      <c r="FWR107" s="897"/>
      <c r="FWS107" s="895"/>
      <c r="FWT107" s="895"/>
      <c r="FWU107" s="896"/>
      <c r="FWV107" s="897"/>
      <c r="FWW107" s="897"/>
      <c r="FWX107" s="897"/>
      <c r="FWY107" s="897"/>
      <c r="FWZ107" s="897"/>
      <c r="FXA107" s="897"/>
      <c r="FXB107" s="897"/>
      <c r="FXC107" s="897"/>
      <c r="FXD107" s="895"/>
      <c r="FXE107" s="895"/>
      <c r="FXF107" s="896"/>
      <c r="FXG107" s="897"/>
      <c r="FXH107" s="897"/>
      <c r="FXI107" s="897"/>
      <c r="FXJ107" s="897"/>
      <c r="FXK107" s="897"/>
      <c r="FXL107" s="897"/>
      <c r="FXM107" s="897"/>
      <c r="FXN107" s="897"/>
      <c r="FXO107" s="895"/>
      <c r="FXP107" s="895"/>
      <c r="FXQ107" s="896"/>
      <c r="FXR107" s="897"/>
      <c r="FXS107" s="897"/>
      <c r="FXT107" s="897"/>
      <c r="FXU107" s="897"/>
      <c r="FXV107" s="897"/>
      <c r="FXW107" s="897"/>
      <c r="FXX107" s="897"/>
      <c r="FXY107" s="897"/>
      <c r="FXZ107" s="895"/>
      <c r="FYA107" s="895"/>
      <c r="FYB107" s="896"/>
      <c r="FYC107" s="897"/>
      <c r="FYD107" s="897"/>
      <c r="FYE107" s="897"/>
      <c r="FYF107" s="897"/>
      <c r="FYG107" s="897"/>
      <c r="FYH107" s="897"/>
      <c r="FYI107" s="897"/>
      <c r="FYJ107" s="897"/>
      <c r="FYK107" s="895"/>
      <c r="FYL107" s="895"/>
      <c r="FYM107" s="896"/>
      <c r="FYN107" s="897"/>
      <c r="FYO107" s="897"/>
      <c r="FYP107" s="897"/>
      <c r="FYQ107" s="897"/>
      <c r="FYR107" s="897"/>
      <c r="FYS107" s="897"/>
      <c r="FYT107" s="897"/>
      <c r="FYU107" s="897"/>
      <c r="FYV107" s="895"/>
      <c r="FYW107" s="895"/>
      <c r="FYX107" s="896"/>
      <c r="FYY107" s="897"/>
      <c r="FYZ107" s="897"/>
      <c r="FZA107" s="897"/>
      <c r="FZB107" s="897"/>
      <c r="FZC107" s="897"/>
      <c r="FZD107" s="897"/>
      <c r="FZE107" s="897"/>
      <c r="FZF107" s="897"/>
      <c r="FZG107" s="895"/>
      <c r="FZH107" s="895"/>
      <c r="FZI107" s="896"/>
      <c r="FZJ107" s="897"/>
      <c r="FZK107" s="897"/>
      <c r="FZL107" s="897"/>
      <c r="FZM107" s="897"/>
      <c r="FZN107" s="897"/>
      <c r="FZO107" s="897"/>
      <c r="FZP107" s="897"/>
      <c r="FZQ107" s="897"/>
      <c r="FZR107" s="895"/>
      <c r="FZS107" s="895"/>
      <c r="FZT107" s="896"/>
      <c r="FZU107" s="897"/>
      <c r="FZV107" s="897"/>
      <c r="FZW107" s="897"/>
      <c r="FZX107" s="897"/>
      <c r="FZY107" s="897"/>
      <c r="FZZ107" s="897"/>
      <c r="GAA107" s="897"/>
      <c r="GAB107" s="897"/>
      <c r="GAC107" s="895"/>
      <c r="GAD107" s="895"/>
      <c r="GAE107" s="896"/>
      <c r="GAF107" s="897"/>
      <c r="GAG107" s="897"/>
      <c r="GAH107" s="897"/>
      <c r="GAI107" s="897"/>
      <c r="GAJ107" s="897"/>
      <c r="GAK107" s="897"/>
      <c r="GAL107" s="897"/>
      <c r="GAM107" s="897"/>
      <c r="GAN107" s="895"/>
      <c r="GAO107" s="895"/>
      <c r="GAP107" s="896"/>
      <c r="GAQ107" s="897"/>
      <c r="GAR107" s="897"/>
      <c r="GAS107" s="897"/>
      <c r="GAT107" s="897"/>
      <c r="GAU107" s="897"/>
      <c r="GAV107" s="897"/>
      <c r="GAW107" s="897"/>
      <c r="GAX107" s="897"/>
      <c r="GAY107" s="895"/>
      <c r="GAZ107" s="895"/>
      <c r="GBA107" s="896"/>
      <c r="GBB107" s="897"/>
      <c r="GBC107" s="897"/>
      <c r="GBD107" s="897"/>
      <c r="GBE107" s="897"/>
      <c r="GBF107" s="897"/>
      <c r="GBG107" s="897"/>
      <c r="GBH107" s="897"/>
      <c r="GBI107" s="897"/>
      <c r="GBJ107" s="895"/>
      <c r="GBK107" s="895"/>
      <c r="GBL107" s="896"/>
      <c r="GBM107" s="897"/>
      <c r="GBN107" s="897"/>
      <c r="GBO107" s="897"/>
      <c r="GBP107" s="897"/>
      <c r="GBQ107" s="897"/>
      <c r="GBR107" s="897"/>
      <c r="GBS107" s="897"/>
      <c r="GBT107" s="897"/>
      <c r="GBU107" s="895"/>
      <c r="GBV107" s="895"/>
      <c r="GBW107" s="896"/>
      <c r="GBX107" s="897"/>
      <c r="GBY107" s="897"/>
      <c r="GBZ107" s="897"/>
      <c r="GCA107" s="897"/>
      <c r="GCB107" s="897"/>
      <c r="GCC107" s="897"/>
      <c r="GCD107" s="897"/>
      <c r="GCE107" s="897"/>
      <c r="GCF107" s="895"/>
      <c r="GCG107" s="895"/>
      <c r="GCH107" s="896"/>
      <c r="GCI107" s="897"/>
      <c r="GCJ107" s="897"/>
      <c r="GCK107" s="897"/>
      <c r="GCL107" s="897"/>
      <c r="GCM107" s="897"/>
      <c r="GCN107" s="897"/>
      <c r="GCO107" s="897"/>
      <c r="GCP107" s="897"/>
      <c r="GCQ107" s="895"/>
      <c r="GCR107" s="895"/>
      <c r="GCS107" s="896"/>
      <c r="GCT107" s="897"/>
      <c r="GCU107" s="897"/>
      <c r="GCV107" s="897"/>
      <c r="GCW107" s="897"/>
      <c r="GCX107" s="897"/>
      <c r="GCY107" s="897"/>
      <c r="GCZ107" s="897"/>
      <c r="GDA107" s="897"/>
      <c r="GDB107" s="895"/>
      <c r="GDC107" s="895"/>
      <c r="GDD107" s="896"/>
      <c r="GDE107" s="897"/>
      <c r="GDF107" s="897"/>
      <c r="GDG107" s="897"/>
      <c r="GDH107" s="897"/>
      <c r="GDI107" s="897"/>
      <c r="GDJ107" s="897"/>
      <c r="GDK107" s="897"/>
      <c r="GDL107" s="897"/>
      <c r="GDM107" s="895"/>
      <c r="GDN107" s="895"/>
      <c r="GDO107" s="896"/>
      <c r="GDP107" s="897"/>
      <c r="GDQ107" s="897"/>
      <c r="GDR107" s="897"/>
      <c r="GDS107" s="897"/>
      <c r="GDT107" s="897"/>
      <c r="GDU107" s="897"/>
      <c r="GDV107" s="897"/>
      <c r="GDW107" s="897"/>
      <c r="GDX107" s="895"/>
      <c r="GDY107" s="895"/>
      <c r="GDZ107" s="896"/>
      <c r="GEA107" s="897"/>
      <c r="GEB107" s="897"/>
      <c r="GEC107" s="897"/>
      <c r="GED107" s="897"/>
      <c r="GEE107" s="897"/>
      <c r="GEF107" s="897"/>
      <c r="GEG107" s="897"/>
      <c r="GEH107" s="897"/>
      <c r="GEI107" s="895"/>
      <c r="GEJ107" s="895"/>
      <c r="GEK107" s="896"/>
      <c r="GEL107" s="897"/>
      <c r="GEM107" s="897"/>
      <c r="GEN107" s="897"/>
      <c r="GEO107" s="897"/>
      <c r="GEP107" s="897"/>
      <c r="GEQ107" s="897"/>
      <c r="GER107" s="897"/>
      <c r="GES107" s="897"/>
      <c r="GET107" s="895"/>
      <c r="GEU107" s="895"/>
      <c r="GEV107" s="896"/>
      <c r="GEW107" s="897"/>
      <c r="GEX107" s="897"/>
      <c r="GEY107" s="897"/>
      <c r="GEZ107" s="897"/>
      <c r="GFA107" s="897"/>
      <c r="GFB107" s="897"/>
      <c r="GFC107" s="897"/>
      <c r="GFD107" s="897"/>
      <c r="GFE107" s="895"/>
      <c r="GFF107" s="895"/>
      <c r="GFG107" s="896"/>
      <c r="GFH107" s="897"/>
      <c r="GFI107" s="897"/>
      <c r="GFJ107" s="897"/>
      <c r="GFK107" s="897"/>
      <c r="GFL107" s="897"/>
      <c r="GFM107" s="897"/>
      <c r="GFN107" s="897"/>
      <c r="GFO107" s="897"/>
      <c r="GFP107" s="895"/>
      <c r="GFQ107" s="895"/>
      <c r="GFR107" s="896"/>
      <c r="GFS107" s="897"/>
      <c r="GFT107" s="897"/>
      <c r="GFU107" s="897"/>
      <c r="GFV107" s="897"/>
      <c r="GFW107" s="897"/>
      <c r="GFX107" s="897"/>
      <c r="GFY107" s="897"/>
      <c r="GFZ107" s="897"/>
      <c r="GGA107" s="895"/>
      <c r="GGB107" s="895"/>
      <c r="GGC107" s="896"/>
      <c r="GGD107" s="897"/>
      <c r="GGE107" s="897"/>
      <c r="GGF107" s="897"/>
      <c r="GGG107" s="897"/>
      <c r="GGH107" s="897"/>
      <c r="GGI107" s="897"/>
      <c r="GGJ107" s="897"/>
      <c r="GGK107" s="897"/>
      <c r="GGL107" s="895"/>
      <c r="GGM107" s="895"/>
      <c r="GGN107" s="896"/>
      <c r="GGO107" s="897"/>
      <c r="GGP107" s="897"/>
      <c r="GGQ107" s="897"/>
      <c r="GGR107" s="897"/>
      <c r="GGS107" s="897"/>
      <c r="GGT107" s="897"/>
      <c r="GGU107" s="897"/>
      <c r="GGV107" s="897"/>
      <c r="GGW107" s="895"/>
      <c r="GGX107" s="895"/>
      <c r="GGY107" s="896"/>
      <c r="GGZ107" s="897"/>
      <c r="GHA107" s="897"/>
      <c r="GHB107" s="897"/>
      <c r="GHC107" s="897"/>
      <c r="GHD107" s="897"/>
      <c r="GHE107" s="897"/>
      <c r="GHF107" s="897"/>
      <c r="GHG107" s="897"/>
      <c r="GHH107" s="895"/>
      <c r="GHI107" s="895"/>
      <c r="GHJ107" s="896"/>
      <c r="GHK107" s="897"/>
      <c r="GHL107" s="897"/>
      <c r="GHM107" s="897"/>
      <c r="GHN107" s="897"/>
      <c r="GHO107" s="897"/>
      <c r="GHP107" s="897"/>
      <c r="GHQ107" s="897"/>
      <c r="GHR107" s="897"/>
      <c r="GHS107" s="895"/>
      <c r="GHT107" s="895"/>
      <c r="GHU107" s="896"/>
      <c r="GHV107" s="897"/>
      <c r="GHW107" s="897"/>
      <c r="GHX107" s="897"/>
      <c r="GHY107" s="897"/>
      <c r="GHZ107" s="897"/>
      <c r="GIA107" s="897"/>
      <c r="GIB107" s="897"/>
      <c r="GIC107" s="897"/>
      <c r="GID107" s="895"/>
      <c r="GIE107" s="895"/>
      <c r="GIF107" s="896"/>
      <c r="GIG107" s="897"/>
      <c r="GIH107" s="897"/>
      <c r="GII107" s="897"/>
      <c r="GIJ107" s="897"/>
      <c r="GIK107" s="897"/>
      <c r="GIL107" s="897"/>
      <c r="GIM107" s="897"/>
      <c r="GIN107" s="897"/>
      <c r="GIO107" s="895"/>
      <c r="GIP107" s="895"/>
      <c r="GIQ107" s="896"/>
      <c r="GIR107" s="897"/>
      <c r="GIS107" s="897"/>
      <c r="GIT107" s="897"/>
      <c r="GIU107" s="897"/>
      <c r="GIV107" s="897"/>
      <c r="GIW107" s="897"/>
      <c r="GIX107" s="897"/>
      <c r="GIY107" s="897"/>
      <c r="GIZ107" s="895"/>
      <c r="GJA107" s="895"/>
      <c r="GJB107" s="896"/>
      <c r="GJC107" s="897"/>
      <c r="GJD107" s="897"/>
      <c r="GJE107" s="897"/>
      <c r="GJF107" s="897"/>
      <c r="GJG107" s="897"/>
      <c r="GJH107" s="897"/>
      <c r="GJI107" s="897"/>
      <c r="GJJ107" s="897"/>
      <c r="GJK107" s="895"/>
      <c r="GJL107" s="895"/>
      <c r="GJM107" s="896"/>
      <c r="GJN107" s="897"/>
      <c r="GJO107" s="897"/>
      <c r="GJP107" s="897"/>
      <c r="GJQ107" s="897"/>
      <c r="GJR107" s="897"/>
      <c r="GJS107" s="897"/>
      <c r="GJT107" s="897"/>
      <c r="GJU107" s="897"/>
      <c r="GJV107" s="895"/>
      <c r="GJW107" s="895"/>
      <c r="GJX107" s="896"/>
      <c r="GJY107" s="897"/>
      <c r="GJZ107" s="897"/>
      <c r="GKA107" s="897"/>
      <c r="GKB107" s="897"/>
      <c r="GKC107" s="897"/>
      <c r="GKD107" s="897"/>
      <c r="GKE107" s="897"/>
      <c r="GKF107" s="897"/>
      <c r="GKG107" s="895"/>
      <c r="GKH107" s="895"/>
      <c r="GKI107" s="896"/>
      <c r="GKJ107" s="897"/>
      <c r="GKK107" s="897"/>
      <c r="GKL107" s="897"/>
      <c r="GKM107" s="897"/>
      <c r="GKN107" s="897"/>
      <c r="GKO107" s="897"/>
      <c r="GKP107" s="897"/>
      <c r="GKQ107" s="897"/>
      <c r="GKR107" s="895"/>
      <c r="GKS107" s="895"/>
      <c r="GKT107" s="896"/>
      <c r="GKU107" s="897"/>
      <c r="GKV107" s="897"/>
      <c r="GKW107" s="897"/>
      <c r="GKX107" s="897"/>
      <c r="GKY107" s="897"/>
      <c r="GKZ107" s="897"/>
      <c r="GLA107" s="897"/>
      <c r="GLB107" s="897"/>
      <c r="GLC107" s="895"/>
      <c r="GLD107" s="895"/>
      <c r="GLE107" s="896"/>
      <c r="GLF107" s="897"/>
      <c r="GLG107" s="897"/>
      <c r="GLH107" s="897"/>
      <c r="GLI107" s="897"/>
      <c r="GLJ107" s="897"/>
      <c r="GLK107" s="897"/>
      <c r="GLL107" s="897"/>
      <c r="GLM107" s="897"/>
      <c r="GLN107" s="895"/>
      <c r="GLO107" s="895"/>
      <c r="GLP107" s="896"/>
      <c r="GLQ107" s="897"/>
      <c r="GLR107" s="897"/>
      <c r="GLS107" s="897"/>
      <c r="GLT107" s="897"/>
      <c r="GLU107" s="897"/>
      <c r="GLV107" s="897"/>
      <c r="GLW107" s="897"/>
      <c r="GLX107" s="897"/>
      <c r="GLY107" s="895"/>
      <c r="GLZ107" s="895"/>
      <c r="GMA107" s="896"/>
      <c r="GMB107" s="897"/>
      <c r="GMC107" s="897"/>
      <c r="GMD107" s="897"/>
      <c r="GME107" s="897"/>
      <c r="GMF107" s="897"/>
      <c r="GMG107" s="897"/>
      <c r="GMH107" s="897"/>
      <c r="GMI107" s="897"/>
      <c r="GMJ107" s="895"/>
      <c r="GMK107" s="895"/>
      <c r="GML107" s="896"/>
      <c r="GMM107" s="897"/>
      <c r="GMN107" s="897"/>
      <c r="GMO107" s="897"/>
      <c r="GMP107" s="897"/>
      <c r="GMQ107" s="897"/>
      <c r="GMR107" s="897"/>
      <c r="GMS107" s="897"/>
      <c r="GMT107" s="897"/>
      <c r="GMU107" s="895"/>
      <c r="GMV107" s="895"/>
      <c r="GMW107" s="896"/>
      <c r="GMX107" s="897"/>
      <c r="GMY107" s="897"/>
      <c r="GMZ107" s="897"/>
      <c r="GNA107" s="897"/>
      <c r="GNB107" s="897"/>
      <c r="GNC107" s="897"/>
      <c r="GND107" s="897"/>
      <c r="GNE107" s="897"/>
      <c r="GNF107" s="895"/>
      <c r="GNG107" s="895"/>
      <c r="GNH107" s="896"/>
      <c r="GNI107" s="897"/>
      <c r="GNJ107" s="897"/>
      <c r="GNK107" s="897"/>
      <c r="GNL107" s="897"/>
      <c r="GNM107" s="897"/>
      <c r="GNN107" s="897"/>
      <c r="GNO107" s="897"/>
      <c r="GNP107" s="897"/>
      <c r="GNQ107" s="895"/>
      <c r="GNR107" s="895"/>
      <c r="GNS107" s="896"/>
      <c r="GNT107" s="897"/>
      <c r="GNU107" s="897"/>
      <c r="GNV107" s="897"/>
      <c r="GNW107" s="897"/>
      <c r="GNX107" s="897"/>
      <c r="GNY107" s="897"/>
      <c r="GNZ107" s="897"/>
      <c r="GOA107" s="897"/>
      <c r="GOB107" s="895"/>
      <c r="GOC107" s="895"/>
      <c r="GOD107" s="896"/>
      <c r="GOE107" s="897"/>
      <c r="GOF107" s="897"/>
      <c r="GOG107" s="897"/>
      <c r="GOH107" s="897"/>
      <c r="GOI107" s="897"/>
      <c r="GOJ107" s="897"/>
      <c r="GOK107" s="897"/>
      <c r="GOL107" s="897"/>
      <c r="GOM107" s="895"/>
      <c r="GON107" s="895"/>
      <c r="GOO107" s="896"/>
      <c r="GOP107" s="897"/>
      <c r="GOQ107" s="897"/>
      <c r="GOR107" s="897"/>
      <c r="GOS107" s="897"/>
      <c r="GOT107" s="897"/>
      <c r="GOU107" s="897"/>
      <c r="GOV107" s="897"/>
      <c r="GOW107" s="897"/>
      <c r="GOX107" s="895"/>
      <c r="GOY107" s="895"/>
      <c r="GOZ107" s="896"/>
      <c r="GPA107" s="897"/>
      <c r="GPB107" s="897"/>
      <c r="GPC107" s="897"/>
      <c r="GPD107" s="897"/>
      <c r="GPE107" s="897"/>
      <c r="GPF107" s="897"/>
      <c r="GPG107" s="897"/>
      <c r="GPH107" s="897"/>
      <c r="GPI107" s="895"/>
      <c r="GPJ107" s="895"/>
      <c r="GPK107" s="896"/>
      <c r="GPL107" s="897"/>
      <c r="GPM107" s="897"/>
      <c r="GPN107" s="897"/>
      <c r="GPO107" s="897"/>
      <c r="GPP107" s="897"/>
      <c r="GPQ107" s="897"/>
      <c r="GPR107" s="897"/>
      <c r="GPS107" s="897"/>
      <c r="GPT107" s="895"/>
      <c r="GPU107" s="895"/>
      <c r="GPV107" s="896"/>
      <c r="GPW107" s="897"/>
      <c r="GPX107" s="897"/>
      <c r="GPY107" s="897"/>
      <c r="GPZ107" s="897"/>
      <c r="GQA107" s="897"/>
      <c r="GQB107" s="897"/>
      <c r="GQC107" s="897"/>
      <c r="GQD107" s="897"/>
      <c r="GQE107" s="895"/>
      <c r="GQF107" s="895"/>
      <c r="GQG107" s="896"/>
      <c r="GQH107" s="897"/>
      <c r="GQI107" s="897"/>
      <c r="GQJ107" s="897"/>
      <c r="GQK107" s="897"/>
      <c r="GQL107" s="897"/>
      <c r="GQM107" s="897"/>
      <c r="GQN107" s="897"/>
      <c r="GQO107" s="897"/>
      <c r="GQP107" s="895"/>
      <c r="GQQ107" s="895"/>
      <c r="GQR107" s="896"/>
      <c r="GQS107" s="897"/>
      <c r="GQT107" s="897"/>
      <c r="GQU107" s="897"/>
      <c r="GQV107" s="897"/>
      <c r="GQW107" s="897"/>
      <c r="GQX107" s="897"/>
      <c r="GQY107" s="897"/>
      <c r="GQZ107" s="897"/>
      <c r="GRA107" s="895"/>
      <c r="GRB107" s="895"/>
      <c r="GRC107" s="896"/>
      <c r="GRD107" s="897"/>
      <c r="GRE107" s="897"/>
      <c r="GRF107" s="897"/>
      <c r="GRG107" s="897"/>
      <c r="GRH107" s="897"/>
      <c r="GRI107" s="897"/>
      <c r="GRJ107" s="897"/>
      <c r="GRK107" s="897"/>
      <c r="GRL107" s="895"/>
      <c r="GRM107" s="895"/>
      <c r="GRN107" s="896"/>
      <c r="GRO107" s="897"/>
      <c r="GRP107" s="897"/>
      <c r="GRQ107" s="897"/>
      <c r="GRR107" s="897"/>
      <c r="GRS107" s="897"/>
      <c r="GRT107" s="897"/>
      <c r="GRU107" s="897"/>
      <c r="GRV107" s="897"/>
      <c r="GRW107" s="895"/>
      <c r="GRX107" s="895"/>
      <c r="GRY107" s="896"/>
      <c r="GRZ107" s="897"/>
      <c r="GSA107" s="897"/>
      <c r="GSB107" s="897"/>
      <c r="GSC107" s="897"/>
      <c r="GSD107" s="897"/>
      <c r="GSE107" s="897"/>
      <c r="GSF107" s="897"/>
      <c r="GSG107" s="897"/>
      <c r="GSH107" s="895"/>
      <c r="GSI107" s="895"/>
      <c r="GSJ107" s="896"/>
      <c r="GSK107" s="897"/>
      <c r="GSL107" s="897"/>
      <c r="GSM107" s="897"/>
      <c r="GSN107" s="897"/>
      <c r="GSO107" s="897"/>
      <c r="GSP107" s="897"/>
      <c r="GSQ107" s="897"/>
      <c r="GSR107" s="897"/>
      <c r="GSS107" s="895"/>
      <c r="GST107" s="895"/>
      <c r="GSU107" s="896"/>
      <c r="GSV107" s="897"/>
      <c r="GSW107" s="897"/>
      <c r="GSX107" s="897"/>
      <c r="GSY107" s="897"/>
      <c r="GSZ107" s="897"/>
      <c r="GTA107" s="897"/>
      <c r="GTB107" s="897"/>
      <c r="GTC107" s="897"/>
      <c r="GTD107" s="895"/>
      <c r="GTE107" s="895"/>
      <c r="GTF107" s="896"/>
      <c r="GTG107" s="897"/>
      <c r="GTH107" s="897"/>
      <c r="GTI107" s="897"/>
      <c r="GTJ107" s="897"/>
      <c r="GTK107" s="897"/>
      <c r="GTL107" s="897"/>
      <c r="GTM107" s="897"/>
      <c r="GTN107" s="897"/>
      <c r="GTO107" s="895"/>
      <c r="GTP107" s="895"/>
      <c r="GTQ107" s="896"/>
      <c r="GTR107" s="897"/>
      <c r="GTS107" s="897"/>
      <c r="GTT107" s="897"/>
      <c r="GTU107" s="897"/>
      <c r="GTV107" s="897"/>
      <c r="GTW107" s="897"/>
      <c r="GTX107" s="897"/>
      <c r="GTY107" s="897"/>
      <c r="GTZ107" s="895"/>
      <c r="GUA107" s="895"/>
      <c r="GUB107" s="896"/>
      <c r="GUC107" s="897"/>
      <c r="GUD107" s="897"/>
      <c r="GUE107" s="897"/>
      <c r="GUF107" s="897"/>
      <c r="GUG107" s="897"/>
      <c r="GUH107" s="897"/>
      <c r="GUI107" s="897"/>
      <c r="GUJ107" s="897"/>
      <c r="GUK107" s="895"/>
      <c r="GUL107" s="895"/>
      <c r="GUM107" s="896"/>
      <c r="GUN107" s="897"/>
      <c r="GUO107" s="897"/>
      <c r="GUP107" s="897"/>
      <c r="GUQ107" s="897"/>
      <c r="GUR107" s="897"/>
      <c r="GUS107" s="897"/>
      <c r="GUT107" s="897"/>
      <c r="GUU107" s="897"/>
      <c r="GUV107" s="895"/>
      <c r="GUW107" s="895"/>
      <c r="GUX107" s="896"/>
      <c r="GUY107" s="897"/>
      <c r="GUZ107" s="897"/>
      <c r="GVA107" s="897"/>
      <c r="GVB107" s="897"/>
      <c r="GVC107" s="897"/>
      <c r="GVD107" s="897"/>
      <c r="GVE107" s="897"/>
      <c r="GVF107" s="897"/>
      <c r="GVG107" s="895"/>
      <c r="GVH107" s="895"/>
      <c r="GVI107" s="896"/>
      <c r="GVJ107" s="897"/>
      <c r="GVK107" s="897"/>
      <c r="GVL107" s="897"/>
      <c r="GVM107" s="897"/>
      <c r="GVN107" s="897"/>
      <c r="GVO107" s="897"/>
      <c r="GVP107" s="897"/>
      <c r="GVQ107" s="897"/>
      <c r="GVR107" s="895"/>
      <c r="GVS107" s="895"/>
      <c r="GVT107" s="896"/>
      <c r="GVU107" s="897"/>
      <c r="GVV107" s="897"/>
      <c r="GVW107" s="897"/>
      <c r="GVX107" s="897"/>
      <c r="GVY107" s="897"/>
      <c r="GVZ107" s="897"/>
      <c r="GWA107" s="897"/>
      <c r="GWB107" s="897"/>
      <c r="GWC107" s="895"/>
      <c r="GWD107" s="895"/>
      <c r="GWE107" s="896"/>
      <c r="GWF107" s="897"/>
      <c r="GWG107" s="897"/>
      <c r="GWH107" s="897"/>
      <c r="GWI107" s="897"/>
      <c r="GWJ107" s="897"/>
      <c r="GWK107" s="897"/>
      <c r="GWL107" s="897"/>
      <c r="GWM107" s="897"/>
      <c r="GWN107" s="895"/>
      <c r="GWO107" s="895"/>
      <c r="GWP107" s="896"/>
      <c r="GWQ107" s="897"/>
      <c r="GWR107" s="897"/>
      <c r="GWS107" s="897"/>
      <c r="GWT107" s="897"/>
      <c r="GWU107" s="897"/>
      <c r="GWV107" s="897"/>
      <c r="GWW107" s="897"/>
      <c r="GWX107" s="897"/>
      <c r="GWY107" s="895"/>
      <c r="GWZ107" s="895"/>
      <c r="GXA107" s="896"/>
      <c r="GXB107" s="897"/>
      <c r="GXC107" s="897"/>
      <c r="GXD107" s="897"/>
      <c r="GXE107" s="897"/>
      <c r="GXF107" s="897"/>
      <c r="GXG107" s="897"/>
      <c r="GXH107" s="897"/>
      <c r="GXI107" s="897"/>
      <c r="GXJ107" s="895"/>
      <c r="GXK107" s="895"/>
      <c r="GXL107" s="896"/>
      <c r="GXM107" s="897"/>
      <c r="GXN107" s="897"/>
      <c r="GXO107" s="897"/>
      <c r="GXP107" s="897"/>
      <c r="GXQ107" s="897"/>
      <c r="GXR107" s="897"/>
      <c r="GXS107" s="897"/>
      <c r="GXT107" s="897"/>
      <c r="GXU107" s="895"/>
      <c r="GXV107" s="895"/>
      <c r="GXW107" s="896"/>
      <c r="GXX107" s="897"/>
      <c r="GXY107" s="897"/>
      <c r="GXZ107" s="897"/>
      <c r="GYA107" s="897"/>
      <c r="GYB107" s="897"/>
      <c r="GYC107" s="897"/>
      <c r="GYD107" s="897"/>
      <c r="GYE107" s="897"/>
      <c r="GYF107" s="895"/>
      <c r="GYG107" s="895"/>
      <c r="GYH107" s="896"/>
      <c r="GYI107" s="897"/>
      <c r="GYJ107" s="897"/>
      <c r="GYK107" s="897"/>
      <c r="GYL107" s="897"/>
      <c r="GYM107" s="897"/>
      <c r="GYN107" s="897"/>
      <c r="GYO107" s="897"/>
      <c r="GYP107" s="897"/>
      <c r="GYQ107" s="895"/>
      <c r="GYR107" s="895"/>
      <c r="GYS107" s="896"/>
      <c r="GYT107" s="897"/>
      <c r="GYU107" s="897"/>
      <c r="GYV107" s="897"/>
      <c r="GYW107" s="897"/>
      <c r="GYX107" s="897"/>
      <c r="GYY107" s="897"/>
      <c r="GYZ107" s="897"/>
      <c r="GZA107" s="897"/>
      <c r="GZB107" s="895"/>
      <c r="GZC107" s="895"/>
      <c r="GZD107" s="896"/>
      <c r="GZE107" s="897"/>
      <c r="GZF107" s="897"/>
      <c r="GZG107" s="897"/>
      <c r="GZH107" s="897"/>
      <c r="GZI107" s="897"/>
      <c r="GZJ107" s="897"/>
      <c r="GZK107" s="897"/>
      <c r="GZL107" s="897"/>
      <c r="GZM107" s="895"/>
      <c r="GZN107" s="895"/>
      <c r="GZO107" s="896"/>
      <c r="GZP107" s="897"/>
      <c r="GZQ107" s="897"/>
      <c r="GZR107" s="897"/>
      <c r="GZS107" s="897"/>
      <c r="GZT107" s="897"/>
      <c r="GZU107" s="897"/>
      <c r="GZV107" s="897"/>
      <c r="GZW107" s="897"/>
      <c r="GZX107" s="895"/>
      <c r="GZY107" s="895"/>
      <c r="GZZ107" s="896"/>
      <c r="HAA107" s="897"/>
      <c r="HAB107" s="897"/>
      <c r="HAC107" s="897"/>
      <c r="HAD107" s="897"/>
      <c r="HAE107" s="897"/>
      <c r="HAF107" s="897"/>
      <c r="HAG107" s="897"/>
      <c r="HAH107" s="897"/>
      <c r="HAI107" s="895"/>
      <c r="HAJ107" s="895"/>
      <c r="HAK107" s="896"/>
      <c r="HAL107" s="897"/>
      <c r="HAM107" s="897"/>
      <c r="HAN107" s="897"/>
      <c r="HAO107" s="897"/>
      <c r="HAP107" s="897"/>
      <c r="HAQ107" s="897"/>
      <c r="HAR107" s="897"/>
      <c r="HAS107" s="897"/>
      <c r="HAT107" s="895"/>
      <c r="HAU107" s="895"/>
      <c r="HAV107" s="896"/>
      <c r="HAW107" s="897"/>
      <c r="HAX107" s="897"/>
      <c r="HAY107" s="897"/>
      <c r="HAZ107" s="897"/>
      <c r="HBA107" s="897"/>
      <c r="HBB107" s="897"/>
      <c r="HBC107" s="897"/>
      <c r="HBD107" s="897"/>
      <c r="HBE107" s="895"/>
      <c r="HBF107" s="895"/>
      <c r="HBG107" s="896"/>
      <c r="HBH107" s="897"/>
      <c r="HBI107" s="897"/>
      <c r="HBJ107" s="897"/>
      <c r="HBK107" s="897"/>
      <c r="HBL107" s="897"/>
      <c r="HBM107" s="897"/>
      <c r="HBN107" s="897"/>
      <c r="HBO107" s="897"/>
      <c r="HBP107" s="895"/>
      <c r="HBQ107" s="895"/>
      <c r="HBR107" s="896"/>
      <c r="HBS107" s="897"/>
      <c r="HBT107" s="897"/>
      <c r="HBU107" s="897"/>
      <c r="HBV107" s="897"/>
      <c r="HBW107" s="897"/>
      <c r="HBX107" s="897"/>
      <c r="HBY107" s="897"/>
      <c r="HBZ107" s="897"/>
      <c r="HCA107" s="895"/>
      <c r="HCB107" s="895"/>
      <c r="HCC107" s="896"/>
      <c r="HCD107" s="897"/>
      <c r="HCE107" s="897"/>
      <c r="HCF107" s="897"/>
      <c r="HCG107" s="897"/>
      <c r="HCH107" s="897"/>
      <c r="HCI107" s="897"/>
      <c r="HCJ107" s="897"/>
      <c r="HCK107" s="897"/>
      <c r="HCL107" s="895"/>
      <c r="HCM107" s="895"/>
      <c r="HCN107" s="896"/>
      <c r="HCO107" s="897"/>
      <c r="HCP107" s="897"/>
      <c r="HCQ107" s="897"/>
      <c r="HCR107" s="897"/>
      <c r="HCS107" s="897"/>
      <c r="HCT107" s="897"/>
      <c r="HCU107" s="897"/>
      <c r="HCV107" s="897"/>
      <c r="HCW107" s="895"/>
      <c r="HCX107" s="895"/>
      <c r="HCY107" s="896"/>
      <c r="HCZ107" s="897"/>
      <c r="HDA107" s="897"/>
      <c r="HDB107" s="897"/>
      <c r="HDC107" s="897"/>
      <c r="HDD107" s="897"/>
      <c r="HDE107" s="897"/>
      <c r="HDF107" s="897"/>
      <c r="HDG107" s="897"/>
      <c r="HDH107" s="895"/>
      <c r="HDI107" s="895"/>
      <c r="HDJ107" s="896"/>
      <c r="HDK107" s="897"/>
      <c r="HDL107" s="897"/>
      <c r="HDM107" s="897"/>
      <c r="HDN107" s="897"/>
      <c r="HDO107" s="897"/>
      <c r="HDP107" s="897"/>
      <c r="HDQ107" s="897"/>
      <c r="HDR107" s="897"/>
      <c r="HDS107" s="895"/>
      <c r="HDT107" s="895"/>
      <c r="HDU107" s="896"/>
      <c r="HDV107" s="897"/>
      <c r="HDW107" s="897"/>
      <c r="HDX107" s="897"/>
      <c r="HDY107" s="897"/>
      <c r="HDZ107" s="897"/>
      <c r="HEA107" s="897"/>
      <c r="HEB107" s="897"/>
      <c r="HEC107" s="897"/>
      <c r="HED107" s="895"/>
      <c r="HEE107" s="895"/>
      <c r="HEF107" s="896"/>
      <c r="HEG107" s="897"/>
      <c r="HEH107" s="897"/>
      <c r="HEI107" s="897"/>
      <c r="HEJ107" s="897"/>
      <c r="HEK107" s="897"/>
      <c r="HEL107" s="897"/>
      <c r="HEM107" s="897"/>
      <c r="HEN107" s="897"/>
      <c r="HEO107" s="895"/>
      <c r="HEP107" s="895"/>
      <c r="HEQ107" s="896"/>
      <c r="HER107" s="897"/>
      <c r="HES107" s="897"/>
      <c r="HET107" s="897"/>
      <c r="HEU107" s="897"/>
      <c r="HEV107" s="897"/>
      <c r="HEW107" s="897"/>
      <c r="HEX107" s="897"/>
      <c r="HEY107" s="897"/>
      <c r="HEZ107" s="895"/>
      <c r="HFA107" s="895"/>
      <c r="HFB107" s="896"/>
      <c r="HFC107" s="897"/>
      <c r="HFD107" s="897"/>
      <c r="HFE107" s="897"/>
      <c r="HFF107" s="897"/>
      <c r="HFG107" s="897"/>
      <c r="HFH107" s="897"/>
      <c r="HFI107" s="897"/>
      <c r="HFJ107" s="897"/>
      <c r="HFK107" s="895"/>
      <c r="HFL107" s="895"/>
      <c r="HFM107" s="896"/>
      <c r="HFN107" s="897"/>
      <c r="HFO107" s="897"/>
      <c r="HFP107" s="897"/>
      <c r="HFQ107" s="897"/>
      <c r="HFR107" s="897"/>
      <c r="HFS107" s="897"/>
      <c r="HFT107" s="897"/>
      <c r="HFU107" s="897"/>
      <c r="HFV107" s="895"/>
      <c r="HFW107" s="895"/>
      <c r="HFX107" s="896"/>
      <c r="HFY107" s="897"/>
      <c r="HFZ107" s="897"/>
      <c r="HGA107" s="897"/>
      <c r="HGB107" s="897"/>
      <c r="HGC107" s="897"/>
      <c r="HGD107" s="897"/>
      <c r="HGE107" s="897"/>
      <c r="HGF107" s="897"/>
      <c r="HGG107" s="895"/>
      <c r="HGH107" s="895"/>
      <c r="HGI107" s="896"/>
      <c r="HGJ107" s="897"/>
      <c r="HGK107" s="897"/>
      <c r="HGL107" s="897"/>
      <c r="HGM107" s="897"/>
      <c r="HGN107" s="897"/>
      <c r="HGO107" s="897"/>
      <c r="HGP107" s="897"/>
      <c r="HGQ107" s="897"/>
      <c r="HGR107" s="895"/>
      <c r="HGS107" s="895"/>
      <c r="HGT107" s="896"/>
      <c r="HGU107" s="897"/>
      <c r="HGV107" s="897"/>
      <c r="HGW107" s="897"/>
      <c r="HGX107" s="897"/>
      <c r="HGY107" s="897"/>
      <c r="HGZ107" s="897"/>
      <c r="HHA107" s="897"/>
      <c r="HHB107" s="897"/>
      <c r="HHC107" s="895"/>
      <c r="HHD107" s="895"/>
      <c r="HHE107" s="896"/>
      <c r="HHF107" s="897"/>
      <c r="HHG107" s="897"/>
      <c r="HHH107" s="897"/>
      <c r="HHI107" s="897"/>
      <c r="HHJ107" s="897"/>
      <c r="HHK107" s="897"/>
      <c r="HHL107" s="897"/>
      <c r="HHM107" s="897"/>
      <c r="HHN107" s="895"/>
      <c r="HHO107" s="895"/>
      <c r="HHP107" s="896"/>
      <c r="HHQ107" s="897"/>
      <c r="HHR107" s="897"/>
      <c r="HHS107" s="897"/>
      <c r="HHT107" s="897"/>
      <c r="HHU107" s="897"/>
      <c r="HHV107" s="897"/>
      <c r="HHW107" s="897"/>
      <c r="HHX107" s="897"/>
      <c r="HHY107" s="895"/>
      <c r="HHZ107" s="895"/>
      <c r="HIA107" s="896"/>
      <c r="HIB107" s="897"/>
      <c r="HIC107" s="897"/>
      <c r="HID107" s="897"/>
      <c r="HIE107" s="897"/>
      <c r="HIF107" s="897"/>
      <c r="HIG107" s="897"/>
      <c r="HIH107" s="897"/>
      <c r="HII107" s="897"/>
      <c r="HIJ107" s="895"/>
      <c r="HIK107" s="895"/>
      <c r="HIL107" s="896"/>
      <c r="HIM107" s="897"/>
      <c r="HIN107" s="897"/>
      <c r="HIO107" s="897"/>
      <c r="HIP107" s="897"/>
      <c r="HIQ107" s="897"/>
      <c r="HIR107" s="897"/>
      <c r="HIS107" s="897"/>
      <c r="HIT107" s="897"/>
      <c r="HIU107" s="895"/>
      <c r="HIV107" s="895"/>
      <c r="HIW107" s="896"/>
      <c r="HIX107" s="897"/>
      <c r="HIY107" s="897"/>
      <c r="HIZ107" s="897"/>
      <c r="HJA107" s="897"/>
      <c r="HJB107" s="897"/>
      <c r="HJC107" s="897"/>
      <c r="HJD107" s="897"/>
      <c r="HJE107" s="897"/>
      <c r="HJF107" s="895"/>
      <c r="HJG107" s="895"/>
      <c r="HJH107" s="896"/>
      <c r="HJI107" s="897"/>
      <c r="HJJ107" s="897"/>
      <c r="HJK107" s="897"/>
      <c r="HJL107" s="897"/>
      <c r="HJM107" s="897"/>
      <c r="HJN107" s="897"/>
      <c r="HJO107" s="897"/>
      <c r="HJP107" s="897"/>
      <c r="HJQ107" s="895"/>
      <c r="HJR107" s="895"/>
      <c r="HJS107" s="896"/>
      <c r="HJT107" s="897"/>
      <c r="HJU107" s="897"/>
      <c r="HJV107" s="897"/>
      <c r="HJW107" s="897"/>
      <c r="HJX107" s="897"/>
      <c r="HJY107" s="897"/>
      <c r="HJZ107" s="897"/>
      <c r="HKA107" s="897"/>
      <c r="HKB107" s="895"/>
      <c r="HKC107" s="895"/>
      <c r="HKD107" s="896"/>
      <c r="HKE107" s="897"/>
      <c r="HKF107" s="897"/>
      <c r="HKG107" s="897"/>
      <c r="HKH107" s="897"/>
      <c r="HKI107" s="897"/>
      <c r="HKJ107" s="897"/>
      <c r="HKK107" s="897"/>
      <c r="HKL107" s="897"/>
      <c r="HKM107" s="895"/>
      <c r="HKN107" s="895"/>
      <c r="HKO107" s="896"/>
      <c r="HKP107" s="897"/>
      <c r="HKQ107" s="897"/>
      <c r="HKR107" s="897"/>
      <c r="HKS107" s="897"/>
      <c r="HKT107" s="897"/>
      <c r="HKU107" s="897"/>
      <c r="HKV107" s="897"/>
      <c r="HKW107" s="897"/>
      <c r="HKX107" s="895"/>
      <c r="HKY107" s="895"/>
      <c r="HKZ107" s="896"/>
      <c r="HLA107" s="897"/>
      <c r="HLB107" s="897"/>
      <c r="HLC107" s="897"/>
      <c r="HLD107" s="897"/>
      <c r="HLE107" s="897"/>
      <c r="HLF107" s="897"/>
      <c r="HLG107" s="897"/>
      <c r="HLH107" s="897"/>
      <c r="HLI107" s="895"/>
      <c r="HLJ107" s="895"/>
      <c r="HLK107" s="896"/>
      <c r="HLL107" s="897"/>
      <c r="HLM107" s="897"/>
      <c r="HLN107" s="897"/>
      <c r="HLO107" s="897"/>
      <c r="HLP107" s="897"/>
      <c r="HLQ107" s="897"/>
      <c r="HLR107" s="897"/>
      <c r="HLS107" s="897"/>
      <c r="HLT107" s="895"/>
      <c r="HLU107" s="895"/>
      <c r="HLV107" s="896"/>
      <c r="HLW107" s="897"/>
      <c r="HLX107" s="897"/>
      <c r="HLY107" s="897"/>
      <c r="HLZ107" s="897"/>
      <c r="HMA107" s="897"/>
      <c r="HMB107" s="897"/>
      <c r="HMC107" s="897"/>
      <c r="HMD107" s="897"/>
      <c r="HME107" s="895"/>
      <c r="HMF107" s="895"/>
      <c r="HMG107" s="896"/>
      <c r="HMH107" s="897"/>
      <c r="HMI107" s="897"/>
      <c r="HMJ107" s="897"/>
      <c r="HMK107" s="897"/>
      <c r="HML107" s="897"/>
      <c r="HMM107" s="897"/>
      <c r="HMN107" s="897"/>
      <c r="HMO107" s="897"/>
      <c r="HMP107" s="895"/>
      <c r="HMQ107" s="895"/>
      <c r="HMR107" s="896"/>
      <c r="HMS107" s="897"/>
      <c r="HMT107" s="897"/>
      <c r="HMU107" s="897"/>
      <c r="HMV107" s="897"/>
      <c r="HMW107" s="897"/>
      <c r="HMX107" s="897"/>
      <c r="HMY107" s="897"/>
      <c r="HMZ107" s="897"/>
      <c r="HNA107" s="895"/>
      <c r="HNB107" s="895"/>
      <c r="HNC107" s="896"/>
      <c r="HND107" s="897"/>
      <c r="HNE107" s="897"/>
      <c r="HNF107" s="897"/>
      <c r="HNG107" s="897"/>
      <c r="HNH107" s="897"/>
      <c r="HNI107" s="897"/>
      <c r="HNJ107" s="897"/>
      <c r="HNK107" s="897"/>
      <c r="HNL107" s="895"/>
      <c r="HNM107" s="895"/>
      <c r="HNN107" s="896"/>
      <c r="HNO107" s="897"/>
      <c r="HNP107" s="897"/>
      <c r="HNQ107" s="897"/>
      <c r="HNR107" s="897"/>
      <c r="HNS107" s="897"/>
      <c r="HNT107" s="897"/>
      <c r="HNU107" s="897"/>
      <c r="HNV107" s="897"/>
      <c r="HNW107" s="895"/>
      <c r="HNX107" s="895"/>
      <c r="HNY107" s="896"/>
      <c r="HNZ107" s="897"/>
      <c r="HOA107" s="897"/>
      <c r="HOB107" s="897"/>
      <c r="HOC107" s="897"/>
      <c r="HOD107" s="897"/>
      <c r="HOE107" s="897"/>
      <c r="HOF107" s="897"/>
      <c r="HOG107" s="897"/>
      <c r="HOH107" s="895"/>
      <c r="HOI107" s="895"/>
      <c r="HOJ107" s="896"/>
      <c r="HOK107" s="897"/>
      <c r="HOL107" s="897"/>
      <c r="HOM107" s="897"/>
      <c r="HON107" s="897"/>
      <c r="HOO107" s="897"/>
      <c r="HOP107" s="897"/>
      <c r="HOQ107" s="897"/>
      <c r="HOR107" s="897"/>
      <c r="HOS107" s="895"/>
      <c r="HOT107" s="895"/>
      <c r="HOU107" s="896"/>
      <c r="HOV107" s="897"/>
      <c r="HOW107" s="897"/>
      <c r="HOX107" s="897"/>
      <c r="HOY107" s="897"/>
      <c r="HOZ107" s="897"/>
      <c r="HPA107" s="897"/>
      <c r="HPB107" s="897"/>
      <c r="HPC107" s="897"/>
      <c r="HPD107" s="895"/>
      <c r="HPE107" s="895"/>
      <c r="HPF107" s="896"/>
      <c r="HPG107" s="897"/>
      <c r="HPH107" s="897"/>
      <c r="HPI107" s="897"/>
      <c r="HPJ107" s="897"/>
      <c r="HPK107" s="897"/>
      <c r="HPL107" s="897"/>
      <c r="HPM107" s="897"/>
      <c r="HPN107" s="897"/>
      <c r="HPO107" s="895"/>
      <c r="HPP107" s="895"/>
      <c r="HPQ107" s="896"/>
      <c r="HPR107" s="897"/>
      <c r="HPS107" s="897"/>
      <c r="HPT107" s="897"/>
      <c r="HPU107" s="897"/>
      <c r="HPV107" s="897"/>
      <c r="HPW107" s="897"/>
      <c r="HPX107" s="897"/>
      <c r="HPY107" s="897"/>
      <c r="HPZ107" s="895"/>
      <c r="HQA107" s="895"/>
      <c r="HQB107" s="896"/>
      <c r="HQC107" s="897"/>
      <c r="HQD107" s="897"/>
      <c r="HQE107" s="897"/>
      <c r="HQF107" s="897"/>
      <c r="HQG107" s="897"/>
      <c r="HQH107" s="897"/>
      <c r="HQI107" s="897"/>
      <c r="HQJ107" s="897"/>
      <c r="HQK107" s="895"/>
      <c r="HQL107" s="895"/>
      <c r="HQM107" s="896"/>
      <c r="HQN107" s="897"/>
      <c r="HQO107" s="897"/>
      <c r="HQP107" s="897"/>
      <c r="HQQ107" s="897"/>
      <c r="HQR107" s="897"/>
      <c r="HQS107" s="897"/>
      <c r="HQT107" s="897"/>
      <c r="HQU107" s="897"/>
      <c r="HQV107" s="895"/>
      <c r="HQW107" s="895"/>
      <c r="HQX107" s="896"/>
      <c r="HQY107" s="897"/>
      <c r="HQZ107" s="897"/>
      <c r="HRA107" s="897"/>
      <c r="HRB107" s="897"/>
      <c r="HRC107" s="897"/>
      <c r="HRD107" s="897"/>
      <c r="HRE107" s="897"/>
      <c r="HRF107" s="897"/>
      <c r="HRG107" s="895"/>
      <c r="HRH107" s="895"/>
      <c r="HRI107" s="896"/>
      <c r="HRJ107" s="897"/>
      <c r="HRK107" s="897"/>
      <c r="HRL107" s="897"/>
      <c r="HRM107" s="897"/>
      <c r="HRN107" s="897"/>
      <c r="HRO107" s="897"/>
      <c r="HRP107" s="897"/>
      <c r="HRQ107" s="897"/>
      <c r="HRR107" s="895"/>
      <c r="HRS107" s="895"/>
      <c r="HRT107" s="896"/>
      <c r="HRU107" s="897"/>
      <c r="HRV107" s="897"/>
      <c r="HRW107" s="897"/>
      <c r="HRX107" s="897"/>
      <c r="HRY107" s="897"/>
      <c r="HRZ107" s="897"/>
      <c r="HSA107" s="897"/>
      <c r="HSB107" s="897"/>
      <c r="HSC107" s="895"/>
      <c r="HSD107" s="895"/>
      <c r="HSE107" s="896"/>
      <c r="HSF107" s="897"/>
      <c r="HSG107" s="897"/>
      <c r="HSH107" s="897"/>
      <c r="HSI107" s="897"/>
      <c r="HSJ107" s="897"/>
      <c r="HSK107" s="897"/>
      <c r="HSL107" s="897"/>
      <c r="HSM107" s="897"/>
      <c r="HSN107" s="895"/>
      <c r="HSO107" s="895"/>
      <c r="HSP107" s="896"/>
      <c r="HSQ107" s="897"/>
      <c r="HSR107" s="897"/>
      <c r="HSS107" s="897"/>
      <c r="HST107" s="897"/>
      <c r="HSU107" s="897"/>
      <c r="HSV107" s="897"/>
      <c r="HSW107" s="897"/>
      <c r="HSX107" s="897"/>
      <c r="HSY107" s="895"/>
      <c r="HSZ107" s="895"/>
      <c r="HTA107" s="896"/>
      <c r="HTB107" s="897"/>
      <c r="HTC107" s="897"/>
      <c r="HTD107" s="897"/>
      <c r="HTE107" s="897"/>
      <c r="HTF107" s="897"/>
      <c r="HTG107" s="897"/>
      <c r="HTH107" s="897"/>
      <c r="HTI107" s="897"/>
      <c r="HTJ107" s="895"/>
      <c r="HTK107" s="895"/>
      <c r="HTL107" s="896"/>
      <c r="HTM107" s="897"/>
      <c r="HTN107" s="897"/>
      <c r="HTO107" s="897"/>
      <c r="HTP107" s="897"/>
      <c r="HTQ107" s="897"/>
      <c r="HTR107" s="897"/>
      <c r="HTS107" s="897"/>
      <c r="HTT107" s="897"/>
      <c r="HTU107" s="895"/>
      <c r="HTV107" s="895"/>
      <c r="HTW107" s="896"/>
      <c r="HTX107" s="897"/>
      <c r="HTY107" s="897"/>
      <c r="HTZ107" s="897"/>
      <c r="HUA107" s="897"/>
      <c r="HUB107" s="897"/>
      <c r="HUC107" s="897"/>
      <c r="HUD107" s="897"/>
      <c r="HUE107" s="897"/>
      <c r="HUF107" s="895"/>
      <c r="HUG107" s="895"/>
      <c r="HUH107" s="896"/>
      <c r="HUI107" s="897"/>
      <c r="HUJ107" s="897"/>
      <c r="HUK107" s="897"/>
      <c r="HUL107" s="897"/>
      <c r="HUM107" s="897"/>
      <c r="HUN107" s="897"/>
      <c r="HUO107" s="897"/>
      <c r="HUP107" s="897"/>
      <c r="HUQ107" s="895"/>
      <c r="HUR107" s="895"/>
      <c r="HUS107" s="896"/>
      <c r="HUT107" s="897"/>
      <c r="HUU107" s="897"/>
      <c r="HUV107" s="897"/>
      <c r="HUW107" s="897"/>
      <c r="HUX107" s="897"/>
      <c r="HUY107" s="897"/>
      <c r="HUZ107" s="897"/>
      <c r="HVA107" s="897"/>
      <c r="HVB107" s="895"/>
      <c r="HVC107" s="895"/>
      <c r="HVD107" s="896"/>
      <c r="HVE107" s="897"/>
      <c r="HVF107" s="897"/>
      <c r="HVG107" s="897"/>
      <c r="HVH107" s="897"/>
      <c r="HVI107" s="897"/>
      <c r="HVJ107" s="897"/>
      <c r="HVK107" s="897"/>
      <c r="HVL107" s="897"/>
      <c r="HVM107" s="895"/>
      <c r="HVN107" s="895"/>
      <c r="HVO107" s="896"/>
      <c r="HVP107" s="897"/>
      <c r="HVQ107" s="897"/>
      <c r="HVR107" s="897"/>
      <c r="HVS107" s="897"/>
      <c r="HVT107" s="897"/>
      <c r="HVU107" s="897"/>
      <c r="HVV107" s="897"/>
      <c r="HVW107" s="897"/>
      <c r="HVX107" s="895"/>
      <c r="HVY107" s="895"/>
      <c r="HVZ107" s="896"/>
      <c r="HWA107" s="897"/>
      <c r="HWB107" s="897"/>
      <c r="HWC107" s="897"/>
      <c r="HWD107" s="897"/>
      <c r="HWE107" s="897"/>
      <c r="HWF107" s="897"/>
      <c r="HWG107" s="897"/>
      <c r="HWH107" s="897"/>
      <c r="HWI107" s="895"/>
      <c r="HWJ107" s="895"/>
      <c r="HWK107" s="896"/>
      <c r="HWL107" s="897"/>
      <c r="HWM107" s="897"/>
      <c r="HWN107" s="897"/>
      <c r="HWO107" s="897"/>
      <c r="HWP107" s="897"/>
      <c r="HWQ107" s="897"/>
      <c r="HWR107" s="897"/>
      <c r="HWS107" s="897"/>
      <c r="HWT107" s="895"/>
      <c r="HWU107" s="895"/>
      <c r="HWV107" s="896"/>
      <c r="HWW107" s="897"/>
      <c r="HWX107" s="897"/>
      <c r="HWY107" s="897"/>
      <c r="HWZ107" s="897"/>
      <c r="HXA107" s="897"/>
      <c r="HXB107" s="897"/>
      <c r="HXC107" s="897"/>
      <c r="HXD107" s="897"/>
      <c r="HXE107" s="895"/>
      <c r="HXF107" s="895"/>
      <c r="HXG107" s="896"/>
      <c r="HXH107" s="897"/>
      <c r="HXI107" s="897"/>
      <c r="HXJ107" s="897"/>
      <c r="HXK107" s="897"/>
      <c r="HXL107" s="897"/>
      <c r="HXM107" s="897"/>
      <c r="HXN107" s="897"/>
      <c r="HXO107" s="897"/>
      <c r="HXP107" s="895"/>
      <c r="HXQ107" s="895"/>
      <c r="HXR107" s="896"/>
      <c r="HXS107" s="897"/>
      <c r="HXT107" s="897"/>
      <c r="HXU107" s="897"/>
      <c r="HXV107" s="897"/>
      <c r="HXW107" s="897"/>
      <c r="HXX107" s="897"/>
      <c r="HXY107" s="897"/>
      <c r="HXZ107" s="897"/>
      <c r="HYA107" s="895"/>
      <c r="HYB107" s="895"/>
      <c r="HYC107" s="896"/>
      <c r="HYD107" s="897"/>
      <c r="HYE107" s="897"/>
      <c r="HYF107" s="897"/>
      <c r="HYG107" s="897"/>
      <c r="HYH107" s="897"/>
      <c r="HYI107" s="897"/>
      <c r="HYJ107" s="897"/>
      <c r="HYK107" s="897"/>
      <c r="HYL107" s="895"/>
      <c r="HYM107" s="895"/>
      <c r="HYN107" s="896"/>
      <c r="HYO107" s="897"/>
      <c r="HYP107" s="897"/>
      <c r="HYQ107" s="897"/>
      <c r="HYR107" s="897"/>
      <c r="HYS107" s="897"/>
      <c r="HYT107" s="897"/>
      <c r="HYU107" s="897"/>
      <c r="HYV107" s="897"/>
      <c r="HYW107" s="895"/>
      <c r="HYX107" s="895"/>
      <c r="HYY107" s="896"/>
      <c r="HYZ107" s="897"/>
      <c r="HZA107" s="897"/>
      <c r="HZB107" s="897"/>
      <c r="HZC107" s="897"/>
      <c r="HZD107" s="897"/>
      <c r="HZE107" s="897"/>
      <c r="HZF107" s="897"/>
      <c r="HZG107" s="897"/>
      <c r="HZH107" s="895"/>
      <c r="HZI107" s="895"/>
      <c r="HZJ107" s="896"/>
      <c r="HZK107" s="897"/>
      <c r="HZL107" s="897"/>
      <c r="HZM107" s="897"/>
      <c r="HZN107" s="897"/>
      <c r="HZO107" s="897"/>
      <c r="HZP107" s="897"/>
      <c r="HZQ107" s="897"/>
      <c r="HZR107" s="897"/>
      <c r="HZS107" s="895"/>
      <c r="HZT107" s="895"/>
      <c r="HZU107" s="896"/>
      <c r="HZV107" s="897"/>
      <c r="HZW107" s="897"/>
      <c r="HZX107" s="897"/>
      <c r="HZY107" s="897"/>
      <c r="HZZ107" s="897"/>
      <c r="IAA107" s="897"/>
      <c r="IAB107" s="897"/>
      <c r="IAC107" s="897"/>
      <c r="IAD107" s="895"/>
      <c r="IAE107" s="895"/>
      <c r="IAF107" s="896"/>
      <c r="IAG107" s="897"/>
      <c r="IAH107" s="897"/>
      <c r="IAI107" s="897"/>
      <c r="IAJ107" s="897"/>
      <c r="IAK107" s="897"/>
      <c r="IAL107" s="897"/>
      <c r="IAM107" s="897"/>
      <c r="IAN107" s="897"/>
      <c r="IAO107" s="895"/>
      <c r="IAP107" s="895"/>
      <c r="IAQ107" s="896"/>
      <c r="IAR107" s="897"/>
      <c r="IAS107" s="897"/>
      <c r="IAT107" s="897"/>
      <c r="IAU107" s="897"/>
      <c r="IAV107" s="897"/>
      <c r="IAW107" s="897"/>
      <c r="IAX107" s="897"/>
      <c r="IAY107" s="897"/>
      <c r="IAZ107" s="895"/>
      <c r="IBA107" s="895"/>
      <c r="IBB107" s="896"/>
      <c r="IBC107" s="897"/>
      <c r="IBD107" s="897"/>
      <c r="IBE107" s="897"/>
      <c r="IBF107" s="897"/>
      <c r="IBG107" s="897"/>
      <c r="IBH107" s="897"/>
      <c r="IBI107" s="897"/>
      <c r="IBJ107" s="897"/>
      <c r="IBK107" s="895"/>
      <c r="IBL107" s="895"/>
      <c r="IBM107" s="896"/>
      <c r="IBN107" s="897"/>
      <c r="IBO107" s="897"/>
      <c r="IBP107" s="897"/>
      <c r="IBQ107" s="897"/>
      <c r="IBR107" s="897"/>
      <c r="IBS107" s="897"/>
      <c r="IBT107" s="897"/>
      <c r="IBU107" s="897"/>
      <c r="IBV107" s="895"/>
      <c r="IBW107" s="895"/>
      <c r="IBX107" s="896"/>
      <c r="IBY107" s="897"/>
      <c r="IBZ107" s="897"/>
      <c r="ICA107" s="897"/>
      <c r="ICB107" s="897"/>
      <c r="ICC107" s="897"/>
      <c r="ICD107" s="897"/>
      <c r="ICE107" s="897"/>
      <c r="ICF107" s="897"/>
      <c r="ICG107" s="895"/>
      <c r="ICH107" s="895"/>
      <c r="ICI107" s="896"/>
      <c r="ICJ107" s="897"/>
      <c r="ICK107" s="897"/>
      <c r="ICL107" s="897"/>
      <c r="ICM107" s="897"/>
      <c r="ICN107" s="897"/>
      <c r="ICO107" s="897"/>
      <c r="ICP107" s="897"/>
      <c r="ICQ107" s="897"/>
      <c r="ICR107" s="895"/>
      <c r="ICS107" s="895"/>
      <c r="ICT107" s="896"/>
      <c r="ICU107" s="897"/>
      <c r="ICV107" s="897"/>
      <c r="ICW107" s="897"/>
      <c r="ICX107" s="897"/>
      <c r="ICY107" s="897"/>
      <c r="ICZ107" s="897"/>
      <c r="IDA107" s="897"/>
      <c r="IDB107" s="897"/>
      <c r="IDC107" s="895"/>
      <c r="IDD107" s="895"/>
      <c r="IDE107" s="896"/>
      <c r="IDF107" s="897"/>
      <c r="IDG107" s="897"/>
      <c r="IDH107" s="897"/>
      <c r="IDI107" s="897"/>
      <c r="IDJ107" s="897"/>
      <c r="IDK107" s="897"/>
      <c r="IDL107" s="897"/>
      <c r="IDM107" s="897"/>
      <c r="IDN107" s="895"/>
      <c r="IDO107" s="895"/>
      <c r="IDP107" s="896"/>
      <c r="IDQ107" s="897"/>
      <c r="IDR107" s="897"/>
      <c r="IDS107" s="897"/>
      <c r="IDT107" s="897"/>
      <c r="IDU107" s="897"/>
      <c r="IDV107" s="897"/>
      <c r="IDW107" s="897"/>
      <c r="IDX107" s="897"/>
      <c r="IDY107" s="895"/>
      <c r="IDZ107" s="895"/>
      <c r="IEA107" s="896"/>
      <c r="IEB107" s="897"/>
      <c r="IEC107" s="897"/>
      <c r="IED107" s="897"/>
      <c r="IEE107" s="897"/>
      <c r="IEF107" s="897"/>
      <c r="IEG107" s="897"/>
      <c r="IEH107" s="897"/>
      <c r="IEI107" s="897"/>
      <c r="IEJ107" s="895"/>
      <c r="IEK107" s="895"/>
      <c r="IEL107" s="896"/>
      <c r="IEM107" s="897"/>
      <c r="IEN107" s="897"/>
      <c r="IEO107" s="897"/>
      <c r="IEP107" s="897"/>
      <c r="IEQ107" s="897"/>
      <c r="IER107" s="897"/>
      <c r="IES107" s="897"/>
      <c r="IET107" s="897"/>
      <c r="IEU107" s="895"/>
      <c r="IEV107" s="895"/>
      <c r="IEW107" s="896"/>
      <c r="IEX107" s="897"/>
      <c r="IEY107" s="897"/>
      <c r="IEZ107" s="897"/>
      <c r="IFA107" s="897"/>
      <c r="IFB107" s="897"/>
      <c r="IFC107" s="897"/>
      <c r="IFD107" s="897"/>
      <c r="IFE107" s="897"/>
      <c r="IFF107" s="895"/>
      <c r="IFG107" s="895"/>
      <c r="IFH107" s="896"/>
      <c r="IFI107" s="897"/>
      <c r="IFJ107" s="897"/>
      <c r="IFK107" s="897"/>
      <c r="IFL107" s="897"/>
      <c r="IFM107" s="897"/>
      <c r="IFN107" s="897"/>
      <c r="IFO107" s="897"/>
      <c r="IFP107" s="897"/>
      <c r="IFQ107" s="895"/>
      <c r="IFR107" s="895"/>
      <c r="IFS107" s="896"/>
      <c r="IFT107" s="897"/>
      <c r="IFU107" s="897"/>
      <c r="IFV107" s="897"/>
      <c r="IFW107" s="897"/>
      <c r="IFX107" s="897"/>
      <c r="IFY107" s="897"/>
      <c r="IFZ107" s="897"/>
      <c r="IGA107" s="897"/>
      <c r="IGB107" s="895"/>
      <c r="IGC107" s="895"/>
      <c r="IGD107" s="896"/>
      <c r="IGE107" s="897"/>
      <c r="IGF107" s="897"/>
      <c r="IGG107" s="897"/>
      <c r="IGH107" s="897"/>
      <c r="IGI107" s="897"/>
      <c r="IGJ107" s="897"/>
      <c r="IGK107" s="897"/>
      <c r="IGL107" s="897"/>
      <c r="IGM107" s="895"/>
      <c r="IGN107" s="895"/>
      <c r="IGO107" s="896"/>
      <c r="IGP107" s="897"/>
      <c r="IGQ107" s="897"/>
      <c r="IGR107" s="897"/>
      <c r="IGS107" s="897"/>
      <c r="IGT107" s="897"/>
      <c r="IGU107" s="897"/>
      <c r="IGV107" s="897"/>
      <c r="IGW107" s="897"/>
      <c r="IGX107" s="895"/>
      <c r="IGY107" s="895"/>
      <c r="IGZ107" s="896"/>
      <c r="IHA107" s="897"/>
      <c r="IHB107" s="897"/>
      <c r="IHC107" s="897"/>
      <c r="IHD107" s="897"/>
      <c r="IHE107" s="897"/>
      <c r="IHF107" s="897"/>
      <c r="IHG107" s="897"/>
      <c r="IHH107" s="897"/>
      <c r="IHI107" s="895"/>
      <c r="IHJ107" s="895"/>
      <c r="IHK107" s="896"/>
      <c r="IHL107" s="897"/>
      <c r="IHM107" s="897"/>
      <c r="IHN107" s="897"/>
      <c r="IHO107" s="897"/>
      <c r="IHP107" s="897"/>
      <c r="IHQ107" s="897"/>
      <c r="IHR107" s="897"/>
      <c r="IHS107" s="897"/>
      <c r="IHT107" s="895"/>
      <c r="IHU107" s="895"/>
      <c r="IHV107" s="896"/>
      <c r="IHW107" s="897"/>
      <c r="IHX107" s="897"/>
      <c r="IHY107" s="897"/>
      <c r="IHZ107" s="897"/>
      <c r="IIA107" s="897"/>
      <c r="IIB107" s="897"/>
      <c r="IIC107" s="897"/>
      <c r="IID107" s="897"/>
      <c r="IIE107" s="895"/>
      <c r="IIF107" s="895"/>
      <c r="IIG107" s="896"/>
      <c r="IIH107" s="897"/>
      <c r="III107" s="897"/>
      <c r="IIJ107" s="897"/>
      <c r="IIK107" s="897"/>
      <c r="IIL107" s="897"/>
      <c r="IIM107" s="897"/>
      <c r="IIN107" s="897"/>
      <c r="IIO107" s="897"/>
      <c r="IIP107" s="895"/>
      <c r="IIQ107" s="895"/>
      <c r="IIR107" s="896"/>
      <c r="IIS107" s="897"/>
      <c r="IIT107" s="897"/>
      <c r="IIU107" s="897"/>
      <c r="IIV107" s="897"/>
      <c r="IIW107" s="897"/>
      <c r="IIX107" s="897"/>
      <c r="IIY107" s="897"/>
      <c r="IIZ107" s="897"/>
      <c r="IJA107" s="895"/>
      <c r="IJB107" s="895"/>
      <c r="IJC107" s="896"/>
      <c r="IJD107" s="897"/>
      <c r="IJE107" s="897"/>
      <c r="IJF107" s="897"/>
      <c r="IJG107" s="897"/>
      <c r="IJH107" s="897"/>
      <c r="IJI107" s="897"/>
      <c r="IJJ107" s="897"/>
      <c r="IJK107" s="897"/>
      <c r="IJL107" s="895"/>
      <c r="IJM107" s="895"/>
      <c r="IJN107" s="896"/>
      <c r="IJO107" s="897"/>
      <c r="IJP107" s="897"/>
      <c r="IJQ107" s="897"/>
      <c r="IJR107" s="897"/>
      <c r="IJS107" s="897"/>
      <c r="IJT107" s="897"/>
      <c r="IJU107" s="897"/>
      <c r="IJV107" s="897"/>
      <c r="IJW107" s="895"/>
      <c r="IJX107" s="895"/>
      <c r="IJY107" s="896"/>
      <c r="IJZ107" s="897"/>
      <c r="IKA107" s="897"/>
      <c r="IKB107" s="897"/>
      <c r="IKC107" s="897"/>
      <c r="IKD107" s="897"/>
      <c r="IKE107" s="897"/>
      <c r="IKF107" s="897"/>
      <c r="IKG107" s="897"/>
      <c r="IKH107" s="895"/>
      <c r="IKI107" s="895"/>
      <c r="IKJ107" s="896"/>
      <c r="IKK107" s="897"/>
      <c r="IKL107" s="897"/>
      <c r="IKM107" s="897"/>
      <c r="IKN107" s="897"/>
      <c r="IKO107" s="897"/>
      <c r="IKP107" s="897"/>
      <c r="IKQ107" s="897"/>
      <c r="IKR107" s="897"/>
      <c r="IKS107" s="895"/>
      <c r="IKT107" s="895"/>
      <c r="IKU107" s="896"/>
      <c r="IKV107" s="897"/>
      <c r="IKW107" s="897"/>
      <c r="IKX107" s="897"/>
      <c r="IKY107" s="897"/>
      <c r="IKZ107" s="897"/>
      <c r="ILA107" s="897"/>
      <c r="ILB107" s="897"/>
      <c r="ILC107" s="897"/>
      <c r="ILD107" s="895"/>
      <c r="ILE107" s="895"/>
      <c r="ILF107" s="896"/>
      <c r="ILG107" s="897"/>
      <c r="ILH107" s="897"/>
      <c r="ILI107" s="897"/>
      <c r="ILJ107" s="897"/>
      <c r="ILK107" s="897"/>
      <c r="ILL107" s="897"/>
      <c r="ILM107" s="897"/>
      <c r="ILN107" s="897"/>
      <c r="ILO107" s="895"/>
      <c r="ILP107" s="895"/>
      <c r="ILQ107" s="896"/>
      <c r="ILR107" s="897"/>
      <c r="ILS107" s="897"/>
      <c r="ILT107" s="897"/>
      <c r="ILU107" s="897"/>
      <c r="ILV107" s="897"/>
      <c r="ILW107" s="897"/>
      <c r="ILX107" s="897"/>
      <c r="ILY107" s="897"/>
      <c r="ILZ107" s="895"/>
      <c r="IMA107" s="895"/>
      <c r="IMB107" s="896"/>
      <c r="IMC107" s="897"/>
      <c r="IMD107" s="897"/>
      <c r="IME107" s="897"/>
      <c r="IMF107" s="897"/>
      <c r="IMG107" s="897"/>
      <c r="IMH107" s="897"/>
      <c r="IMI107" s="897"/>
      <c r="IMJ107" s="897"/>
      <c r="IMK107" s="895"/>
      <c r="IML107" s="895"/>
      <c r="IMM107" s="896"/>
      <c r="IMN107" s="897"/>
      <c r="IMO107" s="897"/>
      <c r="IMP107" s="897"/>
      <c r="IMQ107" s="897"/>
      <c r="IMR107" s="897"/>
      <c r="IMS107" s="897"/>
      <c r="IMT107" s="897"/>
      <c r="IMU107" s="897"/>
      <c r="IMV107" s="895"/>
      <c r="IMW107" s="895"/>
      <c r="IMX107" s="896"/>
      <c r="IMY107" s="897"/>
      <c r="IMZ107" s="897"/>
      <c r="INA107" s="897"/>
      <c r="INB107" s="897"/>
      <c r="INC107" s="897"/>
      <c r="IND107" s="897"/>
      <c r="INE107" s="897"/>
      <c r="INF107" s="897"/>
      <c r="ING107" s="895"/>
      <c r="INH107" s="895"/>
      <c r="INI107" s="896"/>
      <c r="INJ107" s="897"/>
      <c r="INK107" s="897"/>
      <c r="INL107" s="897"/>
      <c r="INM107" s="897"/>
      <c r="INN107" s="897"/>
      <c r="INO107" s="897"/>
      <c r="INP107" s="897"/>
      <c r="INQ107" s="897"/>
      <c r="INR107" s="895"/>
      <c r="INS107" s="895"/>
      <c r="INT107" s="896"/>
      <c r="INU107" s="897"/>
      <c r="INV107" s="897"/>
      <c r="INW107" s="897"/>
      <c r="INX107" s="897"/>
      <c r="INY107" s="897"/>
      <c r="INZ107" s="897"/>
      <c r="IOA107" s="897"/>
      <c r="IOB107" s="897"/>
      <c r="IOC107" s="895"/>
      <c r="IOD107" s="895"/>
      <c r="IOE107" s="896"/>
      <c r="IOF107" s="897"/>
      <c r="IOG107" s="897"/>
      <c r="IOH107" s="897"/>
      <c r="IOI107" s="897"/>
      <c r="IOJ107" s="897"/>
      <c r="IOK107" s="897"/>
      <c r="IOL107" s="897"/>
      <c r="IOM107" s="897"/>
      <c r="ION107" s="895"/>
      <c r="IOO107" s="895"/>
      <c r="IOP107" s="896"/>
      <c r="IOQ107" s="897"/>
      <c r="IOR107" s="897"/>
      <c r="IOS107" s="897"/>
      <c r="IOT107" s="897"/>
      <c r="IOU107" s="897"/>
      <c r="IOV107" s="897"/>
      <c r="IOW107" s="897"/>
      <c r="IOX107" s="897"/>
      <c r="IOY107" s="895"/>
      <c r="IOZ107" s="895"/>
      <c r="IPA107" s="896"/>
      <c r="IPB107" s="897"/>
      <c r="IPC107" s="897"/>
      <c r="IPD107" s="897"/>
      <c r="IPE107" s="897"/>
      <c r="IPF107" s="897"/>
      <c r="IPG107" s="897"/>
      <c r="IPH107" s="897"/>
      <c r="IPI107" s="897"/>
      <c r="IPJ107" s="895"/>
      <c r="IPK107" s="895"/>
      <c r="IPL107" s="896"/>
      <c r="IPM107" s="897"/>
      <c r="IPN107" s="897"/>
      <c r="IPO107" s="897"/>
      <c r="IPP107" s="897"/>
      <c r="IPQ107" s="897"/>
      <c r="IPR107" s="897"/>
      <c r="IPS107" s="897"/>
      <c r="IPT107" s="897"/>
      <c r="IPU107" s="895"/>
      <c r="IPV107" s="895"/>
      <c r="IPW107" s="896"/>
      <c r="IPX107" s="897"/>
      <c r="IPY107" s="897"/>
      <c r="IPZ107" s="897"/>
      <c r="IQA107" s="897"/>
      <c r="IQB107" s="897"/>
      <c r="IQC107" s="897"/>
      <c r="IQD107" s="897"/>
      <c r="IQE107" s="897"/>
      <c r="IQF107" s="895"/>
      <c r="IQG107" s="895"/>
      <c r="IQH107" s="896"/>
      <c r="IQI107" s="897"/>
      <c r="IQJ107" s="897"/>
      <c r="IQK107" s="897"/>
      <c r="IQL107" s="897"/>
      <c r="IQM107" s="897"/>
      <c r="IQN107" s="897"/>
      <c r="IQO107" s="897"/>
      <c r="IQP107" s="897"/>
      <c r="IQQ107" s="895"/>
      <c r="IQR107" s="895"/>
      <c r="IQS107" s="896"/>
      <c r="IQT107" s="897"/>
      <c r="IQU107" s="897"/>
      <c r="IQV107" s="897"/>
      <c r="IQW107" s="897"/>
      <c r="IQX107" s="897"/>
      <c r="IQY107" s="897"/>
      <c r="IQZ107" s="897"/>
      <c r="IRA107" s="897"/>
      <c r="IRB107" s="895"/>
      <c r="IRC107" s="895"/>
      <c r="IRD107" s="896"/>
      <c r="IRE107" s="897"/>
      <c r="IRF107" s="897"/>
      <c r="IRG107" s="897"/>
      <c r="IRH107" s="897"/>
      <c r="IRI107" s="897"/>
      <c r="IRJ107" s="897"/>
      <c r="IRK107" s="897"/>
      <c r="IRL107" s="897"/>
      <c r="IRM107" s="895"/>
      <c r="IRN107" s="895"/>
      <c r="IRO107" s="896"/>
      <c r="IRP107" s="897"/>
      <c r="IRQ107" s="897"/>
      <c r="IRR107" s="897"/>
      <c r="IRS107" s="897"/>
      <c r="IRT107" s="897"/>
      <c r="IRU107" s="897"/>
      <c r="IRV107" s="897"/>
      <c r="IRW107" s="897"/>
      <c r="IRX107" s="895"/>
      <c r="IRY107" s="895"/>
      <c r="IRZ107" s="896"/>
      <c r="ISA107" s="897"/>
      <c r="ISB107" s="897"/>
      <c r="ISC107" s="897"/>
      <c r="ISD107" s="897"/>
      <c r="ISE107" s="897"/>
      <c r="ISF107" s="897"/>
      <c r="ISG107" s="897"/>
      <c r="ISH107" s="897"/>
      <c r="ISI107" s="895"/>
      <c r="ISJ107" s="895"/>
      <c r="ISK107" s="896"/>
      <c r="ISL107" s="897"/>
      <c r="ISM107" s="897"/>
      <c r="ISN107" s="897"/>
      <c r="ISO107" s="897"/>
      <c r="ISP107" s="897"/>
      <c r="ISQ107" s="897"/>
      <c r="ISR107" s="897"/>
      <c r="ISS107" s="897"/>
      <c r="IST107" s="895"/>
      <c r="ISU107" s="895"/>
      <c r="ISV107" s="896"/>
      <c r="ISW107" s="897"/>
      <c r="ISX107" s="897"/>
      <c r="ISY107" s="897"/>
      <c r="ISZ107" s="897"/>
      <c r="ITA107" s="897"/>
      <c r="ITB107" s="897"/>
      <c r="ITC107" s="897"/>
      <c r="ITD107" s="897"/>
      <c r="ITE107" s="895"/>
      <c r="ITF107" s="895"/>
      <c r="ITG107" s="896"/>
      <c r="ITH107" s="897"/>
      <c r="ITI107" s="897"/>
      <c r="ITJ107" s="897"/>
      <c r="ITK107" s="897"/>
      <c r="ITL107" s="897"/>
      <c r="ITM107" s="897"/>
      <c r="ITN107" s="897"/>
      <c r="ITO107" s="897"/>
      <c r="ITP107" s="895"/>
      <c r="ITQ107" s="895"/>
      <c r="ITR107" s="896"/>
      <c r="ITS107" s="897"/>
      <c r="ITT107" s="897"/>
      <c r="ITU107" s="897"/>
      <c r="ITV107" s="897"/>
      <c r="ITW107" s="897"/>
      <c r="ITX107" s="897"/>
      <c r="ITY107" s="897"/>
      <c r="ITZ107" s="897"/>
      <c r="IUA107" s="895"/>
      <c r="IUB107" s="895"/>
      <c r="IUC107" s="896"/>
      <c r="IUD107" s="897"/>
      <c r="IUE107" s="897"/>
      <c r="IUF107" s="897"/>
      <c r="IUG107" s="897"/>
      <c r="IUH107" s="897"/>
      <c r="IUI107" s="897"/>
      <c r="IUJ107" s="897"/>
      <c r="IUK107" s="897"/>
      <c r="IUL107" s="895"/>
      <c r="IUM107" s="895"/>
      <c r="IUN107" s="896"/>
      <c r="IUO107" s="897"/>
      <c r="IUP107" s="897"/>
      <c r="IUQ107" s="897"/>
      <c r="IUR107" s="897"/>
      <c r="IUS107" s="897"/>
      <c r="IUT107" s="897"/>
      <c r="IUU107" s="897"/>
      <c r="IUV107" s="897"/>
      <c r="IUW107" s="895"/>
      <c r="IUX107" s="895"/>
      <c r="IUY107" s="896"/>
      <c r="IUZ107" s="897"/>
      <c r="IVA107" s="897"/>
      <c r="IVB107" s="897"/>
      <c r="IVC107" s="897"/>
      <c r="IVD107" s="897"/>
      <c r="IVE107" s="897"/>
      <c r="IVF107" s="897"/>
      <c r="IVG107" s="897"/>
      <c r="IVH107" s="895"/>
      <c r="IVI107" s="895"/>
      <c r="IVJ107" s="896"/>
      <c r="IVK107" s="897"/>
      <c r="IVL107" s="897"/>
      <c r="IVM107" s="897"/>
      <c r="IVN107" s="897"/>
      <c r="IVO107" s="897"/>
      <c r="IVP107" s="897"/>
      <c r="IVQ107" s="897"/>
      <c r="IVR107" s="897"/>
      <c r="IVS107" s="895"/>
      <c r="IVT107" s="895"/>
      <c r="IVU107" s="896"/>
      <c r="IVV107" s="897"/>
      <c r="IVW107" s="897"/>
      <c r="IVX107" s="897"/>
      <c r="IVY107" s="897"/>
      <c r="IVZ107" s="897"/>
      <c r="IWA107" s="897"/>
      <c r="IWB107" s="897"/>
      <c r="IWC107" s="897"/>
      <c r="IWD107" s="895"/>
      <c r="IWE107" s="895"/>
      <c r="IWF107" s="896"/>
      <c r="IWG107" s="897"/>
      <c r="IWH107" s="897"/>
      <c r="IWI107" s="897"/>
      <c r="IWJ107" s="897"/>
      <c r="IWK107" s="897"/>
      <c r="IWL107" s="897"/>
      <c r="IWM107" s="897"/>
      <c r="IWN107" s="897"/>
      <c r="IWO107" s="895"/>
      <c r="IWP107" s="895"/>
      <c r="IWQ107" s="896"/>
      <c r="IWR107" s="897"/>
      <c r="IWS107" s="897"/>
      <c r="IWT107" s="897"/>
      <c r="IWU107" s="897"/>
      <c r="IWV107" s="897"/>
      <c r="IWW107" s="897"/>
      <c r="IWX107" s="897"/>
      <c r="IWY107" s="897"/>
      <c r="IWZ107" s="895"/>
      <c r="IXA107" s="895"/>
      <c r="IXB107" s="896"/>
      <c r="IXC107" s="897"/>
      <c r="IXD107" s="897"/>
      <c r="IXE107" s="897"/>
      <c r="IXF107" s="897"/>
      <c r="IXG107" s="897"/>
      <c r="IXH107" s="897"/>
      <c r="IXI107" s="897"/>
      <c r="IXJ107" s="897"/>
      <c r="IXK107" s="895"/>
      <c r="IXL107" s="895"/>
      <c r="IXM107" s="896"/>
      <c r="IXN107" s="897"/>
      <c r="IXO107" s="897"/>
      <c r="IXP107" s="897"/>
      <c r="IXQ107" s="897"/>
      <c r="IXR107" s="897"/>
      <c r="IXS107" s="897"/>
      <c r="IXT107" s="897"/>
      <c r="IXU107" s="897"/>
      <c r="IXV107" s="895"/>
      <c r="IXW107" s="895"/>
      <c r="IXX107" s="896"/>
      <c r="IXY107" s="897"/>
      <c r="IXZ107" s="897"/>
      <c r="IYA107" s="897"/>
      <c r="IYB107" s="897"/>
      <c r="IYC107" s="897"/>
      <c r="IYD107" s="897"/>
      <c r="IYE107" s="897"/>
      <c r="IYF107" s="897"/>
      <c r="IYG107" s="895"/>
      <c r="IYH107" s="895"/>
      <c r="IYI107" s="896"/>
      <c r="IYJ107" s="897"/>
      <c r="IYK107" s="897"/>
      <c r="IYL107" s="897"/>
      <c r="IYM107" s="897"/>
      <c r="IYN107" s="897"/>
      <c r="IYO107" s="897"/>
      <c r="IYP107" s="897"/>
      <c r="IYQ107" s="897"/>
      <c r="IYR107" s="895"/>
      <c r="IYS107" s="895"/>
      <c r="IYT107" s="896"/>
      <c r="IYU107" s="897"/>
      <c r="IYV107" s="897"/>
      <c r="IYW107" s="897"/>
      <c r="IYX107" s="897"/>
      <c r="IYY107" s="897"/>
      <c r="IYZ107" s="897"/>
      <c r="IZA107" s="897"/>
      <c r="IZB107" s="897"/>
      <c r="IZC107" s="895"/>
      <c r="IZD107" s="895"/>
      <c r="IZE107" s="896"/>
      <c r="IZF107" s="897"/>
      <c r="IZG107" s="897"/>
      <c r="IZH107" s="897"/>
      <c r="IZI107" s="897"/>
      <c r="IZJ107" s="897"/>
      <c r="IZK107" s="897"/>
      <c r="IZL107" s="897"/>
      <c r="IZM107" s="897"/>
      <c r="IZN107" s="895"/>
      <c r="IZO107" s="895"/>
      <c r="IZP107" s="896"/>
      <c r="IZQ107" s="897"/>
      <c r="IZR107" s="897"/>
      <c r="IZS107" s="897"/>
      <c r="IZT107" s="897"/>
      <c r="IZU107" s="897"/>
      <c r="IZV107" s="897"/>
      <c r="IZW107" s="897"/>
      <c r="IZX107" s="897"/>
      <c r="IZY107" s="895"/>
      <c r="IZZ107" s="895"/>
      <c r="JAA107" s="896"/>
      <c r="JAB107" s="897"/>
      <c r="JAC107" s="897"/>
      <c r="JAD107" s="897"/>
      <c r="JAE107" s="897"/>
      <c r="JAF107" s="897"/>
      <c r="JAG107" s="897"/>
      <c r="JAH107" s="897"/>
      <c r="JAI107" s="897"/>
      <c r="JAJ107" s="895"/>
      <c r="JAK107" s="895"/>
      <c r="JAL107" s="896"/>
      <c r="JAM107" s="897"/>
      <c r="JAN107" s="897"/>
      <c r="JAO107" s="897"/>
      <c r="JAP107" s="897"/>
      <c r="JAQ107" s="897"/>
      <c r="JAR107" s="897"/>
      <c r="JAS107" s="897"/>
      <c r="JAT107" s="897"/>
      <c r="JAU107" s="895"/>
      <c r="JAV107" s="895"/>
      <c r="JAW107" s="896"/>
      <c r="JAX107" s="897"/>
      <c r="JAY107" s="897"/>
      <c r="JAZ107" s="897"/>
      <c r="JBA107" s="897"/>
      <c r="JBB107" s="897"/>
      <c r="JBC107" s="897"/>
      <c r="JBD107" s="897"/>
      <c r="JBE107" s="897"/>
      <c r="JBF107" s="895"/>
      <c r="JBG107" s="895"/>
      <c r="JBH107" s="896"/>
      <c r="JBI107" s="897"/>
      <c r="JBJ107" s="897"/>
      <c r="JBK107" s="897"/>
      <c r="JBL107" s="897"/>
      <c r="JBM107" s="897"/>
      <c r="JBN107" s="897"/>
      <c r="JBO107" s="897"/>
      <c r="JBP107" s="897"/>
      <c r="JBQ107" s="895"/>
      <c r="JBR107" s="895"/>
      <c r="JBS107" s="896"/>
      <c r="JBT107" s="897"/>
      <c r="JBU107" s="897"/>
      <c r="JBV107" s="897"/>
      <c r="JBW107" s="897"/>
      <c r="JBX107" s="897"/>
      <c r="JBY107" s="897"/>
      <c r="JBZ107" s="897"/>
      <c r="JCA107" s="897"/>
      <c r="JCB107" s="895"/>
      <c r="JCC107" s="895"/>
      <c r="JCD107" s="896"/>
      <c r="JCE107" s="897"/>
      <c r="JCF107" s="897"/>
      <c r="JCG107" s="897"/>
      <c r="JCH107" s="897"/>
      <c r="JCI107" s="897"/>
      <c r="JCJ107" s="897"/>
      <c r="JCK107" s="897"/>
      <c r="JCL107" s="897"/>
      <c r="JCM107" s="895"/>
      <c r="JCN107" s="895"/>
      <c r="JCO107" s="896"/>
      <c r="JCP107" s="897"/>
      <c r="JCQ107" s="897"/>
      <c r="JCR107" s="897"/>
      <c r="JCS107" s="897"/>
      <c r="JCT107" s="897"/>
      <c r="JCU107" s="897"/>
      <c r="JCV107" s="897"/>
      <c r="JCW107" s="897"/>
      <c r="JCX107" s="895"/>
      <c r="JCY107" s="895"/>
      <c r="JCZ107" s="896"/>
      <c r="JDA107" s="897"/>
      <c r="JDB107" s="897"/>
      <c r="JDC107" s="897"/>
      <c r="JDD107" s="897"/>
      <c r="JDE107" s="897"/>
      <c r="JDF107" s="897"/>
      <c r="JDG107" s="897"/>
      <c r="JDH107" s="897"/>
      <c r="JDI107" s="895"/>
      <c r="JDJ107" s="895"/>
      <c r="JDK107" s="896"/>
      <c r="JDL107" s="897"/>
      <c r="JDM107" s="897"/>
      <c r="JDN107" s="897"/>
      <c r="JDO107" s="897"/>
      <c r="JDP107" s="897"/>
      <c r="JDQ107" s="897"/>
      <c r="JDR107" s="897"/>
      <c r="JDS107" s="897"/>
      <c r="JDT107" s="895"/>
      <c r="JDU107" s="895"/>
      <c r="JDV107" s="896"/>
      <c r="JDW107" s="897"/>
      <c r="JDX107" s="897"/>
      <c r="JDY107" s="897"/>
      <c r="JDZ107" s="897"/>
      <c r="JEA107" s="897"/>
      <c r="JEB107" s="897"/>
      <c r="JEC107" s="897"/>
      <c r="JED107" s="897"/>
      <c r="JEE107" s="895"/>
      <c r="JEF107" s="895"/>
      <c r="JEG107" s="896"/>
      <c r="JEH107" s="897"/>
      <c r="JEI107" s="897"/>
      <c r="JEJ107" s="897"/>
      <c r="JEK107" s="897"/>
      <c r="JEL107" s="897"/>
      <c r="JEM107" s="897"/>
      <c r="JEN107" s="897"/>
      <c r="JEO107" s="897"/>
      <c r="JEP107" s="895"/>
      <c r="JEQ107" s="895"/>
      <c r="JER107" s="896"/>
      <c r="JES107" s="897"/>
      <c r="JET107" s="897"/>
      <c r="JEU107" s="897"/>
      <c r="JEV107" s="897"/>
      <c r="JEW107" s="897"/>
      <c r="JEX107" s="897"/>
      <c r="JEY107" s="897"/>
      <c r="JEZ107" s="897"/>
      <c r="JFA107" s="895"/>
      <c r="JFB107" s="895"/>
      <c r="JFC107" s="896"/>
      <c r="JFD107" s="897"/>
      <c r="JFE107" s="897"/>
      <c r="JFF107" s="897"/>
      <c r="JFG107" s="897"/>
      <c r="JFH107" s="897"/>
      <c r="JFI107" s="897"/>
      <c r="JFJ107" s="897"/>
      <c r="JFK107" s="897"/>
      <c r="JFL107" s="895"/>
      <c r="JFM107" s="895"/>
      <c r="JFN107" s="896"/>
      <c r="JFO107" s="897"/>
      <c r="JFP107" s="897"/>
      <c r="JFQ107" s="897"/>
      <c r="JFR107" s="897"/>
      <c r="JFS107" s="897"/>
      <c r="JFT107" s="897"/>
      <c r="JFU107" s="897"/>
      <c r="JFV107" s="897"/>
      <c r="JFW107" s="895"/>
      <c r="JFX107" s="895"/>
      <c r="JFY107" s="896"/>
      <c r="JFZ107" s="897"/>
      <c r="JGA107" s="897"/>
      <c r="JGB107" s="897"/>
      <c r="JGC107" s="897"/>
      <c r="JGD107" s="897"/>
      <c r="JGE107" s="897"/>
      <c r="JGF107" s="897"/>
      <c r="JGG107" s="897"/>
      <c r="JGH107" s="895"/>
      <c r="JGI107" s="895"/>
      <c r="JGJ107" s="896"/>
      <c r="JGK107" s="897"/>
      <c r="JGL107" s="897"/>
      <c r="JGM107" s="897"/>
      <c r="JGN107" s="897"/>
      <c r="JGO107" s="897"/>
      <c r="JGP107" s="897"/>
      <c r="JGQ107" s="897"/>
      <c r="JGR107" s="897"/>
      <c r="JGS107" s="895"/>
      <c r="JGT107" s="895"/>
      <c r="JGU107" s="896"/>
      <c r="JGV107" s="897"/>
      <c r="JGW107" s="897"/>
      <c r="JGX107" s="897"/>
      <c r="JGY107" s="897"/>
      <c r="JGZ107" s="897"/>
      <c r="JHA107" s="897"/>
      <c r="JHB107" s="897"/>
      <c r="JHC107" s="897"/>
      <c r="JHD107" s="895"/>
      <c r="JHE107" s="895"/>
      <c r="JHF107" s="896"/>
      <c r="JHG107" s="897"/>
      <c r="JHH107" s="897"/>
      <c r="JHI107" s="897"/>
      <c r="JHJ107" s="897"/>
      <c r="JHK107" s="897"/>
      <c r="JHL107" s="897"/>
      <c r="JHM107" s="897"/>
      <c r="JHN107" s="897"/>
      <c r="JHO107" s="895"/>
      <c r="JHP107" s="895"/>
      <c r="JHQ107" s="896"/>
      <c r="JHR107" s="897"/>
      <c r="JHS107" s="897"/>
      <c r="JHT107" s="897"/>
      <c r="JHU107" s="897"/>
      <c r="JHV107" s="897"/>
      <c r="JHW107" s="897"/>
      <c r="JHX107" s="897"/>
      <c r="JHY107" s="897"/>
      <c r="JHZ107" s="895"/>
      <c r="JIA107" s="895"/>
      <c r="JIB107" s="896"/>
      <c r="JIC107" s="897"/>
      <c r="JID107" s="897"/>
      <c r="JIE107" s="897"/>
      <c r="JIF107" s="897"/>
      <c r="JIG107" s="897"/>
      <c r="JIH107" s="897"/>
      <c r="JII107" s="897"/>
      <c r="JIJ107" s="897"/>
      <c r="JIK107" s="895"/>
      <c r="JIL107" s="895"/>
      <c r="JIM107" s="896"/>
      <c r="JIN107" s="897"/>
      <c r="JIO107" s="897"/>
      <c r="JIP107" s="897"/>
      <c r="JIQ107" s="897"/>
      <c r="JIR107" s="897"/>
      <c r="JIS107" s="897"/>
      <c r="JIT107" s="897"/>
      <c r="JIU107" s="897"/>
      <c r="JIV107" s="895"/>
      <c r="JIW107" s="895"/>
      <c r="JIX107" s="896"/>
      <c r="JIY107" s="897"/>
      <c r="JIZ107" s="897"/>
      <c r="JJA107" s="897"/>
      <c r="JJB107" s="897"/>
      <c r="JJC107" s="897"/>
      <c r="JJD107" s="897"/>
      <c r="JJE107" s="897"/>
      <c r="JJF107" s="897"/>
      <c r="JJG107" s="895"/>
      <c r="JJH107" s="895"/>
      <c r="JJI107" s="896"/>
      <c r="JJJ107" s="897"/>
      <c r="JJK107" s="897"/>
      <c r="JJL107" s="897"/>
      <c r="JJM107" s="897"/>
      <c r="JJN107" s="897"/>
      <c r="JJO107" s="897"/>
      <c r="JJP107" s="897"/>
      <c r="JJQ107" s="897"/>
      <c r="JJR107" s="895"/>
      <c r="JJS107" s="895"/>
      <c r="JJT107" s="896"/>
      <c r="JJU107" s="897"/>
      <c r="JJV107" s="897"/>
      <c r="JJW107" s="897"/>
      <c r="JJX107" s="897"/>
      <c r="JJY107" s="897"/>
      <c r="JJZ107" s="897"/>
      <c r="JKA107" s="897"/>
      <c r="JKB107" s="897"/>
      <c r="JKC107" s="895"/>
      <c r="JKD107" s="895"/>
      <c r="JKE107" s="896"/>
      <c r="JKF107" s="897"/>
      <c r="JKG107" s="897"/>
      <c r="JKH107" s="897"/>
      <c r="JKI107" s="897"/>
      <c r="JKJ107" s="897"/>
      <c r="JKK107" s="897"/>
      <c r="JKL107" s="897"/>
      <c r="JKM107" s="897"/>
      <c r="JKN107" s="895"/>
      <c r="JKO107" s="895"/>
      <c r="JKP107" s="896"/>
      <c r="JKQ107" s="897"/>
      <c r="JKR107" s="897"/>
      <c r="JKS107" s="897"/>
      <c r="JKT107" s="897"/>
      <c r="JKU107" s="897"/>
      <c r="JKV107" s="897"/>
      <c r="JKW107" s="897"/>
      <c r="JKX107" s="897"/>
      <c r="JKY107" s="895"/>
      <c r="JKZ107" s="895"/>
      <c r="JLA107" s="896"/>
      <c r="JLB107" s="897"/>
      <c r="JLC107" s="897"/>
      <c r="JLD107" s="897"/>
      <c r="JLE107" s="897"/>
      <c r="JLF107" s="897"/>
      <c r="JLG107" s="897"/>
      <c r="JLH107" s="897"/>
      <c r="JLI107" s="897"/>
      <c r="JLJ107" s="895"/>
      <c r="JLK107" s="895"/>
      <c r="JLL107" s="896"/>
      <c r="JLM107" s="897"/>
      <c r="JLN107" s="897"/>
      <c r="JLO107" s="897"/>
      <c r="JLP107" s="897"/>
      <c r="JLQ107" s="897"/>
      <c r="JLR107" s="897"/>
      <c r="JLS107" s="897"/>
      <c r="JLT107" s="897"/>
      <c r="JLU107" s="895"/>
      <c r="JLV107" s="895"/>
      <c r="JLW107" s="896"/>
      <c r="JLX107" s="897"/>
      <c r="JLY107" s="897"/>
      <c r="JLZ107" s="897"/>
      <c r="JMA107" s="897"/>
      <c r="JMB107" s="897"/>
      <c r="JMC107" s="897"/>
      <c r="JMD107" s="897"/>
      <c r="JME107" s="897"/>
      <c r="JMF107" s="895"/>
      <c r="JMG107" s="895"/>
      <c r="JMH107" s="896"/>
      <c r="JMI107" s="897"/>
      <c r="JMJ107" s="897"/>
      <c r="JMK107" s="897"/>
      <c r="JML107" s="897"/>
      <c r="JMM107" s="897"/>
      <c r="JMN107" s="897"/>
      <c r="JMO107" s="897"/>
      <c r="JMP107" s="897"/>
      <c r="JMQ107" s="895"/>
      <c r="JMR107" s="895"/>
      <c r="JMS107" s="896"/>
      <c r="JMT107" s="897"/>
      <c r="JMU107" s="897"/>
      <c r="JMV107" s="897"/>
      <c r="JMW107" s="897"/>
      <c r="JMX107" s="897"/>
      <c r="JMY107" s="897"/>
      <c r="JMZ107" s="897"/>
      <c r="JNA107" s="897"/>
      <c r="JNB107" s="895"/>
      <c r="JNC107" s="895"/>
      <c r="JND107" s="896"/>
      <c r="JNE107" s="897"/>
      <c r="JNF107" s="897"/>
      <c r="JNG107" s="897"/>
      <c r="JNH107" s="897"/>
      <c r="JNI107" s="897"/>
      <c r="JNJ107" s="897"/>
      <c r="JNK107" s="897"/>
      <c r="JNL107" s="897"/>
      <c r="JNM107" s="895"/>
      <c r="JNN107" s="895"/>
      <c r="JNO107" s="896"/>
      <c r="JNP107" s="897"/>
      <c r="JNQ107" s="897"/>
      <c r="JNR107" s="897"/>
      <c r="JNS107" s="897"/>
      <c r="JNT107" s="897"/>
      <c r="JNU107" s="897"/>
      <c r="JNV107" s="897"/>
      <c r="JNW107" s="897"/>
      <c r="JNX107" s="895"/>
      <c r="JNY107" s="895"/>
      <c r="JNZ107" s="896"/>
      <c r="JOA107" s="897"/>
      <c r="JOB107" s="897"/>
      <c r="JOC107" s="897"/>
      <c r="JOD107" s="897"/>
      <c r="JOE107" s="897"/>
      <c r="JOF107" s="897"/>
      <c r="JOG107" s="897"/>
      <c r="JOH107" s="897"/>
      <c r="JOI107" s="895"/>
      <c r="JOJ107" s="895"/>
      <c r="JOK107" s="896"/>
      <c r="JOL107" s="897"/>
      <c r="JOM107" s="897"/>
      <c r="JON107" s="897"/>
      <c r="JOO107" s="897"/>
      <c r="JOP107" s="897"/>
      <c r="JOQ107" s="897"/>
      <c r="JOR107" s="897"/>
      <c r="JOS107" s="897"/>
      <c r="JOT107" s="895"/>
      <c r="JOU107" s="895"/>
      <c r="JOV107" s="896"/>
      <c r="JOW107" s="897"/>
      <c r="JOX107" s="897"/>
      <c r="JOY107" s="897"/>
      <c r="JOZ107" s="897"/>
      <c r="JPA107" s="897"/>
      <c r="JPB107" s="897"/>
      <c r="JPC107" s="897"/>
      <c r="JPD107" s="897"/>
      <c r="JPE107" s="895"/>
      <c r="JPF107" s="895"/>
      <c r="JPG107" s="896"/>
      <c r="JPH107" s="897"/>
      <c r="JPI107" s="897"/>
      <c r="JPJ107" s="897"/>
      <c r="JPK107" s="897"/>
      <c r="JPL107" s="897"/>
      <c r="JPM107" s="897"/>
      <c r="JPN107" s="897"/>
      <c r="JPO107" s="897"/>
      <c r="JPP107" s="895"/>
      <c r="JPQ107" s="895"/>
      <c r="JPR107" s="896"/>
      <c r="JPS107" s="897"/>
      <c r="JPT107" s="897"/>
      <c r="JPU107" s="897"/>
      <c r="JPV107" s="897"/>
      <c r="JPW107" s="897"/>
      <c r="JPX107" s="897"/>
      <c r="JPY107" s="897"/>
      <c r="JPZ107" s="897"/>
      <c r="JQA107" s="895"/>
      <c r="JQB107" s="895"/>
      <c r="JQC107" s="896"/>
      <c r="JQD107" s="897"/>
      <c r="JQE107" s="897"/>
      <c r="JQF107" s="897"/>
      <c r="JQG107" s="897"/>
      <c r="JQH107" s="897"/>
      <c r="JQI107" s="897"/>
      <c r="JQJ107" s="897"/>
      <c r="JQK107" s="897"/>
      <c r="JQL107" s="895"/>
      <c r="JQM107" s="895"/>
      <c r="JQN107" s="896"/>
      <c r="JQO107" s="897"/>
      <c r="JQP107" s="897"/>
      <c r="JQQ107" s="897"/>
      <c r="JQR107" s="897"/>
      <c r="JQS107" s="897"/>
      <c r="JQT107" s="897"/>
      <c r="JQU107" s="897"/>
      <c r="JQV107" s="897"/>
      <c r="JQW107" s="895"/>
      <c r="JQX107" s="895"/>
      <c r="JQY107" s="896"/>
      <c r="JQZ107" s="897"/>
      <c r="JRA107" s="897"/>
      <c r="JRB107" s="897"/>
      <c r="JRC107" s="897"/>
      <c r="JRD107" s="897"/>
      <c r="JRE107" s="897"/>
      <c r="JRF107" s="897"/>
      <c r="JRG107" s="897"/>
      <c r="JRH107" s="895"/>
      <c r="JRI107" s="895"/>
      <c r="JRJ107" s="896"/>
      <c r="JRK107" s="897"/>
      <c r="JRL107" s="897"/>
      <c r="JRM107" s="897"/>
      <c r="JRN107" s="897"/>
      <c r="JRO107" s="897"/>
      <c r="JRP107" s="897"/>
      <c r="JRQ107" s="897"/>
      <c r="JRR107" s="897"/>
      <c r="JRS107" s="895"/>
      <c r="JRT107" s="895"/>
      <c r="JRU107" s="896"/>
      <c r="JRV107" s="897"/>
      <c r="JRW107" s="897"/>
      <c r="JRX107" s="897"/>
      <c r="JRY107" s="897"/>
      <c r="JRZ107" s="897"/>
      <c r="JSA107" s="897"/>
      <c r="JSB107" s="897"/>
      <c r="JSC107" s="897"/>
      <c r="JSD107" s="895"/>
      <c r="JSE107" s="895"/>
      <c r="JSF107" s="896"/>
      <c r="JSG107" s="897"/>
      <c r="JSH107" s="897"/>
      <c r="JSI107" s="897"/>
      <c r="JSJ107" s="897"/>
      <c r="JSK107" s="897"/>
      <c r="JSL107" s="897"/>
      <c r="JSM107" s="897"/>
      <c r="JSN107" s="897"/>
      <c r="JSO107" s="895"/>
      <c r="JSP107" s="895"/>
      <c r="JSQ107" s="896"/>
      <c r="JSR107" s="897"/>
      <c r="JSS107" s="897"/>
      <c r="JST107" s="897"/>
      <c r="JSU107" s="897"/>
      <c r="JSV107" s="897"/>
      <c r="JSW107" s="897"/>
      <c r="JSX107" s="897"/>
      <c r="JSY107" s="897"/>
      <c r="JSZ107" s="895"/>
      <c r="JTA107" s="895"/>
      <c r="JTB107" s="896"/>
      <c r="JTC107" s="897"/>
      <c r="JTD107" s="897"/>
      <c r="JTE107" s="897"/>
      <c r="JTF107" s="897"/>
      <c r="JTG107" s="897"/>
      <c r="JTH107" s="897"/>
      <c r="JTI107" s="897"/>
      <c r="JTJ107" s="897"/>
      <c r="JTK107" s="895"/>
      <c r="JTL107" s="895"/>
      <c r="JTM107" s="896"/>
      <c r="JTN107" s="897"/>
      <c r="JTO107" s="897"/>
      <c r="JTP107" s="897"/>
      <c r="JTQ107" s="897"/>
      <c r="JTR107" s="897"/>
      <c r="JTS107" s="897"/>
      <c r="JTT107" s="897"/>
      <c r="JTU107" s="897"/>
      <c r="JTV107" s="895"/>
      <c r="JTW107" s="895"/>
      <c r="JTX107" s="896"/>
      <c r="JTY107" s="897"/>
      <c r="JTZ107" s="897"/>
      <c r="JUA107" s="897"/>
      <c r="JUB107" s="897"/>
      <c r="JUC107" s="897"/>
      <c r="JUD107" s="897"/>
      <c r="JUE107" s="897"/>
      <c r="JUF107" s="897"/>
      <c r="JUG107" s="895"/>
      <c r="JUH107" s="895"/>
      <c r="JUI107" s="896"/>
      <c r="JUJ107" s="897"/>
      <c r="JUK107" s="897"/>
      <c r="JUL107" s="897"/>
      <c r="JUM107" s="897"/>
      <c r="JUN107" s="897"/>
      <c r="JUO107" s="897"/>
      <c r="JUP107" s="897"/>
      <c r="JUQ107" s="897"/>
      <c r="JUR107" s="895"/>
      <c r="JUS107" s="895"/>
      <c r="JUT107" s="896"/>
      <c r="JUU107" s="897"/>
      <c r="JUV107" s="897"/>
      <c r="JUW107" s="897"/>
      <c r="JUX107" s="897"/>
      <c r="JUY107" s="897"/>
      <c r="JUZ107" s="897"/>
      <c r="JVA107" s="897"/>
      <c r="JVB107" s="897"/>
      <c r="JVC107" s="895"/>
      <c r="JVD107" s="895"/>
      <c r="JVE107" s="896"/>
      <c r="JVF107" s="897"/>
      <c r="JVG107" s="897"/>
      <c r="JVH107" s="897"/>
      <c r="JVI107" s="897"/>
      <c r="JVJ107" s="897"/>
      <c r="JVK107" s="897"/>
      <c r="JVL107" s="897"/>
      <c r="JVM107" s="897"/>
      <c r="JVN107" s="895"/>
      <c r="JVO107" s="895"/>
      <c r="JVP107" s="896"/>
      <c r="JVQ107" s="897"/>
      <c r="JVR107" s="897"/>
      <c r="JVS107" s="897"/>
      <c r="JVT107" s="897"/>
      <c r="JVU107" s="897"/>
      <c r="JVV107" s="897"/>
      <c r="JVW107" s="897"/>
      <c r="JVX107" s="897"/>
      <c r="JVY107" s="895"/>
      <c r="JVZ107" s="895"/>
      <c r="JWA107" s="896"/>
      <c r="JWB107" s="897"/>
      <c r="JWC107" s="897"/>
      <c r="JWD107" s="897"/>
      <c r="JWE107" s="897"/>
      <c r="JWF107" s="897"/>
      <c r="JWG107" s="897"/>
      <c r="JWH107" s="897"/>
      <c r="JWI107" s="897"/>
      <c r="JWJ107" s="895"/>
      <c r="JWK107" s="895"/>
      <c r="JWL107" s="896"/>
      <c r="JWM107" s="897"/>
      <c r="JWN107" s="897"/>
      <c r="JWO107" s="897"/>
      <c r="JWP107" s="897"/>
      <c r="JWQ107" s="897"/>
      <c r="JWR107" s="897"/>
      <c r="JWS107" s="897"/>
      <c r="JWT107" s="897"/>
      <c r="JWU107" s="895"/>
      <c r="JWV107" s="895"/>
      <c r="JWW107" s="896"/>
      <c r="JWX107" s="897"/>
      <c r="JWY107" s="897"/>
      <c r="JWZ107" s="897"/>
      <c r="JXA107" s="897"/>
      <c r="JXB107" s="897"/>
      <c r="JXC107" s="897"/>
      <c r="JXD107" s="897"/>
      <c r="JXE107" s="897"/>
      <c r="JXF107" s="895"/>
      <c r="JXG107" s="895"/>
      <c r="JXH107" s="896"/>
      <c r="JXI107" s="897"/>
      <c r="JXJ107" s="897"/>
      <c r="JXK107" s="897"/>
      <c r="JXL107" s="897"/>
      <c r="JXM107" s="897"/>
      <c r="JXN107" s="897"/>
      <c r="JXO107" s="897"/>
      <c r="JXP107" s="897"/>
      <c r="JXQ107" s="895"/>
      <c r="JXR107" s="895"/>
      <c r="JXS107" s="896"/>
      <c r="JXT107" s="897"/>
      <c r="JXU107" s="897"/>
      <c r="JXV107" s="897"/>
      <c r="JXW107" s="897"/>
      <c r="JXX107" s="897"/>
      <c r="JXY107" s="897"/>
      <c r="JXZ107" s="897"/>
      <c r="JYA107" s="897"/>
      <c r="JYB107" s="895"/>
      <c r="JYC107" s="895"/>
      <c r="JYD107" s="896"/>
      <c r="JYE107" s="897"/>
      <c r="JYF107" s="897"/>
      <c r="JYG107" s="897"/>
      <c r="JYH107" s="897"/>
      <c r="JYI107" s="897"/>
      <c r="JYJ107" s="897"/>
      <c r="JYK107" s="897"/>
      <c r="JYL107" s="897"/>
      <c r="JYM107" s="895"/>
      <c r="JYN107" s="895"/>
      <c r="JYO107" s="896"/>
      <c r="JYP107" s="897"/>
      <c r="JYQ107" s="897"/>
      <c r="JYR107" s="897"/>
      <c r="JYS107" s="897"/>
      <c r="JYT107" s="897"/>
      <c r="JYU107" s="897"/>
      <c r="JYV107" s="897"/>
      <c r="JYW107" s="897"/>
      <c r="JYX107" s="895"/>
      <c r="JYY107" s="895"/>
      <c r="JYZ107" s="896"/>
      <c r="JZA107" s="897"/>
      <c r="JZB107" s="897"/>
      <c r="JZC107" s="897"/>
      <c r="JZD107" s="897"/>
      <c r="JZE107" s="897"/>
      <c r="JZF107" s="897"/>
      <c r="JZG107" s="897"/>
      <c r="JZH107" s="897"/>
      <c r="JZI107" s="895"/>
      <c r="JZJ107" s="895"/>
      <c r="JZK107" s="896"/>
      <c r="JZL107" s="897"/>
      <c r="JZM107" s="897"/>
      <c r="JZN107" s="897"/>
      <c r="JZO107" s="897"/>
      <c r="JZP107" s="897"/>
      <c r="JZQ107" s="897"/>
      <c r="JZR107" s="897"/>
      <c r="JZS107" s="897"/>
      <c r="JZT107" s="895"/>
      <c r="JZU107" s="895"/>
      <c r="JZV107" s="896"/>
      <c r="JZW107" s="897"/>
      <c r="JZX107" s="897"/>
      <c r="JZY107" s="897"/>
      <c r="JZZ107" s="897"/>
      <c r="KAA107" s="897"/>
      <c r="KAB107" s="897"/>
      <c r="KAC107" s="897"/>
      <c r="KAD107" s="897"/>
      <c r="KAE107" s="895"/>
      <c r="KAF107" s="895"/>
      <c r="KAG107" s="896"/>
      <c r="KAH107" s="897"/>
      <c r="KAI107" s="897"/>
      <c r="KAJ107" s="897"/>
      <c r="KAK107" s="897"/>
      <c r="KAL107" s="897"/>
      <c r="KAM107" s="897"/>
      <c r="KAN107" s="897"/>
      <c r="KAO107" s="897"/>
      <c r="KAP107" s="895"/>
      <c r="KAQ107" s="895"/>
      <c r="KAR107" s="896"/>
      <c r="KAS107" s="897"/>
      <c r="KAT107" s="897"/>
      <c r="KAU107" s="897"/>
      <c r="KAV107" s="897"/>
      <c r="KAW107" s="897"/>
      <c r="KAX107" s="897"/>
      <c r="KAY107" s="897"/>
      <c r="KAZ107" s="897"/>
      <c r="KBA107" s="895"/>
      <c r="KBB107" s="895"/>
      <c r="KBC107" s="896"/>
      <c r="KBD107" s="897"/>
      <c r="KBE107" s="897"/>
      <c r="KBF107" s="897"/>
      <c r="KBG107" s="897"/>
      <c r="KBH107" s="897"/>
      <c r="KBI107" s="897"/>
      <c r="KBJ107" s="897"/>
      <c r="KBK107" s="897"/>
      <c r="KBL107" s="895"/>
      <c r="KBM107" s="895"/>
      <c r="KBN107" s="896"/>
      <c r="KBO107" s="897"/>
      <c r="KBP107" s="897"/>
      <c r="KBQ107" s="897"/>
      <c r="KBR107" s="897"/>
      <c r="KBS107" s="897"/>
      <c r="KBT107" s="897"/>
      <c r="KBU107" s="897"/>
      <c r="KBV107" s="897"/>
      <c r="KBW107" s="895"/>
      <c r="KBX107" s="895"/>
      <c r="KBY107" s="896"/>
      <c r="KBZ107" s="897"/>
      <c r="KCA107" s="897"/>
      <c r="KCB107" s="897"/>
      <c r="KCC107" s="897"/>
      <c r="KCD107" s="897"/>
      <c r="KCE107" s="897"/>
      <c r="KCF107" s="897"/>
      <c r="KCG107" s="897"/>
      <c r="KCH107" s="895"/>
      <c r="KCI107" s="895"/>
      <c r="KCJ107" s="896"/>
      <c r="KCK107" s="897"/>
      <c r="KCL107" s="897"/>
      <c r="KCM107" s="897"/>
      <c r="KCN107" s="897"/>
      <c r="KCO107" s="897"/>
      <c r="KCP107" s="897"/>
      <c r="KCQ107" s="897"/>
      <c r="KCR107" s="897"/>
      <c r="KCS107" s="895"/>
      <c r="KCT107" s="895"/>
      <c r="KCU107" s="896"/>
      <c r="KCV107" s="897"/>
      <c r="KCW107" s="897"/>
      <c r="KCX107" s="897"/>
      <c r="KCY107" s="897"/>
      <c r="KCZ107" s="897"/>
      <c r="KDA107" s="897"/>
      <c r="KDB107" s="897"/>
      <c r="KDC107" s="897"/>
      <c r="KDD107" s="895"/>
      <c r="KDE107" s="895"/>
      <c r="KDF107" s="896"/>
      <c r="KDG107" s="897"/>
      <c r="KDH107" s="897"/>
      <c r="KDI107" s="897"/>
      <c r="KDJ107" s="897"/>
      <c r="KDK107" s="897"/>
      <c r="KDL107" s="897"/>
      <c r="KDM107" s="897"/>
      <c r="KDN107" s="897"/>
      <c r="KDO107" s="895"/>
      <c r="KDP107" s="895"/>
      <c r="KDQ107" s="896"/>
      <c r="KDR107" s="897"/>
      <c r="KDS107" s="897"/>
      <c r="KDT107" s="897"/>
      <c r="KDU107" s="897"/>
      <c r="KDV107" s="897"/>
      <c r="KDW107" s="897"/>
      <c r="KDX107" s="897"/>
      <c r="KDY107" s="897"/>
      <c r="KDZ107" s="895"/>
      <c r="KEA107" s="895"/>
      <c r="KEB107" s="896"/>
      <c r="KEC107" s="897"/>
      <c r="KED107" s="897"/>
      <c r="KEE107" s="897"/>
      <c r="KEF107" s="897"/>
      <c r="KEG107" s="897"/>
      <c r="KEH107" s="897"/>
      <c r="KEI107" s="897"/>
      <c r="KEJ107" s="897"/>
      <c r="KEK107" s="895"/>
      <c r="KEL107" s="895"/>
      <c r="KEM107" s="896"/>
      <c r="KEN107" s="897"/>
      <c r="KEO107" s="897"/>
      <c r="KEP107" s="897"/>
      <c r="KEQ107" s="897"/>
      <c r="KER107" s="897"/>
      <c r="KES107" s="897"/>
      <c r="KET107" s="897"/>
      <c r="KEU107" s="897"/>
      <c r="KEV107" s="895"/>
      <c r="KEW107" s="895"/>
      <c r="KEX107" s="896"/>
      <c r="KEY107" s="897"/>
      <c r="KEZ107" s="897"/>
      <c r="KFA107" s="897"/>
      <c r="KFB107" s="897"/>
      <c r="KFC107" s="897"/>
      <c r="KFD107" s="897"/>
      <c r="KFE107" s="897"/>
      <c r="KFF107" s="897"/>
      <c r="KFG107" s="895"/>
      <c r="KFH107" s="895"/>
      <c r="KFI107" s="896"/>
      <c r="KFJ107" s="897"/>
      <c r="KFK107" s="897"/>
      <c r="KFL107" s="897"/>
      <c r="KFM107" s="897"/>
      <c r="KFN107" s="897"/>
      <c r="KFO107" s="897"/>
      <c r="KFP107" s="897"/>
      <c r="KFQ107" s="897"/>
      <c r="KFR107" s="895"/>
      <c r="KFS107" s="895"/>
      <c r="KFT107" s="896"/>
      <c r="KFU107" s="897"/>
      <c r="KFV107" s="897"/>
      <c r="KFW107" s="897"/>
      <c r="KFX107" s="897"/>
      <c r="KFY107" s="897"/>
      <c r="KFZ107" s="897"/>
      <c r="KGA107" s="897"/>
      <c r="KGB107" s="897"/>
      <c r="KGC107" s="895"/>
      <c r="KGD107" s="895"/>
      <c r="KGE107" s="896"/>
      <c r="KGF107" s="897"/>
      <c r="KGG107" s="897"/>
      <c r="KGH107" s="897"/>
      <c r="KGI107" s="897"/>
      <c r="KGJ107" s="897"/>
      <c r="KGK107" s="897"/>
      <c r="KGL107" s="897"/>
      <c r="KGM107" s="897"/>
      <c r="KGN107" s="895"/>
      <c r="KGO107" s="895"/>
      <c r="KGP107" s="896"/>
      <c r="KGQ107" s="897"/>
      <c r="KGR107" s="897"/>
      <c r="KGS107" s="897"/>
      <c r="KGT107" s="897"/>
      <c r="KGU107" s="897"/>
      <c r="KGV107" s="897"/>
      <c r="KGW107" s="897"/>
      <c r="KGX107" s="897"/>
      <c r="KGY107" s="895"/>
      <c r="KGZ107" s="895"/>
      <c r="KHA107" s="896"/>
      <c r="KHB107" s="897"/>
      <c r="KHC107" s="897"/>
      <c r="KHD107" s="897"/>
      <c r="KHE107" s="897"/>
      <c r="KHF107" s="897"/>
      <c r="KHG107" s="897"/>
      <c r="KHH107" s="897"/>
      <c r="KHI107" s="897"/>
      <c r="KHJ107" s="895"/>
      <c r="KHK107" s="895"/>
      <c r="KHL107" s="896"/>
      <c r="KHM107" s="897"/>
      <c r="KHN107" s="897"/>
      <c r="KHO107" s="897"/>
      <c r="KHP107" s="897"/>
      <c r="KHQ107" s="897"/>
      <c r="KHR107" s="897"/>
      <c r="KHS107" s="897"/>
      <c r="KHT107" s="897"/>
      <c r="KHU107" s="895"/>
      <c r="KHV107" s="895"/>
      <c r="KHW107" s="896"/>
      <c r="KHX107" s="897"/>
      <c r="KHY107" s="897"/>
      <c r="KHZ107" s="897"/>
      <c r="KIA107" s="897"/>
      <c r="KIB107" s="897"/>
      <c r="KIC107" s="897"/>
      <c r="KID107" s="897"/>
      <c r="KIE107" s="897"/>
      <c r="KIF107" s="895"/>
      <c r="KIG107" s="895"/>
      <c r="KIH107" s="896"/>
      <c r="KII107" s="897"/>
      <c r="KIJ107" s="897"/>
      <c r="KIK107" s="897"/>
      <c r="KIL107" s="897"/>
      <c r="KIM107" s="897"/>
      <c r="KIN107" s="897"/>
      <c r="KIO107" s="897"/>
      <c r="KIP107" s="897"/>
      <c r="KIQ107" s="895"/>
      <c r="KIR107" s="895"/>
      <c r="KIS107" s="896"/>
      <c r="KIT107" s="897"/>
      <c r="KIU107" s="897"/>
      <c r="KIV107" s="897"/>
      <c r="KIW107" s="897"/>
      <c r="KIX107" s="897"/>
      <c r="KIY107" s="897"/>
      <c r="KIZ107" s="897"/>
      <c r="KJA107" s="897"/>
      <c r="KJB107" s="895"/>
      <c r="KJC107" s="895"/>
      <c r="KJD107" s="896"/>
      <c r="KJE107" s="897"/>
      <c r="KJF107" s="897"/>
      <c r="KJG107" s="897"/>
      <c r="KJH107" s="897"/>
      <c r="KJI107" s="897"/>
      <c r="KJJ107" s="897"/>
      <c r="KJK107" s="897"/>
      <c r="KJL107" s="897"/>
      <c r="KJM107" s="895"/>
      <c r="KJN107" s="895"/>
      <c r="KJO107" s="896"/>
      <c r="KJP107" s="897"/>
      <c r="KJQ107" s="897"/>
      <c r="KJR107" s="897"/>
      <c r="KJS107" s="897"/>
      <c r="KJT107" s="897"/>
      <c r="KJU107" s="897"/>
      <c r="KJV107" s="897"/>
      <c r="KJW107" s="897"/>
      <c r="KJX107" s="895"/>
      <c r="KJY107" s="895"/>
      <c r="KJZ107" s="896"/>
      <c r="KKA107" s="897"/>
      <c r="KKB107" s="897"/>
      <c r="KKC107" s="897"/>
      <c r="KKD107" s="897"/>
      <c r="KKE107" s="897"/>
      <c r="KKF107" s="897"/>
      <c r="KKG107" s="897"/>
      <c r="KKH107" s="897"/>
      <c r="KKI107" s="895"/>
      <c r="KKJ107" s="895"/>
      <c r="KKK107" s="896"/>
      <c r="KKL107" s="897"/>
      <c r="KKM107" s="897"/>
      <c r="KKN107" s="897"/>
      <c r="KKO107" s="897"/>
      <c r="KKP107" s="897"/>
      <c r="KKQ107" s="897"/>
      <c r="KKR107" s="897"/>
      <c r="KKS107" s="897"/>
      <c r="KKT107" s="895"/>
      <c r="KKU107" s="895"/>
      <c r="KKV107" s="896"/>
      <c r="KKW107" s="897"/>
      <c r="KKX107" s="897"/>
      <c r="KKY107" s="897"/>
      <c r="KKZ107" s="897"/>
      <c r="KLA107" s="897"/>
      <c r="KLB107" s="897"/>
      <c r="KLC107" s="897"/>
      <c r="KLD107" s="897"/>
      <c r="KLE107" s="895"/>
      <c r="KLF107" s="895"/>
      <c r="KLG107" s="896"/>
      <c r="KLH107" s="897"/>
      <c r="KLI107" s="897"/>
      <c r="KLJ107" s="897"/>
      <c r="KLK107" s="897"/>
      <c r="KLL107" s="897"/>
      <c r="KLM107" s="897"/>
      <c r="KLN107" s="897"/>
      <c r="KLO107" s="897"/>
      <c r="KLP107" s="895"/>
      <c r="KLQ107" s="895"/>
      <c r="KLR107" s="896"/>
      <c r="KLS107" s="897"/>
      <c r="KLT107" s="897"/>
      <c r="KLU107" s="897"/>
      <c r="KLV107" s="897"/>
      <c r="KLW107" s="897"/>
      <c r="KLX107" s="897"/>
      <c r="KLY107" s="897"/>
      <c r="KLZ107" s="897"/>
      <c r="KMA107" s="895"/>
      <c r="KMB107" s="895"/>
      <c r="KMC107" s="896"/>
      <c r="KMD107" s="897"/>
      <c r="KME107" s="897"/>
      <c r="KMF107" s="897"/>
      <c r="KMG107" s="897"/>
      <c r="KMH107" s="897"/>
      <c r="KMI107" s="897"/>
      <c r="KMJ107" s="897"/>
      <c r="KMK107" s="897"/>
      <c r="KML107" s="895"/>
      <c r="KMM107" s="895"/>
      <c r="KMN107" s="896"/>
      <c r="KMO107" s="897"/>
      <c r="KMP107" s="897"/>
      <c r="KMQ107" s="897"/>
      <c r="KMR107" s="897"/>
      <c r="KMS107" s="897"/>
      <c r="KMT107" s="897"/>
      <c r="KMU107" s="897"/>
      <c r="KMV107" s="897"/>
      <c r="KMW107" s="895"/>
      <c r="KMX107" s="895"/>
      <c r="KMY107" s="896"/>
      <c r="KMZ107" s="897"/>
      <c r="KNA107" s="897"/>
      <c r="KNB107" s="897"/>
      <c r="KNC107" s="897"/>
      <c r="KND107" s="897"/>
      <c r="KNE107" s="897"/>
      <c r="KNF107" s="897"/>
      <c r="KNG107" s="897"/>
      <c r="KNH107" s="895"/>
      <c r="KNI107" s="895"/>
      <c r="KNJ107" s="896"/>
      <c r="KNK107" s="897"/>
      <c r="KNL107" s="897"/>
      <c r="KNM107" s="897"/>
      <c r="KNN107" s="897"/>
      <c r="KNO107" s="897"/>
      <c r="KNP107" s="897"/>
      <c r="KNQ107" s="897"/>
      <c r="KNR107" s="897"/>
      <c r="KNS107" s="895"/>
      <c r="KNT107" s="895"/>
      <c r="KNU107" s="896"/>
      <c r="KNV107" s="897"/>
      <c r="KNW107" s="897"/>
      <c r="KNX107" s="897"/>
      <c r="KNY107" s="897"/>
      <c r="KNZ107" s="897"/>
      <c r="KOA107" s="897"/>
      <c r="KOB107" s="897"/>
      <c r="KOC107" s="897"/>
      <c r="KOD107" s="895"/>
      <c r="KOE107" s="895"/>
      <c r="KOF107" s="896"/>
      <c r="KOG107" s="897"/>
      <c r="KOH107" s="897"/>
      <c r="KOI107" s="897"/>
      <c r="KOJ107" s="897"/>
      <c r="KOK107" s="897"/>
      <c r="KOL107" s="897"/>
      <c r="KOM107" s="897"/>
      <c r="KON107" s="897"/>
      <c r="KOO107" s="895"/>
      <c r="KOP107" s="895"/>
      <c r="KOQ107" s="896"/>
      <c r="KOR107" s="897"/>
      <c r="KOS107" s="897"/>
      <c r="KOT107" s="897"/>
      <c r="KOU107" s="897"/>
      <c r="KOV107" s="897"/>
      <c r="KOW107" s="897"/>
      <c r="KOX107" s="897"/>
      <c r="KOY107" s="897"/>
      <c r="KOZ107" s="895"/>
      <c r="KPA107" s="895"/>
      <c r="KPB107" s="896"/>
      <c r="KPC107" s="897"/>
      <c r="KPD107" s="897"/>
      <c r="KPE107" s="897"/>
      <c r="KPF107" s="897"/>
      <c r="KPG107" s="897"/>
      <c r="KPH107" s="897"/>
      <c r="KPI107" s="897"/>
      <c r="KPJ107" s="897"/>
      <c r="KPK107" s="895"/>
      <c r="KPL107" s="895"/>
      <c r="KPM107" s="896"/>
      <c r="KPN107" s="897"/>
      <c r="KPO107" s="897"/>
      <c r="KPP107" s="897"/>
      <c r="KPQ107" s="897"/>
      <c r="KPR107" s="897"/>
      <c r="KPS107" s="897"/>
      <c r="KPT107" s="897"/>
      <c r="KPU107" s="897"/>
      <c r="KPV107" s="895"/>
      <c r="KPW107" s="895"/>
      <c r="KPX107" s="896"/>
      <c r="KPY107" s="897"/>
      <c r="KPZ107" s="897"/>
      <c r="KQA107" s="897"/>
      <c r="KQB107" s="897"/>
      <c r="KQC107" s="897"/>
      <c r="KQD107" s="897"/>
      <c r="KQE107" s="897"/>
      <c r="KQF107" s="897"/>
      <c r="KQG107" s="895"/>
      <c r="KQH107" s="895"/>
      <c r="KQI107" s="896"/>
      <c r="KQJ107" s="897"/>
      <c r="KQK107" s="897"/>
      <c r="KQL107" s="897"/>
      <c r="KQM107" s="897"/>
      <c r="KQN107" s="897"/>
      <c r="KQO107" s="897"/>
      <c r="KQP107" s="897"/>
      <c r="KQQ107" s="897"/>
      <c r="KQR107" s="895"/>
      <c r="KQS107" s="895"/>
      <c r="KQT107" s="896"/>
      <c r="KQU107" s="897"/>
      <c r="KQV107" s="897"/>
      <c r="KQW107" s="897"/>
      <c r="KQX107" s="897"/>
      <c r="KQY107" s="897"/>
      <c r="KQZ107" s="897"/>
      <c r="KRA107" s="897"/>
      <c r="KRB107" s="897"/>
      <c r="KRC107" s="895"/>
      <c r="KRD107" s="895"/>
      <c r="KRE107" s="896"/>
      <c r="KRF107" s="897"/>
      <c r="KRG107" s="897"/>
      <c r="KRH107" s="897"/>
      <c r="KRI107" s="897"/>
      <c r="KRJ107" s="897"/>
      <c r="KRK107" s="897"/>
      <c r="KRL107" s="897"/>
      <c r="KRM107" s="897"/>
      <c r="KRN107" s="895"/>
      <c r="KRO107" s="895"/>
      <c r="KRP107" s="896"/>
      <c r="KRQ107" s="897"/>
      <c r="KRR107" s="897"/>
      <c r="KRS107" s="897"/>
      <c r="KRT107" s="897"/>
      <c r="KRU107" s="897"/>
      <c r="KRV107" s="897"/>
      <c r="KRW107" s="897"/>
      <c r="KRX107" s="897"/>
      <c r="KRY107" s="895"/>
      <c r="KRZ107" s="895"/>
      <c r="KSA107" s="896"/>
      <c r="KSB107" s="897"/>
      <c r="KSC107" s="897"/>
      <c r="KSD107" s="897"/>
      <c r="KSE107" s="897"/>
      <c r="KSF107" s="897"/>
      <c r="KSG107" s="897"/>
      <c r="KSH107" s="897"/>
      <c r="KSI107" s="897"/>
      <c r="KSJ107" s="895"/>
      <c r="KSK107" s="895"/>
      <c r="KSL107" s="896"/>
      <c r="KSM107" s="897"/>
      <c r="KSN107" s="897"/>
      <c r="KSO107" s="897"/>
      <c r="KSP107" s="897"/>
      <c r="KSQ107" s="897"/>
      <c r="KSR107" s="897"/>
      <c r="KSS107" s="897"/>
      <c r="KST107" s="897"/>
      <c r="KSU107" s="895"/>
      <c r="KSV107" s="895"/>
      <c r="KSW107" s="896"/>
      <c r="KSX107" s="897"/>
      <c r="KSY107" s="897"/>
      <c r="KSZ107" s="897"/>
      <c r="KTA107" s="897"/>
      <c r="KTB107" s="897"/>
      <c r="KTC107" s="897"/>
      <c r="KTD107" s="897"/>
      <c r="KTE107" s="897"/>
      <c r="KTF107" s="895"/>
      <c r="KTG107" s="895"/>
      <c r="KTH107" s="896"/>
      <c r="KTI107" s="897"/>
      <c r="KTJ107" s="897"/>
      <c r="KTK107" s="897"/>
      <c r="KTL107" s="897"/>
      <c r="KTM107" s="897"/>
      <c r="KTN107" s="897"/>
      <c r="KTO107" s="897"/>
      <c r="KTP107" s="897"/>
      <c r="KTQ107" s="895"/>
      <c r="KTR107" s="895"/>
      <c r="KTS107" s="896"/>
      <c r="KTT107" s="897"/>
      <c r="KTU107" s="897"/>
      <c r="KTV107" s="897"/>
      <c r="KTW107" s="897"/>
      <c r="KTX107" s="897"/>
      <c r="KTY107" s="897"/>
      <c r="KTZ107" s="897"/>
      <c r="KUA107" s="897"/>
      <c r="KUB107" s="895"/>
      <c r="KUC107" s="895"/>
      <c r="KUD107" s="896"/>
      <c r="KUE107" s="897"/>
      <c r="KUF107" s="897"/>
      <c r="KUG107" s="897"/>
      <c r="KUH107" s="897"/>
      <c r="KUI107" s="897"/>
      <c r="KUJ107" s="897"/>
      <c r="KUK107" s="897"/>
      <c r="KUL107" s="897"/>
      <c r="KUM107" s="895"/>
      <c r="KUN107" s="895"/>
      <c r="KUO107" s="896"/>
      <c r="KUP107" s="897"/>
      <c r="KUQ107" s="897"/>
      <c r="KUR107" s="897"/>
      <c r="KUS107" s="897"/>
      <c r="KUT107" s="897"/>
      <c r="KUU107" s="897"/>
      <c r="KUV107" s="897"/>
      <c r="KUW107" s="897"/>
      <c r="KUX107" s="895"/>
      <c r="KUY107" s="895"/>
      <c r="KUZ107" s="896"/>
      <c r="KVA107" s="897"/>
      <c r="KVB107" s="897"/>
      <c r="KVC107" s="897"/>
      <c r="KVD107" s="897"/>
      <c r="KVE107" s="897"/>
      <c r="KVF107" s="897"/>
      <c r="KVG107" s="897"/>
      <c r="KVH107" s="897"/>
      <c r="KVI107" s="895"/>
      <c r="KVJ107" s="895"/>
      <c r="KVK107" s="896"/>
      <c r="KVL107" s="897"/>
      <c r="KVM107" s="897"/>
      <c r="KVN107" s="897"/>
      <c r="KVO107" s="897"/>
      <c r="KVP107" s="897"/>
      <c r="KVQ107" s="897"/>
      <c r="KVR107" s="897"/>
      <c r="KVS107" s="897"/>
      <c r="KVT107" s="895"/>
      <c r="KVU107" s="895"/>
      <c r="KVV107" s="896"/>
      <c r="KVW107" s="897"/>
      <c r="KVX107" s="897"/>
      <c r="KVY107" s="897"/>
      <c r="KVZ107" s="897"/>
      <c r="KWA107" s="897"/>
      <c r="KWB107" s="897"/>
      <c r="KWC107" s="897"/>
      <c r="KWD107" s="897"/>
      <c r="KWE107" s="895"/>
      <c r="KWF107" s="895"/>
      <c r="KWG107" s="896"/>
      <c r="KWH107" s="897"/>
      <c r="KWI107" s="897"/>
      <c r="KWJ107" s="897"/>
      <c r="KWK107" s="897"/>
      <c r="KWL107" s="897"/>
      <c r="KWM107" s="897"/>
      <c r="KWN107" s="897"/>
      <c r="KWO107" s="897"/>
      <c r="KWP107" s="895"/>
      <c r="KWQ107" s="895"/>
      <c r="KWR107" s="896"/>
      <c r="KWS107" s="897"/>
      <c r="KWT107" s="897"/>
      <c r="KWU107" s="897"/>
      <c r="KWV107" s="897"/>
      <c r="KWW107" s="897"/>
      <c r="KWX107" s="897"/>
      <c r="KWY107" s="897"/>
      <c r="KWZ107" s="897"/>
      <c r="KXA107" s="895"/>
      <c r="KXB107" s="895"/>
      <c r="KXC107" s="896"/>
      <c r="KXD107" s="897"/>
      <c r="KXE107" s="897"/>
      <c r="KXF107" s="897"/>
      <c r="KXG107" s="897"/>
      <c r="KXH107" s="897"/>
      <c r="KXI107" s="897"/>
      <c r="KXJ107" s="897"/>
      <c r="KXK107" s="897"/>
      <c r="KXL107" s="895"/>
      <c r="KXM107" s="895"/>
      <c r="KXN107" s="896"/>
      <c r="KXO107" s="897"/>
      <c r="KXP107" s="897"/>
      <c r="KXQ107" s="897"/>
      <c r="KXR107" s="897"/>
      <c r="KXS107" s="897"/>
      <c r="KXT107" s="897"/>
      <c r="KXU107" s="897"/>
      <c r="KXV107" s="897"/>
      <c r="KXW107" s="895"/>
      <c r="KXX107" s="895"/>
      <c r="KXY107" s="896"/>
      <c r="KXZ107" s="897"/>
      <c r="KYA107" s="897"/>
      <c r="KYB107" s="897"/>
      <c r="KYC107" s="897"/>
      <c r="KYD107" s="897"/>
      <c r="KYE107" s="897"/>
      <c r="KYF107" s="897"/>
      <c r="KYG107" s="897"/>
      <c r="KYH107" s="895"/>
      <c r="KYI107" s="895"/>
      <c r="KYJ107" s="896"/>
      <c r="KYK107" s="897"/>
      <c r="KYL107" s="897"/>
      <c r="KYM107" s="897"/>
      <c r="KYN107" s="897"/>
      <c r="KYO107" s="897"/>
      <c r="KYP107" s="897"/>
      <c r="KYQ107" s="897"/>
      <c r="KYR107" s="897"/>
      <c r="KYS107" s="895"/>
      <c r="KYT107" s="895"/>
      <c r="KYU107" s="896"/>
      <c r="KYV107" s="897"/>
      <c r="KYW107" s="897"/>
      <c r="KYX107" s="897"/>
      <c r="KYY107" s="897"/>
      <c r="KYZ107" s="897"/>
      <c r="KZA107" s="897"/>
      <c r="KZB107" s="897"/>
      <c r="KZC107" s="897"/>
      <c r="KZD107" s="895"/>
      <c r="KZE107" s="895"/>
      <c r="KZF107" s="896"/>
      <c r="KZG107" s="897"/>
      <c r="KZH107" s="897"/>
      <c r="KZI107" s="897"/>
      <c r="KZJ107" s="897"/>
      <c r="KZK107" s="897"/>
      <c r="KZL107" s="897"/>
      <c r="KZM107" s="897"/>
      <c r="KZN107" s="897"/>
      <c r="KZO107" s="895"/>
      <c r="KZP107" s="895"/>
      <c r="KZQ107" s="896"/>
      <c r="KZR107" s="897"/>
      <c r="KZS107" s="897"/>
      <c r="KZT107" s="897"/>
      <c r="KZU107" s="897"/>
      <c r="KZV107" s="897"/>
      <c r="KZW107" s="897"/>
      <c r="KZX107" s="897"/>
      <c r="KZY107" s="897"/>
      <c r="KZZ107" s="895"/>
      <c r="LAA107" s="895"/>
      <c r="LAB107" s="896"/>
      <c r="LAC107" s="897"/>
      <c r="LAD107" s="897"/>
      <c r="LAE107" s="897"/>
      <c r="LAF107" s="897"/>
      <c r="LAG107" s="897"/>
      <c r="LAH107" s="897"/>
      <c r="LAI107" s="897"/>
      <c r="LAJ107" s="897"/>
      <c r="LAK107" s="895"/>
      <c r="LAL107" s="895"/>
      <c r="LAM107" s="896"/>
      <c r="LAN107" s="897"/>
      <c r="LAO107" s="897"/>
      <c r="LAP107" s="897"/>
      <c r="LAQ107" s="897"/>
      <c r="LAR107" s="897"/>
      <c r="LAS107" s="897"/>
      <c r="LAT107" s="897"/>
      <c r="LAU107" s="897"/>
      <c r="LAV107" s="895"/>
      <c r="LAW107" s="895"/>
      <c r="LAX107" s="896"/>
      <c r="LAY107" s="897"/>
      <c r="LAZ107" s="897"/>
      <c r="LBA107" s="897"/>
      <c r="LBB107" s="897"/>
      <c r="LBC107" s="897"/>
      <c r="LBD107" s="897"/>
      <c r="LBE107" s="897"/>
      <c r="LBF107" s="897"/>
      <c r="LBG107" s="895"/>
      <c r="LBH107" s="895"/>
      <c r="LBI107" s="896"/>
      <c r="LBJ107" s="897"/>
      <c r="LBK107" s="897"/>
      <c r="LBL107" s="897"/>
      <c r="LBM107" s="897"/>
      <c r="LBN107" s="897"/>
      <c r="LBO107" s="897"/>
      <c r="LBP107" s="897"/>
      <c r="LBQ107" s="897"/>
      <c r="LBR107" s="895"/>
      <c r="LBS107" s="895"/>
      <c r="LBT107" s="896"/>
      <c r="LBU107" s="897"/>
      <c r="LBV107" s="897"/>
      <c r="LBW107" s="897"/>
      <c r="LBX107" s="897"/>
      <c r="LBY107" s="897"/>
      <c r="LBZ107" s="897"/>
      <c r="LCA107" s="897"/>
      <c r="LCB107" s="897"/>
      <c r="LCC107" s="895"/>
      <c r="LCD107" s="895"/>
      <c r="LCE107" s="896"/>
      <c r="LCF107" s="897"/>
      <c r="LCG107" s="897"/>
      <c r="LCH107" s="897"/>
      <c r="LCI107" s="897"/>
      <c r="LCJ107" s="897"/>
      <c r="LCK107" s="897"/>
      <c r="LCL107" s="897"/>
      <c r="LCM107" s="897"/>
      <c r="LCN107" s="895"/>
      <c r="LCO107" s="895"/>
      <c r="LCP107" s="896"/>
      <c r="LCQ107" s="897"/>
      <c r="LCR107" s="897"/>
      <c r="LCS107" s="897"/>
      <c r="LCT107" s="897"/>
      <c r="LCU107" s="897"/>
      <c r="LCV107" s="897"/>
      <c r="LCW107" s="897"/>
      <c r="LCX107" s="897"/>
      <c r="LCY107" s="895"/>
      <c r="LCZ107" s="895"/>
      <c r="LDA107" s="896"/>
      <c r="LDB107" s="897"/>
      <c r="LDC107" s="897"/>
      <c r="LDD107" s="897"/>
      <c r="LDE107" s="897"/>
      <c r="LDF107" s="897"/>
      <c r="LDG107" s="897"/>
      <c r="LDH107" s="897"/>
      <c r="LDI107" s="897"/>
      <c r="LDJ107" s="895"/>
      <c r="LDK107" s="895"/>
      <c r="LDL107" s="896"/>
      <c r="LDM107" s="897"/>
      <c r="LDN107" s="897"/>
      <c r="LDO107" s="897"/>
      <c r="LDP107" s="897"/>
      <c r="LDQ107" s="897"/>
      <c r="LDR107" s="897"/>
      <c r="LDS107" s="897"/>
      <c r="LDT107" s="897"/>
      <c r="LDU107" s="895"/>
      <c r="LDV107" s="895"/>
      <c r="LDW107" s="896"/>
      <c r="LDX107" s="897"/>
      <c r="LDY107" s="897"/>
      <c r="LDZ107" s="897"/>
      <c r="LEA107" s="897"/>
      <c r="LEB107" s="897"/>
      <c r="LEC107" s="897"/>
      <c r="LED107" s="897"/>
      <c r="LEE107" s="897"/>
      <c r="LEF107" s="895"/>
      <c r="LEG107" s="895"/>
      <c r="LEH107" s="896"/>
      <c r="LEI107" s="897"/>
      <c r="LEJ107" s="897"/>
      <c r="LEK107" s="897"/>
      <c r="LEL107" s="897"/>
      <c r="LEM107" s="897"/>
      <c r="LEN107" s="897"/>
      <c r="LEO107" s="897"/>
      <c r="LEP107" s="897"/>
      <c r="LEQ107" s="895"/>
      <c r="LER107" s="895"/>
      <c r="LES107" s="896"/>
      <c r="LET107" s="897"/>
      <c r="LEU107" s="897"/>
      <c r="LEV107" s="897"/>
      <c r="LEW107" s="897"/>
      <c r="LEX107" s="897"/>
      <c r="LEY107" s="897"/>
      <c r="LEZ107" s="897"/>
      <c r="LFA107" s="897"/>
      <c r="LFB107" s="895"/>
      <c r="LFC107" s="895"/>
      <c r="LFD107" s="896"/>
      <c r="LFE107" s="897"/>
      <c r="LFF107" s="897"/>
      <c r="LFG107" s="897"/>
      <c r="LFH107" s="897"/>
      <c r="LFI107" s="897"/>
      <c r="LFJ107" s="897"/>
      <c r="LFK107" s="897"/>
      <c r="LFL107" s="897"/>
      <c r="LFM107" s="895"/>
      <c r="LFN107" s="895"/>
      <c r="LFO107" s="896"/>
      <c r="LFP107" s="897"/>
      <c r="LFQ107" s="897"/>
      <c r="LFR107" s="897"/>
      <c r="LFS107" s="897"/>
      <c r="LFT107" s="897"/>
      <c r="LFU107" s="897"/>
      <c r="LFV107" s="897"/>
      <c r="LFW107" s="897"/>
      <c r="LFX107" s="895"/>
      <c r="LFY107" s="895"/>
      <c r="LFZ107" s="896"/>
      <c r="LGA107" s="897"/>
      <c r="LGB107" s="897"/>
      <c r="LGC107" s="897"/>
      <c r="LGD107" s="897"/>
      <c r="LGE107" s="897"/>
      <c r="LGF107" s="897"/>
      <c r="LGG107" s="897"/>
      <c r="LGH107" s="897"/>
      <c r="LGI107" s="895"/>
      <c r="LGJ107" s="895"/>
      <c r="LGK107" s="896"/>
      <c r="LGL107" s="897"/>
      <c r="LGM107" s="897"/>
      <c r="LGN107" s="897"/>
      <c r="LGO107" s="897"/>
      <c r="LGP107" s="897"/>
      <c r="LGQ107" s="897"/>
      <c r="LGR107" s="897"/>
      <c r="LGS107" s="897"/>
      <c r="LGT107" s="895"/>
      <c r="LGU107" s="895"/>
      <c r="LGV107" s="896"/>
      <c r="LGW107" s="897"/>
      <c r="LGX107" s="897"/>
      <c r="LGY107" s="897"/>
      <c r="LGZ107" s="897"/>
      <c r="LHA107" s="897"/>
      <c r="LHB107" s="897"/>
      <c r="LHC107" s="897"/>
      <c r="LHD107" s="897"/>
      <c r="LHE107" s="895"/>
      <c r="LHF107" s="895"/>
      <c r="LHG107" s="896"/>
      <c r="LHH107" s="897"/>
      <c r="LHI107" s="897"/>
      <c r="LHJ107" s="897"/>
      <c r="LHK107" s="897"/>
      <c r="LHL107" s="897"/>
      <c r="LHM107" s="897"/>
      <c r="LHN107" s="897"/>
      <c r="LHO107" s="897"/>
      <c r="LHP107" s="895"/>
      <c r="LHQ107" s="895"/>
      <c r="LHR107" s="896"/>
      <c r="LHS107" s="897"/>
      <c r="LHT107" s="897"/>
      <c r="LHU107" s="897"/>
      <c r="LHV107" s="897"/>
      <c r="LHW107" s="897"/>
      <c r="LHX107" s="897"/>
      <c r="LHY107" s="897"/>
      <c r="LHZ107" s="897"/>
      <c r="LIA107" s="895"/>
      <c r="LIB107" s="895"/>
      <c r="LIC107" s="896"/>
      <c r="LID107" s="897"/>
      <c r="LIE107" s="897"/>
      <c r="LIF107" s="897"/>
      <c r="LIG107" s="897"/>
      <c r="LIH107" s="897"/>
      <c r="LII107" s="897"/>
      <c r="LIJ107" s="897"/>
      <c r="LIK107" s="897"/>
      <c r="LIL107" s="895"/>
      <c r="LIM107" s="895"/>
      <c r="LIN107" s="896"/>
      <c r="LIO107" s="897"/>
      <c r="LIP107" s="897"/>
      <c r="LIQ107" s="897"/>
      <c r="LIR107" s="897"/>
      <c r="LIS107" s="897"/>
      <c r="LIT107" s="897"/>
      <c r="LIU107" s="897"/>
      <c r="LIV107" s="897"/>
      <c r="LIW107" s="895"/>
      <c r="LIX107" s="895"/>
      <c r="LIY107" s="896"/>
      <c r="LIZ107" s="897"/>
      <c r="LJA107" s="897"/>
      <c r="LJB107" s="897"/>
      <c r="LJC107" s="897"/>
      <c r="LJD107" s="897"/>
      <c r="LJE107" s="897"/>
      <c r="LJF107" s="897"/>
      <c r="LJG107" s="897"/>
      <c r="LJH107" s="895"/>
      <c r="LJI107" s="895"/>
      <c r="LJJ107" s="896"/>
      <c r="LJK107" s="897"/>
      <c r="LJL107" s="897"/>
      <c r="LJM107" s="897"/>
      <c r="LJN107" s="897"/>
      <c r="LJO107" s="897"/>
      <c r="LJP107" s="897"/>
      <c r="LJQ107" s="897"/>
      <c r="LJR107" s="897"/>
      <c r="LJS107" s="895"/>
      <c r="LJT107" s="895"/>
      <c r="LJU107" s="896"/>
      <c r="LJV107" s="897"/>
      <c r="LJW107" s="897"/>
      <c r="LJX107" s="897"/>
      <c r="LJY107" s="897"/>
      <c r="LJZ107" s="897"/>
      <c r="LKA107" s="897"/>
      <c r="LKB107" s="897"/>
      <c r="LKC107" s="897"/>
      <c r="LKD107" s="895"/>
      <c r="LKE107" s="895"/>
      <c r="LKF107" s="896"/>
      <c r="LKG107" s="897"/>
      <c r="LKH107" s="897"/>
      <c r="LKI107" s="897"/>
      <c r="LKJ107" s="897"/>
      <c r="LKK107" s="897"/>
      <c r="LKL107" s="897"/>
      <c r="LKM107" s="897"/>
      <c r="LKN107" s="897"/>
      <c r="LKO107" s="895"/>
      <c r="LKP107" s="895"/>
      <c r="LKQ107" s="896"/>
      <c r="LKR107" s="897"/>
      <c r="LKS107" s="897"/>
      <c r="LKT107" s="897"/>
      <c r="LKU107" s="897"/>
      <c r="LKV107" s="897"/>
      <c r="LKW107" s="897"/>
      <c r="LKX107" s="897"/>
      <c r="LKY107" s="897"/>
      <c r="LKZ107" s="895"/>
      <c r="LLA107" s="895"/>
      <c r="LLB107" s="896"/>
      <c r="LLC107" s="897"/>
      <c r="LLD107" s="897"/>
      <c r="LLE107" s="897"/>
      <c r="LLF107" s="897"/>
      <c r="LLG107" s="897"/>
      <c r="LLH107" s="897"/>
      <c r="LLI107" s="897"/>
      <c r="LLJ107" s="897"/>
      <c r="LLK107" s="895"/>
      <c r="LLL107" s="895"/>
      <c r="LLM107" s="896"/>
      <c r="LLN107" s="897"/>
      <c r="LLO107" s="897"/>
      <c r="LLP107" s="897"/>
      <c r="LLQ107" s="897"/>
      <c r="LLR107" s="897"/>
      <c r="LLS107" s="897"/>
      <c r="LLT107" s="897"/>
      <c r="LLU107" s="897"/>
      <c r="LLV107" s="895"/>
      <c r="LLW107" s="895"/>
      <c r="LLX107" s="896"/>
      <c r="LLY107" s="897"/>
      <c r="LLZ107" s="897"/>
      <c r="LMA107" s="897"/>
      <c r="LMB107" s="897"/>
      <c r="LMC107" s="897"/>
      <c r="LMD107" s="897"/>
      <c r="LME107" s="897"/>
      <c r="LMF107" s="897"/>
      <c r="LMG107" s="895"/>
      <c r="LMH107" s="895"/>
      <c r="LMI107" s="896"/>
      <c r="LMJ107" s="897"/>
      <c r="LMK107" s="897"/>
      <c r="LML107" s="897"/>
      <c r="LMM107" s="897"/>
      <c r="LMN107" s="897"/>
      <c r="LMO107" s="897"/>
      <c r="LMP107" s="897"/>
      <c r="LMQ107" s="897"/>
      <c r="LMR107" s="895"/>
      <c r="LMS107" s="895"/>
      <c r="LMT107" s="896"/>
      <c r="LMU107" s="897"/>
      <c r="LMV107" s="897"/>
      <c r="LMW107" s="897"/>
      <c r="LMX107" s="897"/>
      <c r="LMY107" s="897"/>
      <c r="LMZ107" s="897"/>
      <c r="LNA107" s="897"/>
      <c r="LNB107" s="897"/>
      <c r="LNC107" s="895"/>
      <c r="LND107" s="895"/>
      <c r="LNE107" s="896"/>
      <c r="LNF107" s="897"/>
      <c r="LNG107" s="897"/>
      <c r="LNH107" s="897"/>
      <c r="LNI107" s="897"/>
      <c r="LNJ107" s="897"/>
      <c r="LNK107" s="897"/>
      <c r="LNL107" s="897"/>
      <c r="LNM107" s="897"/>
      <c r="LNN107" s="895"/>
      <c r="LNO107" s="895"/>
      <c r="LNP107" s="896"/>
      <c r="LNQ107" s="897"/>
      <c r="LNR107" s="897"/>
      <c r="LNS107" s="897"/>
      <c r="LNT107" s="897"/>
      <c r="LNU107" s="897"/>
      <c r="LNV107" s="897"/>
      <c r="LNW107" s="897"/>
      <c r="LNX107" s="897"/>
      <c r="LNY107" s="895"/>
      <c r="LNZ107" s="895"/>
      <c r="LOA107" s="896"/>
      <c r="LOB107" s="897"/>
      <c r="LOC107" s="897"/>
      <c r="LOD107" s="897"/>
      <c r="LOE107" s="897"/>
      <c r="LOF107" s="897"/>
      <c r="LOG107" s="897"/>
      <c r="LOH107" s="897"/>
      <c r="LOI107" s="897"/>
      <c r="LOJ107" s="895"/>
      <c r="LOK107" s="895"/>
      <c r="LOL107" s="896"/>
      <c r="LOM107" s="897"/>
      <c r="LON107" s="897"/>
      <c r="LOO107" s="897"/>
      <c r="LOP107" s="897"/>
      <c r="LOQ107" s="897"/>
      <c r="LOR107" s="897"/>
      <c r="LOS107" s="897"/>
      <c r="LOT107" s="897"/>
      <c r="LOU107" s="895"/>
      <c r="LOV107" s="895"/>
      <c r="LOW107" s="896"/>
      <c r="LOX107" s="897"/>
      <c r="LOY107" s="897"/>
      <c r="LOZ107" s="897"/>
      <c r="LPA107" s="897"/>
      <c r="LPB107" s="897"/>
      <c r="LPC107" s="897"/>
      <c r="LPD107" s="897"/>
      <c r="LPE107" s="897"/>
      <c r="LPF107" s="895"/>
      <c r="LPG107" s="895"/>
      <c r="LPH107" s="896"/>
      <c r="LPI107" s="897"/>
      <c r="LPJ107" s="897"/>
      <c r="LPK107" s="897"/>
      <c r="LPL107" s="897"/>
      <c r="LPM107" s="897"/>
      <c r="LPN107" s="897"/>
      <c r="LPO107" s="897"/>
      <c r="LPP107" s="897"/>
      <c r="LPQ107" s="895"/>
      <c r="LPR107" s="895"/>
      <c r="LPS107" s="896"/>
      <c r="LPT107" s="897"/>
      <c r="LPU107" s="897"/>
      <c r="LPV107" s="897"/>
      <c r="LPW107" s="897"/>
      <c r="LPX107" s="897"/>
      <c r="LPY107" s="897"/>
      <c r="LPZ107" s="897"/>
      <c r="LQA107" s="897"/>
      <c r="LQB107" s="895"/>
      <c r="LQC107" s="895"/>
      <c r="LQD107" s="896"/>
      <c r="LQE107" s="897"/>
      <c r="LQF107" s="897"/>
      <c r="LQG107" s="897"/>
      <c r="LQH107" s="897"/>
      <c r="LQI107" s="897"/>
      <c r="LQJ107" s="897"/>
      <c r="LQK107" s="897"/>
      <c r="LQL107" s="897"/>
      <c r="LQM107" s="895"/>
      <c r="LQN107" s="895"/>
      <c r="LQO107" s="896"/>
      <c r="LQP107" s="897"/>
      <c r="LQQ107" s="897"/>
      <c r="LQR107" s="897"/>
      <c r="LQS107" s="897"/>
      <c r="LQT107" s="897"/>
      <c r="LQU107" s="897"/>
      <c r="LQV107" s="897"/>
      <c r="LQW107" s="897"/>
      <c r="LQX107" s="895"/>
      <c r="LQY107" s="895"/>
      <c r="LQZ107" s="896"/>
      <c r="LRA107" s="897"/>
      <c r="LRB107" s="897"/>
      <c r="LRC107" s="897"/>
      <c r="LRD107" s="897"/>
      <c r="LRE107" s="897"/>
      <c r="LRF107" s="897"/>
      <c r="LRG107" s="897"/>
      <c r="LRH107" s="897"/>
      <c r="LRI107" s="895"/>
      <c r="LRJ107" s="895"/>
      <c r="LRK107" s="896"/>
      <c r="LRL107" s="897"/>
      <c r="LRM107" s="897"/>
      <c r="LRN107" s="897"/>
      <c r="LRO107" s="897"/>
      <c r="LRP107" s="897"/>
      <c r="LRQ107" s="897"/>
      <c r="LRR107" s="897"/>
      <c r="LRS107" s="897"/>
      <c r="LRT107" s="895"/>
      <c r="LRU107" s="895"/>
      <c r="LRV107" s="896"/>
      <c r="LRW107" s="897"/>
      <c r="LRX107" s="897"/>
      <c r="LRY107" s="897"/>
      <c r="LRZ107" s="897"/>
      <c r="LSA107" s="897"/>
      <c r="LSB107" s="897"/>
      <c r="LSC107" s="897"/>
      <c r="LSD107" s="897"/>
      <c r="LSE107" s="895"/>
      <c r="LSF107" s="895"/>
      <c r="LSG107" s="896"/>
      <c r="LSH107" s="897"/>
      <c r="LSI107" s="897"/>
      <c r="LSJ107" s="897"/>
      <c r="LSK107" s="897"/>
      <c r="LSL107" s="897"/>
      <c r="LSM107" s="897"/>
      <c r="LSN107" s="897"/>
      <c r="LSO107" s="897"/>
      <c r="LSP107" s="895"/>
      <c r="LSQ107" s="895"/>
      <c r="LSR107" s="896"/>
      <c r="LSS107" s="897"/>
      <c r="LST107" s="897"/>
      <c r="LSU107" s="897"/>
      <c r="LSV107" s="897"/>
      <c r="LSW107" s="897"/>
      <c r="LSX107" s="897"/>
      <c r="LSY107" s="897"/>
      <c r="LSZ107" s="897"/>
      <c r="LTA107" s="895"/>
      <c r="LTB107" s="895"/>
      <c r="LTC107" s="896"/>
      <c r="LTD107" s="897"/>
      <c r="LTE107" s="897"/>
      <c r="LTF107" s="897"/>
      <c r="LTG107" s="897"/>
      <c r="LTH107" s="897"/>
      <c r="LTI107" s="897"/>
      <c r="LTJ107" s="897"/>
      <c r="LTK107" s="897"/>
      <c r="LTL107" s="895"/>
      <c r="LTM107" s="895"/>
      <c r="LTN107" s="896"/>
      <c r="LTO107" s="897"/>
      <c r="LTP107" s="897"/>
      <c r="LTQ107" s="897"/>
      <c r="LTR107" s="897"/>
      <c r="LTS107" s="897"/>
      <c r="LTT107" s="897"/>
      <c r="LTU107" s="897"/>
      <c r="LTV107" s="897"/>
      <c r="LTW107" s="895"/>
      <c r="LTX107" s="895"/>
      <c r="LTY107" s="896"/>
      <c r="LTZ107" s="897"/>
      <c r="LUA107" s="897"/>
      <c r="LUB107" s="897"/>
      <c r="LUC107" s="897"/>
      <c r="LUD107" s="897"/>
      <c r="LUE107" s="897"/>
      <c r="LUF107" s="897"/>
      <c r="LUG107" s="897"/>
      <c r="LUH107" s="895"/>
      <c r="LUI107" s="895"/>
      <c r="LUJ107" s="896"/>
      <c r="LUK107" s="897"/>
      <c r="LUL107" s="897"/>
      <c r="LUM107" s="897"/>
      <c r="LUN107" s="897"/>
      <c r="LUO107" s="897"/>
      <c r="LUP107" s="897"/>
      <c r="LUQ107" s="897"/>
      <c r="LUR107" s="897"/>
      <c r="LUS107" s="895"/>
      <c r="LUT107" s="895"/>
      <c r="LUU107" s="896"/>
      <c r="LUV107" s="897"/>
      <c r="LUW107" s="897"/>
      <c r="LUX107" s="897"/>
      <c r="LUY107" s="897"/>
      <c r="LUZ107" s="897"/>
      <c r="LVA107" s="897"/>
      <c r="LVB107" s="897"/>
      <c r="LVC107" s="897"/>
      <c r="LVD107" s="895"/>
      <c r="LVE107" s="895"/>
      <c r="LVF107" s="896"/>
      <c r="LVG107" s="897"/>
      <c r="LVH107" s="897"/>
      <c r="LVI107" s="897"/>
      <c r="LVJ107" s="897"/>
      <c r="LVK107" s="897"/>
      <c r="LVL107" s="897"/>
      <c r="LVM107" s="897"/>
      <c r="LVN107" s="897"/>
      <c r="LVO107" s="895"/>
      <c r="LVP107" s="895"/>
      <c r="LVQ107" s="896"/>
      <c r="LVR107" s="897"/>
      <c r="LVS107" s="897"/>
      <c r="LVT107" s="897"/>
      <c r="LVU107" s="897"/>
      <c r="LVV107" s="897"/>
      <c r="LVW107" s="897"/>
      <c r="LVX107" s="897"/>
      <c r="LVY107" s="897"/>
      <c r="LVZ107" s="895"/>
      <c r="LWA107" s="895"/>
      <c r="LWB107" s="896"/>
      <c r="LWC107" s="897"/>
      <c r="LWD107" s="897"/>
      <c r="LWE107" s="897"/>
      <c r="LWF107" s="897"/>
      <c r="LWG107" s="897"/>
      <c r="LWH107" s="897"/>
      <c r="LWI107" s="897"/>
      <c r="LWJ107" s="897"/>
      <c r="LWK107" s="895"/>
      <c r="LWL107" s="895"/>
      <c r="LWM107" s="896"/>
      <c r="LWN107" s="897"/>
      <c r="LWO107" s="897"/>
      <c r="LWP107" s="897"/>
      <c r="LWQ107" s="897"/>
      <c r="LWR107" s="897"/>
      <c r="LWS107" s="897"/>
      <c r="LWT107" s="897"/>
      <c r="LWU107" s="897"/>
      <c r="LWV107" s="895"/>
      <c r="LWW107" s="895"/>
      <c r="LWX107" s="896"/>
      <c r="LWY107" s="897"/>
      <c r="LWZ107" s="897"/>
      <c r="LXA107" s="897"/>
      <c r="LXB107" s="897"/>
      <c r="LXC107" s="897"/>
      <c r="LXD107" s="897"/>
      <c r="LXE107" s="897"/>
      <c r="LXF107" s="897"/>
      <c r="LXG107" s="895"/>
      <c r="LXH107" s="895"/>
      <c r="LXI107" s="896"/>
      <c r="LXJ107" s="897"/>
      <c r="LXK107" s="897"/>
      <c r="LXL107" s="897"/>
      <c r="LXM107" s="897"/>
      <c r="LXN107" s="897"/>
      <c r="LXO107" s="897"/>
      <c r="LXP107" s="897"/>
      <c r="LXQ107" s="897"/>
      <c r="LXR107" s="895"/>
      <c r="LXS107" s="895"/>
      <c r="LXT107" s="896"/>
      <c r="LXU107" s="897"/>
      <c r="LXV107" s="897"/>
      <c r="LXW107" s="897"/>
      <c r="LXX107" s="897"/>
      <c r="LXY107" s="897"/>
      <c r="LXZ107" s="897"/>
      <c r="LYA107" s="897"/>
      <c r="LYB107" s="897"/>
      <c r="LYC107" s="895"/>
      <c r="LYD107" s="895"/>
      <c r="LYE107" s="896"/>
      <c r="LYF107" s="897"/>
      <c r="LYG107" s="897"/>
      <c r="LYH107" s="897"/>
      <c r="LYI107" s="897"/>
      <c r="LYJ107" s="897"/>
      <c r="LYK107" s="897"/>
      <c r="LYL107" s="897"/>
      <c r="LYM107" s="897"/>
      <c r="LYN107" s="895"/>
      <c r="LYO107" s="895"/>
      <c r="LYP107" s="896"/>
      <c r="LYQ107" s="897"/>
      <c r="LYR107" s="897"/>
      <c r="LYS107" s="897"/>
      <c r="LYT107" s="897"/>
      <c r="LYU107" s="897"/>
      <c r="LYV107" s="897"/>
      <c r="LYW107" s="897"/>
      <c r="LYX107" s="897"/>
      <c r="LYY107" s="895"/>
      <c r="LYZ107" s="895"/>
      <c r="LZA107" s="896"/>
      <c r="LZB107" s="897"/>
      <c r="LZC107" s="897"/>
      <c r="LZD107" s="897"/>
      <c r="LZE107" s="897"/>
      <c r="LZF107" s="897"/>
      <c r="LZG107" s="897"/>
      <c r="LZH107" s="897"/>
      <c r="LZI107" s="897"/>
      <c r="LZJ107" s="895"/>
      <c r="LZK107" s="895"/>
      <c r="LZL107" s="896"/>
      <c r="LZM107" s="897"/>
      <c r="LZN107" s="897"/>
      <c r="LZO107" s="897"/>
      <c r="LZP107" s="897"/>
      <c r="LZQ107" s="897"/>
      <c r="LZR107" s="897"/>
      <c r="LZS107" s="897"/>
      <c r="LZT107" s="897"/>
      <c r="LZU107" s="895"/>
      <c r="LZV107" s="895"/>
      <c r="LZW107" s="896"/>
      <c r="LZX107" s="897"/>
      <c r="LZY107" s="897"/>
      <c r="LZZ107" s="897"/>
      <c r="MAA107" s="897"/>
      <c r="MAB107" s="897"/>
      <c r="MAC107" s="897"/>
      <c r="MAD107" s="897"/>
      <c r="MAE107" s="897"/>
      <c r="MAF107" s="895"/>
      <c r="MAG107" s="895"/>
      <c r="MAH107" s="896"/>
      <c r="MAI107" s="897"/>
      <c r="MAJ107" s="897"/>
      <c r="MAK107" s="897"/>
      <c r="MAL107" s="897"/>
      <c r="MAM107" s="897"/>
      <c r="MAN107" s="897"/>
      <c r="MAO107" s="897"/>
      <c r="MAP107" s="897"/>
      <c r="MAQ107" s="895"/>
      <c r="MAR107" s="895"/>
      <c r="MAS107" s="896"/>
      <c r="MAT107" s="897"/>
      <c r="MAU107" s="897"/>
      <c r="MAV107" s="897"/>
      <c r="MAW107" s="897"/>
      <c r="MAX107" s="897"/>
      <c r="MAY107" s="897"/>
      <c r="MAZ107" s="897"/>
      <c r="MBA107" s="897"/>
      <c r="MBB107" s="895"/>
      <c r="MBC107" s="895"/>
      <c r="MBD107" s="896"/>
      <c r="MBE107" s="897"/>
      <c r="MBF107" s="897"/>
      <c r="MBG107" s="897"/>
      <c r="MBH107" s="897"/>
      <c r="MBI107" s="897"/>
      <c r="MBJ107" s="897"/>
      <c r="MBK107" s="897"/>
      <c r="MBL107" s="897"/>
      <c r="MBM107" s="895"/>
      <c r="MBN107" s="895"/>
      <c r="MBO107" s="896"/>
      <c r="MBP107" s="897"/>
      <c r="MBQ107" s="897"/>
      <c r="MBR107" s="897"/>
      <c r="MBS107" s="897"/>
      <c r="MBT107" s="897"/>
      <c r="MBU107" s="897"/>
      <c r="MBV107" s="897"/>
      <c r="MBW107" s="897"/>
      <c r="MBX107" s="895"/>
      <c r="MBY107" s="895"/>
      <c r="MBZ107" s="896"/>
      <c r="MCA107" s="897"/>
      <c r="MCB107" s="897"/>
      <c r="MCC107" s="897"/>
      <c r="MCD107" s="897"/>
      <c r="MCE107" s="897"/>
      <c r="MCF107" s="897"/>
      <c r="MCG107" s="897"/>
      <c r="MCH107" s="897"/>
      <c r="MCI107" s="895"/>
      <c r="MCJ107" s="895"/>
      <c r="MCK107" s="896"/>
      <c r="MCL107" s="897"/>
      <c r="MCM107" s="897"/>
      <c r="MCN107" s="897"/>
      <c r="MCO107" s="897"/>
      <c r="MCP107" s="897"/>
      <c r="MCQ107" s="897"/>
      <c r="MCR107" s="897"/>
      <c r="MCS107" s="897"/>
      <c r="MCT107" s="895"/>
      <c r="MCU107" s="895"/>
      <c r="MCV107" s="896"/>
      <c r="MCW107" s="897"/>
      <c r="MCX107" s="897"/>
      <c r="MCY107" s="897"/>
      <c r="MCZ107" s="897"/>
      <c r="MDA107" s="897"/>
      <c r="MDB107" s="897"/>
      <c r="MDC107" s="897"/>
      <c r="MDD107" s="897"/>
      <c r="MDE107" s="895"/>
      <c r="MDF107" s="895"/>
      <c r="MDG107" s="896"/>
      <c r="MDH107" s="897"/>
      <c r="MDI107" s="897"/>
      <c r="MDJ107" s="897"/>
      <c r="MDK107" s="897"/>
      <c r="MDL107" s="897"/>
      <c r="MDM107" s="897"/>
      <c r="MDN107" s="897"/>
      <c r="MDO107" s="897"/>
      <c r="MDP107" s="895"/>
      <c r="MDQ107" s="895"/>
      <c r="MDR107" s="896"/>
      <c r="MDS107" s="897"/>
      <c r="MDT107" s="897"/>
      <c r="MDU107" s="897"/>
      <c r="MDV107" s="897"/>
      <c r="MDW107" s="897"/>
      <c r="MDX107" s="897"/>
      <c r="MDY107" s="897"/>
      <c r="MDZ107" s="897"/>
      <c r="MEA107" s="895"/>
      <c r="MEB107" s="895"/>
      <c r="MEC107" s="896"/>
      <c r="MED107" s="897"/>
      <c r="MEE107" s="897"/>
      <c r="MEF107" s="897"/>
      <c r="MEG107" s="897"/>
      <c r="MEH107" s="897"/>
      <c r="MEI107" s="897"/>
      <c r="MEJ107" s="897"/>
      <c r="MEK107" s="897"/>
      <c r="MEL107" s="895"/>
      <c r="MEM107" s="895"/>
      <c r="MEN107" s="896"/>
      <c r="MEO107" s="897"/>
      <c r="MEP107" s="897"/>
      <c r="MEQ107" s="897"/>
      <c r="MER107" s="897"/>
      <c r="MES107" s="897"/>
      <c r="MET107" s="897"/>
      <c r="MEU107" s="897"/>
      <c r="MEV107" s="897"/>
      <c r="MEW107" s="895"/>
      <c r="MEX107" s="895"/>
      <c r="MEY107" s="896"/>
      <c r="MEZ107" s="897"/>
      <c r="MFA107" s="897"/>
      <c r="MFB107" s="897"/>
      <c r="MFC107" s="897"/>
      <c r="MFD107" s="897"/>
      <c r="MFE107" s="897"/>
      <c r="MFF107" s="897"/>
      <c r="MFG107" s="897"/>
      <c r="MFH107" s="895"/>
      <c r="MFI107" s="895"/>
      <c r="MFJ107" s="896"/>
      <c r="MFK107" s="897"/>
      <c r="MFL107" s="897"/>
      <c r="MFM107" s="897"/>
      <c r="MFN107" s="897"/>
      <c r="MFO107" s="897"/>
      <c r="MFP107" s="897"/>
      <c r="MFQ107" s="897"/>
      <c r="MFR107" s="897"/>
      <c r="MFS107" s="895"/>
      <c r="MFT107" s="895"/>
      <c r="MFU107" s="896"/>
      <c r="MFV107" s="897"/>
      <c r="MFW107" s="897"/>
      <c r="MFX107" s="897"/>
      <c r="MFY107" s="897"/>
      <c r="MFZ107" s="897"/>
      <c r="MGA107" s="897"/>
      <c r="MGB107" s="897"/>
      <c r="MGC107" s="897"/>
      <c r="MGD107" s="895"/>
      <c r="MGE107" s="895"/>
      <c r="MGF107" s="896"/>
      <c r="MGG107" s="897"/>
      <c r="MGH107" s="897"/>
      <c r="MGI107" s="897"/>
      <c r="MGJ107" s="897"/>
      <c r="MGK107" s="897"/>
      <c r="MGL107" s="897"/>
      <c r="MGM107" s="897"/>
      <c r="MGN107" s="897"/>
      <c r="MGO107" s="895"/>
      <c r="MGP107" s="895"/>
      <c r="MGQ107" s="896"/>
      <c r="MGR107" s="897"/>
      <c r="MGS107" s="897"/>
      <c r="MGT107" s="897"/>
      <c r="MGU107" s="897"/>
      <c r="MGV107" s="897"/>
      <c r="MGW107" s="897"/>
      <c r="MGX107" s="897"/>
      <c r="MGY107" s="897"/>
      <c r="MGZ107" s="895"/>
      <c r="MHA107" s="895"/>
      <c r="MHB107" s="896"/>
      <c r="MHC107" s="897"/>
      <c r="MHD107" s="897"/>
      <c r="MHE107" s="897"/>
      <c r="MHF107" s="897"/>
      <c r="MHG107" s="897"/>
      <c r="MHH107" s="897"/>
      <c r="MHI107" s="897"/>
      <c r="MHJ107" s="897"/>
      <c r="MHK107" s="895"/>
      <c r="MHL107" s="895"/>
      <c r="MHM107" s="896"/>
      <c r="MHN107" s="897"/>
      <c r="MHO107" s="897"/>
      <c r="MHP107" s="897"/>
      <c r="MHQ107" s="897"/>
      <c r="MHR107" s="897"/>
      <c r="MHS107" s="897"/>
      <c r="MHT107" s="897"/>
      <c r="MHU107" s="897"/>
      <c r="MHV107" s="895"/>
      <c r="MHW107" s="895"/>
      <c r="MHX107" s="896"/>
      <c r="MHY107" s="897"/>
      <c r="MHZ107" s="897"/>
      <c r="MIA107" s="897"/>
      <c r="MIB107" s="897"/>
      <c r="MIC107" s="897"/>
      <c r="MID107" s="897"/>
      <c r="MIE107" s="897"/>
      <c r="MIF107" s="897"/>
      <c r="MIG107" s="895"/>
      <c r="MIH107" s="895"/>
      <c r="MII107" s="896"/>
      <c r="MIJ107" s="897"/>
      <c r="MIK107" s="897"/>
      <c r="MIL107" s="897"/>
      <c r="MIM107" s="897"/>
      <c r="MIN107" s="897"/>
      <c r="MIO107" s="897"/>
      <c r="MIP107" s="897"/>
      <c r="MIQ107" s="897"/>
      <c r="MIR107" s="895"/>
      <c r="MIS107" s="895"/>
      <c r="MIT107" s="896"/>
      <c r="MIU107" s="897"/>
      <c r="MIV107" s="897"/>
      <c r="MIW107" s="897"/>
      <c r="MIX107" s="897"/>
      <c r="MIY107" s="897"/>
      <c r="MIZ107" s="897"/>
      <c r="MJA107" s="897"/>
      <c r="MJB107" s="897"/>
      <c r="MJC107" s="895"/>
      <c r="MJD107" s="895"/>
      <c r="MJE107" s="896"/>
      <c r="MJF107" s="897"/>
      <c r="MJG107" s="897"/>
      <c r="MJH107" s="897"/>
      <c r="MJI107" s="897"/>
      <c r="MJJ107" s="897"/>
      <c r="MJK107" s="897"/>
      <c r="MJL107" s="897"/>
      <c r="MJM107" s="897"/>
      <c r="MJN107" s="895"/>
      <c r="MJO107" s="895"/>
      <c r="MJP107" s="896"/>
      <c r="MJQ107" s="897"/>
      <c r="MJR107" s="897"/>
      <c r="MJS107" s="897"/>
      <c r="MJT107" s="897"/>
      <c r="MJU107" s="897"/>
      <c r="MJV107" s="897"/>
      <c r="MJW107" s="897"/>
      <c r="MJX107" s="897"/>
      <c r="MJY107" s="895"/>
      <c r="MJZ107" s="895"/>
      <c r="MKA107" s="896"/>
      <c r="MKB107" s="897"/>
      <c r="MKC107" s="897"/>
      <c r="MKD107" s="897"/>
      <c r="MKE107" s="897"/>
      <c r="MKF107" s="897"/>
      <c r="MKG107" s="897"/>
      <c r="MKH107" s="897"/>
      <c r="MKI107" s="897"/>
      <c r="MKJ107" s="895"/>
      <c r="MKK107" s="895"/>
      <c r="MKL107" s="896"/>
      <c r="MKM107" s="897"/>
      <c r="MKN107" s="897"/>
      <c r="MKO107" s="897"/>
      <c r="MKP107" s="897"/>
      <c r="MKQ107" s="897"/>
      <c r="MKR107" s="897"/>
      <c r="MKS107" s="897"/>
      <c r="MKT107" s="897"/>
      <c r="MKU107" s="895"/>
      <c r="MKV107" s="895"/>
      <c r="MKW107" s="896"/>
      <c r="MKX107" s="897"/>
      <c r="MKY107" s="897"/>
      <c r="MKZ107" s="897"/>
      <c r="MLA107" s="897"/>
      <c r="MLB107" s="897"/>
      <c r="MLC107" s="897"/>
      <c r="MLD107" s="897"/>
      <c r="MLE107" s="897"/>
      <c r="MLF107" s="895"/>
      <c r="MLG107" s="895"/>
      <c r="MLH107" s="896"/>
      <c r="MLI107" s="897"/>
      <c r="MLJ107" s="897"/>
      <c r="MLK107" s="897"/>
      <c r="MLL107" s="897"/>
      <c r="MLM107" s="897"/>
      <c r="MLN107" s="897"/>
      <c r="MLO107" s="897"/>
      <c r="MLP107" s="897"/>
      <c r="MLQ107" s="895"/>
      <c r="MLR107" s="895"/>
      <c r="MLS107" s="896"/>
      <c r="MLT107" s="897"/>
      <c r="MLU107" s="897"/>
      <c r="MLV107" s="897"/>
      <c r="MLW107" s="897"/>
      <c r="MLX107" s="897"/>
      <c r="MLY107" s="897"/>
      <c r="MLZ107" s="897"/>
      <c r="MMA107" s="897"/>
      <c r="MMB107" s="895"/>
      <c r="MMC107" s="895"/>
      <c r="MMD107" s="896"/>
      <c r="MME107" s="897"/>
      <c r="MMF107" s="897"/>
      <c r="MMG107" s="897"/>
      <c r="MMH107" s="897"/>
      <c r="MMI107" s="897"/>
      <c r="MMJ107" s="897"/>
      <c r="MMK107" s="897"/>
      <c r="MML107" s="897"/>
      <c r="MMM107" s="895"/>
      <c r="MMN107" s="895"/>
      <c r="MMO107" s="896"/>
      <c r="MMP107" s="897"/>
      <c r="MMQ107" s="897"/>
      <c r="MMR107" s="897"/>
      <c r="MMS107" s="897"/>
      <c r="MMT107" s="897"/>
      <c r="MMU107" s="897"/>
      <c r="MMV107" s="897"/>
      <c r="MMW107" s="897"/>
      <c r="MMX107" s="895"/>
      <c r="MMY107" s="895"/>
      <c r="MMZ107" s="896"/>
      <c r="MNA107" s="897"/>
      <c r="MNB107" s="897"/>
      <c r="MNC107" s="897"/>
      <c r="MND107" s="897"/>
      <c r="MNE107" s="897"/>
      <c r="MNF107" s="897"/>
      <c r="MNG107" s="897"/>
      <c r="MNH107" s="897"/>
      <c r="MNI107" s="895"/>
      <c r="MNJ107" s="895"/>
      <c r="MNK107" s="896"/>
      <c r="MNL107" s="897"/>
      <c r="MNM107" s="897"/>
      <c r="MNN107" s="897"/>
      <c r="MNO107" s="897"/>
      <c r="MNP107" s="897"/>
      <c r="MNQ107" s="897"/>
      <c r="MNR107" s="897"/>
      <c r="MNS107" s="897"/>
      <c r="MNT107" s="895"/>
      <c r="MNU107" s="895"/>
      <c r="MNV107" s="896"/>
      <c r="MNW107" s="897"/>
      <c r="MNX107" s="897"/>
      <c r="MNY107" s="897"/>
      <c r="MNZ107" s="897"/>
      <c r="MOA107" s="897"/>
      <c r="MOB107" s="897"/>
      <c r="MOC107" s="897"/>
      <c r="MOD107" s="897"/>
      <c r="MOE107" s="895"/>
      <c r="MOF107" s="895"/>
      <c r="MOG107" s="896"/>
      <c r="MOH107" s="897"/>
      <c r="MOI107" s="897"/>
      <c r="MOJ107" s="897"/>
      <c r="MOK107" s="897"/>
      <c r="MOL107" s="897"/>
      <c r="MOM107" s="897"/>
      <c r="MON107" s="897"/>
      <c r="MOO107" s="897"/>
      <c r="MOP107" s="895"/>
      <c r="MOQ107" s="895"/>
      <c r="MOR107" s="896"/>
      <c r="MOS107" s="897"/>
      <c r="MOT107" s="897"/>
      <c r="MOU107" s="897"/>
      <c r="MOV107" s="897"/>
      <c r="MOW107" s="897"/>
      <c r="MOX107" s="897"/>
      <c r="MOY107" s="897"/>
      <c r="MOZ107" s="897"/>
      <c r="MPA107" s="895"/>
      <c r="MPB107" s="895"/>
      <c r="MPC107" s="896"/>
      <c r="MPD107" s="897"/>
      <c r="MPE107" s="897"/>
      <c r="MPF107" s="897"/>
      <c r="MPG107" s="897"/>
      <c r="MPH107" s="897"/>
      <c r="MPI107" s="897"/>
      <c r="MPJ107" s="897"/>
      <c r="MPK107" s="897"/>
      <c r="MPL107" s="895"/>
      <c r="MPM107" s="895"/>
      <c r="MPN107" s="896"/>
      <c r="MPO107" s="897"/>
      <c r="MPP107" s="897"/>
      <c r="MPQ107" s="897"/>
      <c r="MPR107" s="897"/>
      <c r="MPS107" s="897"/>
      <c r="MPT107" s="897"/>
      <c r="MPU107" s="897"/>
      <c r="MPV107" s="897"/>
      <c r="MPW107" s="895"/>
      <c r="MPX107" s="895"/>
      <c r="MPY107" s="896"/>
      <c r="MPZ107" s="897"/>
      <c r="MQA107" s="897"/>
      <c r="MQB107" s="897"/>
      <c r="MQC107" s="897"/>
      <c r="MQD107" s="897"/>
      <c r="MQE107" s="897"/>
      <c r="MQF107" s="897"/>
      <c r="MQG107" s="897"/>
      <c r="MQH107" s="895"/>
      <c r="MQI107" s="895"/>
      <c r="MQJ107" s="896"/>
      <c r="MQK107" s="897"/>
      <c r="MQL107" s="897"/>
      <c r="MQM107" s="897"/>
      <c r="MQN107" s="897"/>
      <c r="MQO107" s="897"/>
      <c r="MQP107" s="897"/>
      <c r="MQQ107" s="897"/>
      <c r="MQR107" s="897"/>
      <c r="MQS107" s="895"/>
      <c r="MQT107" s="895"/>
      <c r="MQU107" s="896"/>
      <c r="MQV107" s="897"/>
      <c r="MQW107" s="897"/>
      <c r="MQX107" s="897"/>
      <c r="MQY107" s="897"/>
      <c r="MQZ107" s="897"/>
      <c r="MRA107" s="897"/>
      <c r="MRB107" s="897"/>
      <c r="MRC107" s="897"/>
      <c r="MRD107" s="895"/>
      <c r="MRE107" s="895"/>
      <c r="MRF107" s="896"/>
      <c r="MRG107" s="897"/>
      <c r="MRH107" s="897"/>
      <c r="MRI107" s="897"/>
      <c r="MRJ107" s="897"/>
      <c r="MRK107" s="897"/>
      <c r="MRL107" s="897"/>
      <c r="MRM107" s="897"/>
      <c r="MRN107" s="897"/>
      <c r="MRO107" s="895"/>
      <c r="MRP107" s="895"/>
      <c r="MRQ107" s="896"/>
      <c r="MRR107" s="897"/>
      <c r="MRS107" s="897"/>
      <c r="MRT107" s="897"/>
      <c r="MRU107" s="897"/>
      <c r="MRV107" s="897"/>
      <c r="MRW107" s="897"/>
      <c r="MRX107" s="897"/>
      <c r="MRY107" s="897"/>
      <c r="MRZ107" s="895"/>
      <c r="MSA107" s="895"/>
      <c r="MSB107" s="896"/>
      <c r="MSC107" s="897"/>
      <c r="MSD107" s="897"/>
      <c r="MSE107" s="897"/>
      <c r="MSF107" s="897"/>
      <c r="MSG107" s="897"/>
      <c r="MSH107" s="897"/>
      <c r="MSI107" s="897"/>
      <c r="MSJ107" s="897"/>
      <c r="MSK107" s="895"/>
      <c r="MSL107" s="895"/>
      <c r="MSM107" s="896"/>
      <c r="MSN107" s="897"/>
      <c r="MSO107" s="897"/>
      <c r="MSP107" s="897"/>
      <c r="MSQ107" s="897"/>
      <c r="MSR107" s="897"/>
      <c r="MSS107" s="897"/>
      <c r="MST107" s="897"/>
      <c r="MSU107" s="897"/>
      <c r="MSV107" s="895"/>
      <c r="MSW107" s="895"/>
      <c r="MSX107" s="896"/>
      <c r="MSY107" s="897"/>
      <c r="MSZ107" s="897"/>
      <c r="MTA107" s="897"/>
      <c r="MTB107" s="897"/>
      <c r="MTC107" s="897"/>
      <c r="MTD107" s="897"/>
      <c r="MTE107" s="897"/>
      <c r="MTF107" s="897"/>
      <c r="MTG107" s="895"/>
      <c r="MTH107" s="895"/>
      <c r="MTI107" s="896"/>
      <c r="MTJ107" s="897"/>
      <c r="MTK107" s="897"/>
      <c r="MTL107" s="897"/>
      <c r="MTM107" s="897"/>
      <c r="MTN107" s="897"/>
      <c r="MTO107" s="897"/>
      <c r="MTP107" s="897"/>
      <c r="MTQ107" s="897"/>
      <c r="MTR107" s="895"/>
      <c r="MTS107" s="895"/>
      <c r="MTT107" s="896"/>
      <c r="MTU107" s="897"/>
      <c r="MTV107" s="897"/>
      <c r="MTW107" s="897"/>
      <c r="MTX107" s="897"/>
      <c r="MTY107" s="897"/>
      <c r="MTZ107" s="897"/>
      <c r="MUA107" s="897"/>
      <c r="MUB107" s="897"/>
      <c r="MUC107" s="895"/>
      <c r="MUD107" s="895"/>
      <c r="MUE107" s="896"/>
      <c r="MUF107" s="897"/>
      <c r="MUG107" s="897"/>
      <c r="MUH107" s="897"/>
      <c r="MUI107" s="897"/>
      <c r="MUJ107" s="897"/>
      <c r="MUK107" s="897"/>
      <c r="MUL107" s="897"/>
      <c r="MUM107" s="897"/>
      <c r="MUN107" s="895"/>
      <c r="MUO107" s="895"/>
      <c r="MUP107" s="896"/>
      <c r="MUQ107" s="897"/>
      <c r="MUR107" s="897"/>
      <c r="MUS107" s="897"/>
      <c r="MUT107" s="897"/>
      <c r="MUU107" s="897"/>
      <c r="MUV107" s="897"/>
      <c r="MUW107" s="897"/>
      <c r="MUX107" s="897"/>
      <c r="MUY107" s="895"/>
      <c r="MUZ107" s="895"/>
      <c r="MVA107" s="896"/>
      <c r="MVB107" s="897"/>
      <c r="MVC107" s="897"/>
      <c r="MVD107" s="897"/>
      <c r="MVE107" s="897"/>
      <c r="MVF107" s="897"/>
      <c r="MVG107" s="897"/>
      <c r="MVH107" s="897"/>
      <c r="MVI107" s="897"/>
      <c r="MVJ107" s="895"/>
      <c r="MVK107" s="895"/>
      <c r="MVL107" s="896"/>
      <c r="MVM107" s="897"/>
      <c r="MVN107" s="897"/>
      <c r="MVO107" s="897"/>
      <c r="MVP107" s="897"/>
      <c r="MVQ107" s="897"/>
      <c r="MVR107" s="897"/>
      <c r="MVS107" s="897"/>
      <c r="MVT107" s="897"/>
      <c r="MVU107" s="895"/>
      <c r="MVV107" s="895"/>
      <c r="MVW107" s="896"/>
      <c r="MVX107" s="897"/>
      <c r="MVY107" s="897"/>
      <c r="MVZ107" s="897"/>
      <c r="MWA107" s="897"/>
      <c r="MWB107" s="897"/>
      <c r="MWC107" s="897"/>
      <c r="MWD107" s="897"/>
      <c r="MWE107" s="897"/>
      <c r="MWF107" s="895"/>
      <c r="MWG107" s="895"/>
      <c r="MWH107" s="896"/>
      <c r="MWI107" s="897"/>
      <c r="MWJ107" s="897"/>
      <c r="MWK107" s="897"/>
      <c r="MWL107" s="897"/>
      <c r="MWM107" s="897"/>
      <c r="MWN107" s="897"/>
      <c r="MWO107" s="897"/>
      <c r="MWP107" s="897"/>
      <c r="MWQ107" s="895"/>
      <c r="MWR107" s="895"/>
      <c r="MWS107" s="896"/>
      <c r="MWT107" s="897"/>
      <c r="MWU107" s="897"/>
      <c r="MWV107" s="897"/>
      <c r="MWW107" s="897"/>
      <c r="MWX107" s="897"/>
      <c r="MWY107" s="897"/>
      <c r="MWZ107" s="897"/>
      <c r="MXA107" s="897"/>
      <c r="MXB107" s="895"/>
      <c r="MXC107" s="895"/>
      <c r="MXD107" s="896"/>
      <c r="MXE107" s="897"/>
      <c r="MXF107" s="897"/>
      <c r="MXG107" s="897"/>
      <c r="MXH107" s="897"/>
      <c r="MXI107" s="897"/>
      <c r="MXJ107" s="897"/>
      <c r="MXK107" s="897"/>
      <c r="MXL107" s="897"/>
      <c r="MXM107" s="895"/>
      <c r="MXN107" s="895"/>
      <c r="MXO107" s="896"/>
      <c r="MXP107" s="897"/>
      <c r="MXQ107" s="897"/>
      <c r="MXR107" s="897"/>
      <c r="MXS107" s="897"/>
      <c r="MXT107" s="897"/>
      <c r="MXU107" s="897"/>
      <c r="MXV107" s="897"/>
      <c r="MXW107" s="897"/>
      <c r="MXX107" s="895"/>
      <c r="MXY107" s="895"/>
      <c r="MXZ107" s="896"/>
      <c r="MYA107" s="897"/>
      <c r="MYB107" s="897"/>
      <c r="MYC107" s="897"/>
      <c r="MYD107" s="897"/>
      <c r="MYE107" s="897"/>
      <c r="MYF107" s="897"/>
      <c r="MYG107" s="897"/>
      <c r="MYH107" s="897"/>
      <c r="MYI107" s="895"/>
      <c r="MYJ107" s="895"/>
      <c r="MYK107" s="896"/>
      <c r="MYL107" s="897"/>
      <c r="MYM107" s="897"/>
      <c r="MYN107" s="897"/>
      <c r="MYO107" s="897"/>
      <c r="MYP107" s="897"/>
      <c r="MYQ107" s="897"/>
      <c r="MYR107" s="897"/>
      <c r="MYS107" s="897"/>
      <c r="MYT107" s="895"/>
      <c r="MYU107" s="895"/>
      <c r="MYV107" s="896"/>
      <c r="MYW107" s="897"/>
      <c r="MYX107" s="897"/>
      <c r="MYY107" s="897"/>
      <c r="MYZ107" s="897"/>
      <c r="MZA107" s="897"/>
      <c r="MZB107" s="897"/>
      <c r="MZC107" s="897"/>
      <c r="MZD107" s="897"/>
      <c r="MZE107" s="895"/>
      <c r="MZF107" s="895"/>
      <c r="MZG107" s="896"/>
      <c r="MZH107" s="897"/>
      <c r="MZI107" s="897"/>
      <c r="MZJ107" s="897"/>
      <c r="MZK107" s="897"/>
      <c r="MZL107" s="897"/>
      <c r="MZM107" s="897"/>
      <c r="MZN107" s="897"/>
      <c r="MZO107" s="897"/>
      <c r="MZP107" s="895"/>
      <c r="MZQ107" s="895"/>
      <c r="MZR107" s="896"/>
      <c r="MZS107" s="897"/>
      <c r="MZT107" s="897"/>
      <c r="MZU107" s="897"/>
      <c r="MZV107" s="897"/>
      <c r="MZW107" s="897"/>
      <c r="MZX107" s="897"/>
      <c r="MZY107" s="897"/>
      <c r="MZZ107" s="897"/>
      <c r="NAA107" s="895"/>
      <c r="NAB107" s="895"/>
      <c r="NAC107" s="896"/>
      <c r="NAD107" s="897"/>
      <c r="NAE107" s="897"/>
      <c r="NAF107" s="897"/>
      <c r="NAG107" s="897"/>
      <c r="NAH107" s="897"/>
      <c r="NAI107" s="897"/>
      <c r="NAJ107" s="897"/>
      <c r="NAK107" s="897"/>
      <c r="NAL107" s="895"/>
      <c r="NAM107" s="895"/>
      <c r="NAN107" s="896"/>
      <c r="NAO107" s="897"/>
      <c r="NAP107" s="897"/>
      <c r="NAQ107" s="897"/>
      <c r="NAR107" s="897"/>
      <c r="NAS107" s="897"/>
      <c r="NAT107" s="897"/>
      <c r="NAU107" s="897"/>
      <c r="NAV107" s="897"/>
      <c r="NAW107" s="895"/>
      <c r="NAX107" s="895"/>
      <c r="NAY107" s="896"/>
      <c r="NAZ107" s="897"/>
      <c r="NBA107" s="897"/>
      <c r="NBB107" s="897"/>
      <c r="NBC107" s="897"/>
      <c r="NBD107" s="897"/>
      <c r="NBE107" s="897"/>
      <c r="NBF107" s="897"/>
      <c r="NBG107" s="897"/>
      <c r="NBH107" s="895"/>
      <c r="NBI107" s="895"/>
      <c r="NBJ107" s="896"/>
      <c r="NBK107" s="897"/>
      <c r="NBL107" s="897"/>
      <c r="NBM107" s="897"/>
      <c r="NBN107" s="897"/>
      <c r="NBO107" s="897"/>
      <c r="NBP107" s="897"/>
      <c r="NBQ107" s="897"/>
      <c r="NBR107" s="897"/>
      <c r="NBS107" s="895"/>
      <c r="NBT107" s="895"/>
      <c r="NBU107" s="896"/>
      <c r="NBV107" s="897"/>
      <c r="NBW107" s="897"/>
      <c r="NBX107" s="897"/>
      <c r="NBY107" s="897"/>
      <c r="NBZ107" s="897"/>
      <c r="NCA107" s="897"/>
      <c r="NCB107" s="897"/>
      <c r="NCC107" s="897"/>
      <c r="NCD107" s="895"/>
      <c r="NCE107" s="895"/>
      <c r="NCF107" s="896"/>
      <c r="NCG107" s="897"/>
      <c r="NCH107" s="897"/>
      <c r="NCI107" s="897"/>
      <c r="NCJ107" s="897"/>
      <c r="NCK107" s="897"/>
      <c r="NCL107" s="897"/>
      <c r="NCM107" s="897"/>
      <c r="NCN107" s="897"/>
      <c r="NCO107" s="895"/>
      <c r="NCP107" s="895"/>
      <c r="NCQ107" s="896"/>
      <c r="NCR107" s="897"/>
      <c r="NCS107" s="897"/>
      <c r="NCT107" s="897"/>
      <c r="NCU107" s="897"/>
      <c r="NCV107" s="897"/>
      <c r="NCW107" s="897"/>
      <c r="NCX107" s="897"/>
      <c r="NCY107" s="897"/>
      <c r="NCZ107" s="895"/>
      <c r="NDA107" s="895"/>
      <c r="NDB107" s="896"/>
      <c r="NDC107" s="897"/>
      <c r="NDD107" s="897"/>
      <c r="NDE107" s="897"/>
      <c r="NDF107" s="897"/>
      <c r="NDG107" s="897"/>
      <c r="NDH107" s="897"/>
      <c r="NDI107" s="897"/>
      <c r="NDJ107" s="897"/>
      <c r="NDK107" s="895"/>
      <c r="NDL107" s="895"/>
      <c r="NDM107" s="896"/>
      <c r="NDN107" s="897"/>
      <c r="NDO107" s="897"/>
      <c r="NDP107" s="897"/>
      <c r="NDQ107" s="897"/>
      <c r="NDR107" s="897"/>
      <c r="NDS107" s="897"/>
      <c r="NDT107" s="897"/>
      <c r="NDU107" s="897"/>
      <c r="NDV107" s="895"/>
      <c r="NDW107" s="895"/>
      <c r="NDX107" s="896"/>
      <c r="NDY107" s="897"/>
      <c r="NDZ107" s="897"/>
      <c r="NEA107" s="897"/>
      <c r="NEB107" s="897"/>
      <c r="NEC107" s="897"/>
      <c r="NED107" s="897"/>
      <c r="NEE107" s="897"/>
      <c r="NEF107" s="897"/>
      <c r="NEG107" s="895"/>
      <c r="NEH107" s="895"/>
      <c r="NEI107" s="896"/>
      <c r="NEJ107" s="897"/>
      <c r="NEK107" s="897"/>
      <c r="NEL107" s="897"/>
      <c r="NEM107" s="897"/>
      <c r="NEN107" s="897"/>
      <c r="NEO107" s="897"/>
      <c r="NEP107" s="897"/>
      <c r="NEQ107" s="897"/>
      <c r="NER107" s="895"/>
      <c r="NES107" s="895"/>
      <c r="NET107" s="896"/>
      <c r="NEU107" s="897"/>
      <c r="NEV107" s="897"/>
      <c r="NEW107" s="897"/>
      <c r="NEX107" s="897"/>
      <c r="NEY107" s="897"/>
      <c r="NEZ107" s="897"/>
      <c r="NFA107" s="897"/>
      <c r="NFB107" s="897"/>
      <c r="NFC107" s="895"/>
      <c r="NFD107" s="895"/>
      <c r="NFE107" s="896"/>
      <c r="NFF107" s="897"/>
      <c r="NFG107" s="897"/>
      <c r="NFH107" s="897"/>
      <c r="NFI107" s="897"/>
      <c r="NFJ107" s="897"/>
      <c r="NFK107" s="897"/>
      <c r="NFL107" s="897"/>
      <c r="NFM107" s="897"/>
      <c r="NFN107" s="895"/>
      <c r="NFO107" s="895"/>
      <c r="NFP107" s="896"/>
      <c r="NFQ107" s="897"/>
      <c r="NFR107" s="897"/>
      <c r="NFS107" s="897"/>
      <c r="NFT107" s="897"/>
      <c r="NFU107" s="897"/>
      <c r="NFV107" s="897"/>
      <c r="NFW107" s="897"/>
      <c r="NFX107" s="897"/>
      <c r="NFY107" s="895"/>
      <c r="NFZ107" s="895"/>
      <c r="NGA107" s="896"/>
      <c r="NGB107" s="897"/>
      <c r="NGC107" s="897"/>
      <c r="NGD107" s="897"/>
      <c r="NGE107" s="897"/>
      <c r="NGF107" s="897"/>
      <c r="NGG107" s="897"/>
      <c r="NGH107" s="897"/>
      <c r="NGI107" s="897"/>
      <c r="NGJ107" s="895"/>
      <c r="NGK107" s="895"/>
      <c r="NGL107" s="896"/>
      <c r="NGM107" s="897"/>
      <c r="NGN107" s="897"/>
      <c r="NGO107" s="897"/>
      <c r="NGP107" s="897"/>
      <c r="NGQ107" s="897"/>
      <c r="NGR107" s="897"/>
      <c r="NGS107" s="897"/>
      <c r="NGT107" s="897"/>
      <c r="NGU107" s="895"/>
      <c r="NGV107" s="895"/>
      <c r="NGW107" s="896"/>
      <c r="NGX107" s="897"/>
      <c r="NGY107" s="897"/>
      <c r="NGZ107" s="897"/>
      <c r="NHA107" s="897"/>
      <c r="NHB107" s="897"/>
      <c r="NHC107" s="897"/>
      <c r="NHD107" s="897"/>
      <c r="NHE107" s="897"/>
      <c r="NHF107" s="895"/>
      <c r="NHG107" s="895"/>
      <c r="NHH107" s="896"/>
      <c r="NHI107" s="897"/>
      <c r="NHJ107" s="897"/>
      <c r="NHK107" s="897"/>
      <c r="NHL107" s="897"/>
      <c r="NHM107" s="897"/>
      <c r="NHN107" s="897"/>
      <c r="NHO107" s="897"/>
      <c r="NHP107" s="897"/>
      <c r="NHQ107" s="895"/>
      <c r="NHR107" s="895"/>
      <c r="NHS107" s="896"/>
      <c r="NHT107" s="897"/>
      <c r="NHU107" s="897"/>
      <c r="NHV107" s="897"/>
      <c r="NHW107" s="897"/>
      <c r="NHX107" s="897"/>
      <c r="NHY107" s="897"/>
      <c r="NHZ107" s="897"/>
      <c r="NIA107" s="897"/>
      <c r="NIB107" s="895"/>
      <c r="NIC107" s="895"/>
      <c r="NID107" s="896"/>
      <c r="NIE107" s="897"/>
      <c r="NIF107" s="897"/>
      <c r="NIG107" s="897"/>
      <c r="NIH107" s="897"/>
      <c r="NII107" s="897"/>
      <c r="NIJ107" s="897"/>
      <c r="NIK107" s="897"/>
      <c r="NIL107" s="897"/>
      <c r="NIM107" s="895"/>
      <c r="NIN107" s="895"/>
      <c r="NIO107" s="896"/>
      <c r="NIP107" s="897"/>
      <c r="NIQ107" s="897"/>
      <c r="NIR107" s="897"/>
      <c r="NIS107" s="897"/>
      <c r="NIT107" s="897"/>
      <c r="NIU107" s="897"/>
      <c r="NIV107" s="897"/>
      <c r="NIW107" s="897"/>
      <c r="NIX107" s="895"/>
      <c r="NIY107" s="895"/>
      <c r="NIZ107" s="896"/>
      <c r="NJA107" s="897"/>
      <c r="NJB107" s="897"/>
      <c r="NJC107" s="897"/>
      <c r="NJD107" s="897"/>
      <c r="NJE107" s="897"/>
      <c r="NJF107" s="897"/>
      <c r="NJG107" s="897"/>
      <c r="NJH107" s="897"/>
      <c r="NJI107" s="895"/>
      <c r="NJJ107" s="895"/>
      <c r="NJK107" s="896"/>
      <c r="NJL107" s="897"/>
      <c r="NJM107" s="897"/>
      <c r="NJN107" s="897"/>
      <c r="NJO107" s="897"/>
      <c r="NJP107" s="897"/>
      <c r="NJQ107" s="897"/>
      <c r="NJR107" s="897"/>
      <c r="NJS107" s="897"/>
      <c r="NJT107" s="895"/>
      <c r="NJU107" s="895"/>
      <c r="NJV107" s="896"/>
      <c r="NJW107" s="897"/>
      <c r="NJX107" s="897"/>
      <c r="NJY107" s="897"/>
      <c r="NJZ107" s="897"/>
      <c r="NKA107" s="897"/>
      <c r="NKB107" s="897"/>
      <c r="NKC107" s="897"/>
      <c r="NKD107" s="897"/>
      <c r="NKE107" s="895"/>
      <c r="NKF107" s="895"/>
      <c r="NKG107" s="896"/>
      <c r="NKH107" s="897"/>
      <c r="NKI107" s="897"/>
      <c r="NKJ107" s="897"/>
      <c r="NKK107" s="897"/>
      <c r="NKL107" s="897"/>
      <c r="NKM107" s="897"/>
      <c r="NKN107" s="897"/>
      <c r="NKO107" s="897"/>
      <c r="NKP107" s="895"/>
      <c r="NKQ107" s="895"/>
      <c r="NKR107" s="896"/>
      <c r="NKS107" s="897"/>
      <c r="NKT107" s="897"/>
      <c r="NKU107" s="897"/>
      <c r="NKV107" s="897"/>
      <c r="NKW107" s="897"/>
      <c r="NKX107" s="897"/>
      <c r="NKY107" s="897"/>
      <c r="NKZ107" s="897"/>
      <c r="NLA107" s="895"/>
      <c r="NLB107" s="895"/>
      <c r="NLC107" s="896"/>
      <c r="NLD107" s="897"/>
      <c r="NLE107" s="897"/>
      <c r="NLF107" s="897"/>
      <c r="NLG107" s="897"/>
      <c r="NLH107" s="897"/>
      <c r="NLI107" s="897"/>
      <c r="NLJ107" s="897"/>
      <c r="NLK107" s="897"/>
      <c r="NLL107" s="895"/>
      <c r="NLM107" s="895"/>
      <c r="NLN107" s="896"/>
      <c r="NLO107" s="897"/>
      <c r="NLP107" s="897"/>
      <c r="NLQ107" s="897"/>
      <c r="NLR107" s="897"/>
      <c r="NLS107" s="897"/>
      <c r="NLT107" s="897"/>
      <c r="NLU107" s="897"/>
      <c r="NLV107" s="897"/>
      <c r="NLW107" s="895"/>
      <c r="NLX107" s="895"/>
      <c r="NLY107" s="896"/>
      <c r="NLZ107" s="897"/>
      <c r="NMA107" s="897"/>
      <c r="NMB107" s="897"/>
      <c r="NMC107" s="897"/>
      <c r="NMD107" s="897"/>
      <c r="NME107" s="897"/>
      <c r="NMF107" s="897"/>
      <c r="NMG107" s="897"/>
      <c r="NMH107" s="895"/>
      <c r="NMI107" s="895"/>
      <c r="NMJ107" s="896"/>
      <c r="NMK107" s="897"/>
      <c r="NML107" s="897"/>
      <c r="NMM107" s="897"/>
      <c r="NMN107" s="897"/>
      <c r="NMO107" s="897"/>
      <c r="NMP107" s="897"/>
      <c r="NMQ107" s="897"/>
      <c r="NMR107" s="897"/>
      <c r="NMS107" s="895"/>
      <c r="NMT107" s="895"/>
      <c r="NMU107" s="896"/>
      <c r="NMV107" s="897"/>
      <c r="NMW107" s="897"/>
      <c r="NMX107" s="897"/>
      <c r="NMY107" s="897"/>
      <c r="NMZ107" s="897"/>
      <c r="NNA107" s="897"/>
      <c r="NNB107" s="897"/>
      <c r="NNC107" s="897"/>
      <c r="NND107" s="895"/>
      <c r="NNE107" s="895"/>
      <c r="NNF107" s="896"/>
      <c r="NNG107" s="897"/>
      <c r="NNH107" s="897"/>
      <c r="NNI107" s="897"/>
      <c r="NNJ107" s="897"/>
      <c r="NNK107" s="897"/>
      <c r="NNL107" s="897"/>
      <c r="NNM107" s="897"/>
      <c r="NNN107" s="897"/>
      <c r="NNO107" s="895"/>
      <c r="NNP107" s="895"/>
      <c r="NNQ107" s="896"/>
      <c r="NNR107" s="897"/>
      <c r="NNS107" s="897"/>
      <c r="NNT107" s="897"/>
      <c r="NNU107" s="897"/>
      <c r="NNV107" s="897"/>
      <c r="NNW107" s="897"/>
      <c r="NNX107" s="897"/>
      <c r="NNY107" s="897"/>
      <c r="NNZ107" s="895"/>
      <c r="NOA107" s="895"/>
      <c r="NOB107" s="896"/>
      <c r="NOC107" s="897"/>
      <c r="NOD107" s="897"/>
      <c r="NOE107" s="897"/>
      <c r="NOF107" s="897"/>
      <c r="NOG107" s="897"/>
      <c r="NOH107" s="897"/>
      <c r="NOI107" s="897"/>
      <c r="NOJ107" s="897"/>
      <c r="NOK107" s="895"/>
      <c r="NOL107" s="895"/>
      <c r="NOM107" s="896"/>
      <c r="NON107" s="897"/>
      <c r="NOO107" s="897"/>
      <c r="NOP107" s="897"/>
      <c r="NOQ107" s="897"/>
      <c r="NOR107" s="897"/>
      <c r="NOS107" s="897"/>
      <c r="NOT107" s="897"/>
      <c r="NOU107" s="897"/>
      <c r="NOV107" s="895"/>
      <c r="NOW107" s="895"/>
      <c r="NOX107" s="896"/>
      <c r="NOY107" s="897"/>
      <c r="NOZ107" s="897"/>
      <c r="NPA107" s="897"/>
      <c r="NPB107" s="897"/>
      <c r="NPC107" s="897"/>
      <c r="NPD107" s="897"/>
      <c r="NPE107" s="897"/>
      <c r="NPF107" s="897"/>
      <c r="NPG107" s="895"/>
      <c r="NPH107" s="895"/>
      <c r="NPI107" s="896"/>
      <c r="NPJ107" s="897"/>
      <c r="NPK107" s="897"/>
      <c r="NPL107" s="897"/>
      <c r="NPM107" s="897"/>
      <c r="NPN107" s="897"/>
      <c r="NPO107" s="897"/>
      <c r="NPP107" s="897"/>
      <c r="NPQ107" s="897"/>
      <c r="NPR107" s="895"/>
      <c r="NPS107" s="895"/>
      <c r="NPT107" s="896"/>
      <c r="NPU107" s="897"/>
      <c r="NPV107" s="897"/>
      <c r="NPW107" s="897"/>
      <c r="NPX107" s="897"/>
      <c r="NPY107" s="897"/>
      <c r="NPZ107" s="897"/>
      <c r="NQA107" s="897"/>
      <c r="NQB107" s="897"/>
      <c r="NQC107" s="895"/>
      <c r="NQD107" s="895"/>
      <c r="NQE107" s="896"/>
      <c r="NQF107" s="897"/>
      <c r="NQG107" s="897"/>
      <c r="NQH107" s="897"/>
      <c r="NQI107" s="897"/>
      <c r="NQJ107" s="897"/>
      <c r="NQK107" s="897"/>
      <c r="NQL107" s="897"/>
      <c r="NQM107" s="897"/>
      <c r="NQN107" s="895"/>
      <c r="NQO107" s="895"/>
      <c r="NQP107" s="896"/>
      <c r="NQQ107" s="897"/>
      <c r="NQR107" s="897"/>
      <c r="NQS107" s="897"/>
      <c r="NQT107" s="897"/>
      <c r="NQU107" s="897"/>
      <c r="NQV107" s="897"/>
      <c r="NQW107" s="897"/>
      <c r="NQX107" s="897"/>
      <c r="NQY107" s="895"/>
      <c r="NQZ107" s="895"/>
      <c r="NRA107" s="896"/>
      <c r="NRB107" s="897"/>
      <c r="NRC107" s="897"/>
      <c r="NRD107" s="897"/>
      <c r="NRE107" s="897"/>
      <c r="NRF107" s="897"/>
      <c r="NRG107" s="897"/>
      <c r="NRH107" s="897"/>
      <c r="NRI107" s="897"/>
      <c r="NRJ107" s="895"/>
      <c r="NRK107" s="895"/>
      <c r="NRL107" s="896"/>
      <c r="NRM107" s="897"/>
      <c r="NRN107" s="897"/>
      <c r="NRO107" s="897"/>
      <c r="NRP107" s="897"/>
      <c r="NRQ107" s="897"/>
      <c r="NRR107" s="897"/>
      <c r="NRS107" s="897"/>
      <c r="NRT107" s="897"/>
      <c r="NRU107" s="895"/>
      <c r="NRV107" s="895"/>
      <c r="NRW107" s="896"/>
      <c r="NRX107" s="897"/>
      <c r="NRY107" s="897"/>
      <c r="NRZ107" s="897"/>
      <c r="NSA107" s="897"/>
      <c r="NSB107" s="897"/>
      <c r="NSC107" s="897"/>
      <c r="NSD107" s="897"/>
      <c r="NSE107" s="897"/>
      <c r="NSF107" s="895"/>
      <c r="NSG107" s="895"/>
      <c r="NSH107" s="896"/>
      <c r="NSI107" s="897"/>
      <c r="NSJ107" s="897"/>
      <c r="NSK107" s="897"/>
      <c r="NSL107" s="897"/>
      <c r="NSM107" s="897"/>
      <c r="NSN107" s="897"/>
      <c r="NSO107" s="897"/>
      <c r="NSP107" s="897"/>
      <c r="NSQ107" s="895"/>
      <c r="NSR107" s="895"/>
      <c r="NSS107" s="896"/>
      <c r="NST107" s="897"/>
      <c r="NSU107" s="897"/>
      <c r="NSV107" s="897"/>
      <c r="NSW107" s="897"/>
      <c r="NSX107" s="897"/>
      <c r="NSY107" s="897"/>
      <c r="NSZ107" s="897"/>
      <c r="NTA107" s="897"/>
      <c r="NTB107" s="895"/>
      <c r="NTC107" s="895"/>
      <c r="NTD107" s="896"/>
      <c r="NTE107" s="897"/>
      <c r="NTF107" s="897"/>
      <c r="NTG107" s="897"/>
      <c r="NTH107" s="897"/>
      <c r="NTI107" s="897"/>
      <c r="NTJ107" s="897"/>
      <c r="NTK107" s="897"/>
      <c r="NTL107" s="897"/>
      <c r="NTM107" s="895"/>
      <c r="NTN107" s="895"/>
      <c r="NTO107" s="896"/>
      <c r="NTP107" s="897"/>
      <c r="NTQ107" s="897"/>
      <c r="NTR107" s="897"/>
      <c r="NTS107" s="897"/>
      <c r="NTT107" s="897"/>
      <c r="NTU107" s="897"/>
      <c r="NTV107" s="897"/>
      <c r="NTW107" s="897"/>
      <c r="NTX107" s="895"/>
      <c r="NTY107" s="895"/>
      <c r="NTZ107" s="896"/>
      <c r="NUA107" s="897"/>
      <c r="NUB107" s="897"/>
      <c r="NUC107" s="897"/>
      <c r="NUD107" s="897"/>
      <c r="NUE107" s="897"/>
      <c r="NUF107" s="897"/>
      <c r="NUG107" s="897"/>
      <c r="NUH107" s="897"/>
      <c r="NUI107" s="895"/>
      <c r="NUJ107" s="895"/>
      <c r="NUK107" s="896"/>
      <c r="NUL107" s="897"/>
      <c r="NUM107" s="897"/>
      <c r="NUN107" s="897"/>
      <c r="NUO107" s="897"/>
      <c r="NUP107" s="897"/>
      <c r="NUQ107" s="897"/>
      <c r="NUR107" s="897"/>
      <c r="NUS107" s="897"/>
      <c r="NUT107" s="895"/>
      <c r="NUU107" s="895"/>
      <c r="NUV107" s="896"/>
      <c r="NUW107" s="897"/>
      <c r="NUX107" s="897"/>
      <c r="NUY107" s="897"/>
      <c r="NUZ107" s="897"/>
      <c r="NVA107" s="897"/>
      <c r="NVB107" s="897"/>
      <c r="NVC107" s="897"/>
      <c r="NVD107" s="897"/>
      <c r="NVE107" s="895"/>
      <c r="NVF107" s="895"/>
      <c r="NVG107" s="896"/>
      <c r="NVH107" s="897"/>
      <c r="NVI107" s="897"/>
      <c r="NVJ107" s="897"/>
      <c r="NVK107" s="897"/>
      <c r="NVL107" s="897"/>
      <c r="NVM107" s="897"/>
      <c r="NVN107" s="897"/>
      <c r="NVO107" s="897"/>
      <c r="NVP107" s="895"/>
      <c r="NVQ107" s="895"/>
      <c r="NVR107" s="896"/>
      <c r="NVS107" s="897"/>
      <c r="NVT107" s="897"/>
      <c r="NVU107" s="897"/>
      <c r="NVV107" s="897"/>
      <c r="NVW107" s="897"/>
      <c r="NVX107" s="897"/>
      <c r="NVY107" s="897"/>
      <c r="NVZ107" s="897"/>
      <c r="NWA107" s="895"/>
      <c r="NWB107" s="895"/>
      <c r="NWC107" s="896"/>
      <c r="NWD107" s="897"/>
      <c r="NWE107" s="897"/>
      <c r="NWF107" s="897"/>
      <c r="NWG107" s="897"/>
      <c r="NWH107" s="897"/>
      <c r="NWI107" s="897"/>
      <c r="NWJ107" s="897"/>
      <c r="NWK107" s="897"/>
      <c r="NWL107" s="895"/>
      <c r="NWM107" s="895"/>
      <c r="NWN107" s="896"/>
      <c r="NWO107" s="897"/>
      <c r="NWP107" s="897"/>
      <c r="NWQ107" s="897"/>
      <c r="NWR107" s="897"/>
      <c r="NWS107" s="897"/>
      <c r="NWT107" s="897"/>
      <c r="NWU107" s="897"/>
      <c r="NWV107" s="897"/>
      <c r="NWW107" s="895"/>
      <c r="NWX107" s="895"/>
      <c r="NWY107" s="896"/>
      <c r="NWZ107" s="897"/>
      <c r="NXA107" s="897"/>
      <c r="NXB107" s="897"/>
      <c r="NXC107" s="897"/>
      <c r="NXD107" s="897"/>
      <c r="NXE107" s="897"/>
      <c r="NXF107" s="897"/>
      <c r="NXG107" s="897"/>
      <c r="NXH107" s="895"/>
      <c r="NXI107" s="895"/>
      <c r="NXJ107" s="896"/>
      <c r="NXK107" s="897"/>
      <c r="NXL107" s="897"/>
      <c r="NXM107" s="897"/>
      <c r="NXN107" s="897"/>
      <c r="NXO107" s="897"/>
      <c r="NXP107" s="897"/>
      <c r="NXQ107" s="897"/>
      <c r="NXR107" s="897"/>
      <c r="NXS107" s="895"/>
      <c r="NXT107" s="895"/>
      <c r="NXU107" s="896"/>
      <c r="NXV107" s="897"/>
      <c r="NXW107" s="897"/>
      <c r="NXX107" s="897"/>
      <c r="NXY107" s="897"/>
      <c r="NXZ107" s="897"/>
      <c r="NYA107" s="897"/>
      <c r="NYB107" s="897"/>
      <c r="NYC107" s="897"/>
      <c r="NYD107" s="895"/>
      <c r="NYE107" s="895"/>
      <c r="NYF107" s="896"/>
      <c r="NYG107" s="897"/>
      <c r="NYH107" s="897"/>
      <c r="NYI107" s="897"/>
      <c r="NYJ107" s="897"/>
      <c r="NYK107" s="897"/>
      <c r="NYL107" s="897"/>
      <c r="NYM107" s="897"/>
      <c r="NYN107" s="897"/>
      <c r="NYO107" s="895"/>
      <c r="NYP107" s="895"/>
      <c r="NYQ107" s="896"/>
      <c r="NYR107" s="897"/>
      <c r="NYS107" s="897"/>
      <c r="NYT107" s="897"/>
      <c r="NYU107" s="897"/>
      <c r="NYV107" s="897"/>
      <c r="NYW107" s="897"/>
      <c r="NYX107" s="897"/>
      <c r="NYY107" s="897"/>
      <c r="NYZ107" s="895"/>
      <c r="NZA107" s="895"/>
      <c r="NZB107" s="896"/>
      <c r="NZC107" s="897"/>
      <c r="NZD107" s="897"/>
      <c r="NZE107" s="897"/>
      <c r="NZF107" s="897"/>
      <c r="NZG107" s="897"/>
      <c r="NZH107" s="897"/>
      <c r="NZI107" s="897"/>
      <c r="NZJ107" s="897"/>
      <c r="NZK107" s="895"/>
      <c r="NZL107" s="895"/>
      <c r="NZM107" s="896"/>
      <c r="NZN107" s="897"/>
      <c r="NZO107" s="897"/>
      <c r="NZP107" s="897"/>
      <c r="NZQ107" s="897"/>
      <c r="NZR107" s="897"/>
      <c r="NZS107" s="897"/>
      <c r="NZT107" s="897"/>
      <c r="NZU107" s="897"/>
      <c r="NZV107" s="895"/>
      <c r="NZW107" s="895"/>
      <c r="NZX107" s="896"/>
      <c r="NZY107" s="897"/>
      <c r="NZZ107" s="897"/>
      <c r="OAA107" s="897"/>
      <c r="OAB107" s="897"/>
      <c r="OAC107" s="897"/>
      <c r="OAD107" s="897"/>
      <c r="OAE107" s="897"/>
      <c r="OAF107" s="897"/>
      <c r="OAG107" s="895"/>
      <c r="OAH107" s="895"/>
      <c r="OAI107" s="896"/>
      <c r="OAJ107" s="897"/>
      <c r="OAK107" s="897"/>
      <c r="OAL107" s="897"/>
      <c r="OAM107" s="897"/>
      <c r="OAN107" s="897"/>
      <c r="OAO107" s="897"/>
      <c r="OAP107" s="897"/>
      <c r="OAQ107" s="897"/>
      <c r="OAR107" s="895"/>
      <c r="OAS107" s="895"/>
      <c r="OAT107" s="896"/>
      <c r="OAU107" s="897"/>
      <c r="OAV107" s="897"/>
      <c r="OAW107" s="897"/>
      <c r="OAX107" s="897"/>
      <c r="OAY107" s="897"/>
      <c r="OAZ107" s="897"/>
      <c r="OBA107" s="897"/>
      <c r="OBB107" s="897"/>
      <c r="OBC107" s="895"/>
      <c r="OBD107" s="895"/>
      <c r="OBE107" s="896"/>
      <c r="OBF107" s="897"/>
      <c r="OBG107" s="897"/>
      <c r="OBH107" s="897"/>
      <c r="OBI107" s="897"/>
      <c r="OBJ107" s="897"/>
      <c r="OBK107" s="897"/>
      <c r="OBL107" s="897"/>
      <c r="OBM107" s="897"/>
      <c r="OBN107" s="895"/>
      <c r="OBO107" s="895"/>
      <c r="OBP107" s="896"/>
      <c r="OBQ107" s="897"/>
      <c r="OBR107" s="897"/>
      <c r="OBS107" s="897"/>
      <c r="OBT107" s="897"/>
      <c r="OBU107" s="897"/>
      <c r="OBV107" s="897"/>
      <c r="OBW107" s="897"/>
      <c r="OBX107" s="897"/>
      <c r="OBY107" s="895"/>
      <c r="OBZ107" s="895"/>
      <c r="OCA107" s="896"/>
      <c r="OCB107" s="897"/>
      <c r="OCC107" s="897"/>
      <c r="OCD107" s="897"/>
      <c r="OCE107" s="897"/>
      <c r="OCF107" s="897"/>
      <c r="OCG107" s="897"/>
      <c r="OCH107" s="897"/>
      <c r="OCI107" s="897"/>
      <c r="OCJ107" s="895"/>
      <c r="OCK107" s="895"/>
      <c r="OCL107" s="896"/>
      <c r="OCM107" s="897"/>
      <c r="OCN107" s="897"/>
      <c r="OCO107" s="897"/>
      <c r="OCP107" s="897"/>
      <c r="OCQ107" s="897"/>
      <c r="OCR107" s="897"/>
      <c r="OCS107" s="897"/>
      <c r="OCT107" s="897"/>
      <c r="OCU107" s="895"/>
      <c r="OCV107" s="895"/>
      <c r="OCW107" s="896"/>
      <c r="OCX107" s="897"/>
      <c r="OCY107" s="897"/>
      <c r="OCZ107" s="897"/>
      <c r="ODA107" s="897"/>
      <c r="ODB107" s="897"/>
      <c r="ODC107" s="897"/>
      <c r="ODD107" s="897"/>
      <c r="ODE107" s="897"/>
      <c r="ODF107" s="895"/>
      <c r="ODG107" s="895"/>
      <c r="ODH107" s="896"/>
      <c r="ODI107" s="897"/>
      <c r="ODJ107" s="897"/>
      <c r="ODK107" s="897"/>
      <c r="ODL107" s="897"/>
      <c r="ODM107" s="897"/>
      <c r="ODN107" s="897"/>
      <c r="ODO107" s="897"/>
      <c r="ODP107" s="897"/>
      <c r="ODQ107" s="895"/>
      <c r="ODR107" s="895"/>
      <c r="ODS107" s="896"/>
      <c r="ODT107" s="897"/>
      <c r="ODU107" s="897"/>
      <c r="ODV107" s="897"/>
      <c r="ODW107" s="897"/>
      <c r="ODX107" s="897"/>
      <c r="ODY107" s="897"/>
      <c r="ODZ107" s="897"/>
      <c r="OEA107" s="897"/>
      <c r="OEB107" s="895"/>
      <c r="OEC107" s="895"/>
      <c r="OED107" s="896"/>
      <c r="OEE107" s="897"/>
      <c r="OEF107" s="897"/>
      <c r="OEG107" s="897"/>
      <c r="OEH107" s="897"/>
      <c r="OEI107" s="897"/>
      <c r="OEJ107" s="897"/>
      <c r="OEK107" s="897"/>
      <c r="OEL107" s="897"/>
      <c r="OEM107" s="895"/>
      <c r="OEN107" s="895"/>
      <c r="OEO107" s="896"/>
      <c r="OEP107" s="897"/>
      <c r="OEQ107" s="897"/>
      <c r="OER107" s="897"/>
      <c r="OES107" s="897"/>
      <c r="OET107" s="897"/>
      <c r="OEU107" s="897"/>
      <c r="OEV107" s="897"/>
      <c r="OEW107" s="897"/>
      <c r="OEX107" s="895"/>
      <c r="OEY107" s="895"/>
      <c r="OEZ107" s="896"/>
      <c r="OFA107" s="897"/>
      <c r="OFB107" s="897"/>
      <c r="OFC107" s="897"/>
      <c r="OFD107" s="897"/>
      <c r="OFE107" s="897"/>
      <c r="OFF107" s="897"/>
      <c r="OFG107" s="897"/>
      <c r="OFH107" s="897"/>
      <c r="OFI107" s="895"/>
      <c r="OFJ107" s="895"/>
      <c r="OFK107" s="896"/>
      <c r="OFL107" s="897"/>
      <c r="OFM107" s="897"/>
      <c r="OFN107" s="897"/>
      <c r="OFO107" s="897"/>
      <c r="OFP107" s="897"/>
      <c r="OFQ107" s="897"/>
      <c r="OFR107" s="897"/>
      <c r="OFS107" s="897"/>
      <c r="OFT107" s="895"/>
      <c r="OFU107" s="895"/>
      <c r="OFV107" s="896"/>
      <c r="OFW107" s="897"/>
      <c r="OFX107" s="897"/>
      <c r="OFY107" s="897"/>
      <c r="OFZ107" s="897"/>
      <c r="OGA107" s="897"/>
      <c r="OGB107" s="897"/>
      <c r="OGC107" s="897"/>
      <c r="OGD107" s="897"/>
      <c r="OGE107" s="895"/>
      <c r="OGF107" s="895"/>
      <c r="OGG107" s="896"/>
      <c r="OGH107" s="897"/>
      <c r="OGI107" s="897"/>
      <c r="OGJ107" s="897"/>
      <c r="OGK107" s="897"/>
      <c r="OGL107" s="897"/>
      <c r="OGM107" s="897"/>
      <c r="OGN107" s="897"/>
      <c r="OGO107" s="897"/>
      <c r="OGP107" s="895"/>
      <c r="OGQ107" s="895"/>
      <c r="OGR107" s="896"/>
      <c r="OGS107" s="897"/>
      <c r="OGT107" s="897"/>
      <c r="OGU107" s="897"/>
      <c r="OGV107" s="897"/>
      <c r="OGW107" s="897"/>
      <c r="OGX107" s="897"/>
      <c r="OGY107" s="897"/>
      <c r="OGZ107" s="897"/>
      <c r="OHA107" s="895"/>
      <c r="OHB107" s="895"/>
      <c r="OHC107" s="896"/>
      <c r="OHD107" s="897"/>
      <c r="OHE107" s="897"/>
      <c r="OHF107" s="897"/>
      <c r="OHG107" s="897"/>
      <c r="OHH107" s="897"/>
      <c r="OHI107" s="897"/>
      <c r="OHJ107" s="897"/>
      <c r="OHK107" s="897"/>
      <c r="OHL107" s="895"/>
      <c r="OHM107" s="895"/>
      <c r="OHN107" s="896"/>
      <c r="OHO107" s="897"/>
      <c r="OHP107" s="897"/>
      <c r="OHQ107" s="897"/>
      <c r="OHR107" s="897"/>
      <c r="OHS107" s="897"/>
      <c r="OHT107" s="897"/>
      <c r="OHU107" s="897"/>
      <c r="OHV107" s="897"/>
      <c r="OHW107" s="895"/>
      <c r="OHX107" s="895"/>
      <c r="OHY107" s="896"/>
      <c r="OHZ107" s="897"/>
      <c r="OIA107" s="897"/>
      <c r="OIB107" s="897"/>
      <c r="OIC107" s="897"/>
      <c r="OID107" s="897"/>
      <c r="OIE107" s="897"/>
      <c r="OIF107" s="897"/>
      <c r="OIG107" s="897"/>
      <c r="OIH107" s="895"/>
      <c r="OII107" s="895"/>
      <c r="OIJ107" s="896"/>
      <c r="OIK107" s="897"/>
      <c r="OIL107" s="897"/>
      <c r="OIM107" s="897"/>
      <c r="OIN107" s="897"/>
      <c r="OIO107" s="897"/>
      <c r="OIP107" s="897"/>
      <c r="OIQ107" s="897"/>
      <c r="OIR107" s="897"/>
      <c r="OIS107" s="895"/>
      <c r="OIT107" s="895"/>
      <c r="OIU107" s="896"/>
      <c r="OIV107" s="897"/>
      <c r="OIW107" s="897"/>
      <c r="OIX107" s="897"/>
      <c r="OIY107" s="897"/>
      <c r="OIZ107" s="897"/>
      <c r="OJA107" s="897"/>
      <c r="OJB107" s="897"/>
      <c r="OJC107" s="897"/>
      <c r="OJD107" s="895"/>
      <c r="OJE107" s="895"/>
      <c r="OJF107" s="896"/>
      <c r="OJG107" s="897"/>
      <c r="OJH107" s="897"/>
      <c r="OJI107" s="897"/>
      <c r="OJJ107" s="897"/>
      <c r="OJK107" s="897"/>
      <c r="OJL107" s="897"/>
      <c r="OJM107" s="897"/>
      <c r="OJN107" s="897"/>
      <c r="OJO107" s="895"/>
      <c r="OJP107" s="895"/>
      <c r="OJQ107" s="896"/>
      <c r="OJR107" s="897"/>
      <c r="OJS107" s="897"/>
      <c r="OJT107" s="897"/>
      <c r="OJU107" s="897"/>
      <c r="OJV107" s="897"/>
      <c r="OJW107" s="897"/>
      <c r="OJX107" s="897"/>
      <c r="OJY107" s="897"/>
      <c r="OJZ107" s="895"/>
      <c r="OKA107" s="895"/>
      <c r="OKB107" s="896"/>
      <c r="OKC107" s="897"/>
      <c r="OKD107" s="897"/>
      <c r="OKE107" s="897"/>
      <c r="OKF107" s="897"/>
      <c r="OKG107" s="897"/>
      <c r="OKH107" s="897"/>
      <c r="OKI107" s="897"/>
      <c r="OKJ107" s="897"/>
      <c r="OKK107" s="895"/>
      <c r="OKL107" s="895"/>
      <c r="OKM107" s="896"/>
      <c r="OKN107" s="897"/>
      <c r="OKO107" s="897"/>
      <c r="OKP107" s="897"/>
      <c r="OKQ107" s="897"/>
      <c r="OKR107" s="897"/>
      <c r="OKS107" s="897"/>
      <c r="OKT107" s="897"/>
      <c r="OKU107" s="897"/>
      <c r="OKV107" s="895"/>
      <c r="OKW107" s="895"/>
      <c r="OKX107" s="896"/>
      <c r="OKY107" s="897"/>
      <c r="OKZ107" s="897"/>
      <c r="OLA107" s="897"/>
      <c r="OLB107" s="897"/>
      <c r="OLC107" s="897"/>
      <c r="OLD107" s="897"/>
      <c r="OLE107" s="897"/>
      <c r="OLF107" s="897"/>
      <c r="OLG107" s="895"/>
      <c r="OLH107" s="895"/>
      <c r="OLI107" s="896"/>
      <c r="OLJ107" s="897"/>
      <c r="OLK107" s="897"/>
      <c r="OLL107" s="897"/>
      <c r="OLM107" s="897"/>
      <c r="OLN107" s="897"/>
      <c r="OLO107" s="897"/>
      <c r="OLP107" s="897"/>
      <c r="OLQ107" s="897"/>
      <c r="OLR107" s="895"/>
      <c r="OLS107" s="895"/>
      <c r="OLT107" s="896"/>
      <c r="OLU107" s="897"/>
      <c r="OLV107" s="897"/>
      <c r="OLW107" s="897"/>
      <c r="OLX107" s="897"/>
      <c r="OLY107" s="897"/>
      <c r="OLZ107" s="897"/>
      <c r="OMA107" s="897"/>
      <c r="OMB107" s="897"/>
      <c r="OMC107" s="895"/>
      <c r="OMD107" s="895"/>
      <c r="OME107" s="896"/>
      <c r="OMF107" s="897"/>
      <c r="OMG107" s="897"/>
      <c r="OMH107" s="897"/>
      <c r="OMI107" s="897"/>
      <c r="OMJ107" s="897"/>
      <c r="OMK107" s="897"/>
      <c r="OML107" s="897"/>
      <c r="OMM107" s="897"/>
      <c r="OMN107" s="895"/>
      <c r="OMO107" s="895"/>
      <c r="OMP107" s="896"/>
      <c r="OMQ107" s="897"/>
      <c r="OMR107" s="897"/>
      <c r="OMS107" s="897"/>
      <c r="OMT107" s="897"/>
      <c r="OMU107" s="897"/>
      <c r="OMV107" s="897"/>
      <c r="OMW107" s="897"/>
      <c r="OMX107" s="897"/>
      <c r="OMY107" s="895"/>
      <c r="OMZ107" s="895"/>
      <c r="ONA107" s="896"/>
      <c r="ONB107" s="897"/>
      <c r="ONC107" s="897"/>
      <c r="OND107" s="897"/>
      <c r="ONE107" s="897"/>
      <c r="ONF107" s="897"/>
      <c r="ONG107" s="897"/>
      <c r="ONH107" s="897"/>
      <c r="ONI107" s="897"/>
      <c r="ONJ107" s="895"/>
      <c r="ONK107" s="895"/>
      <c r="ONL107" s="896"/>
      <c r="ONM107" s="897"/>
      <c r="ONN107" s="897"/>
      <c r="ONO107" s="897"/>
      <c r="ONP107" s="897"/>
      <c r="ONQ107" s="897"/>
      <c r="ONR107" s="897"/>
      <c r="ONS107" s="897"/>
      <c r="ONT107" s="897"/>
      <c r="ONU107" s="895"/>
      <c r="ONV107" s="895"/>
      <c r="ONW107" s="896"/>
      <c r="ONX107" s="897"/>
      <c r="ONY107" s="897"/>
      <c r="ONZ107" s="897"/>
      <c r="OOA107" s="897"/>
      <c r="OOB107" s="897"/>
      <c r="OOC107" s="897"/>
      <c r="OOD107" s="897"/>
      <c r="OOE107" s="897"/>
      <c r="OOF107" s="895"/>
      <c r="OOG107" s="895"/>
      <c r="OOH107" s="896"/>
      <c r="OOI107" s="897"/>
      <c r="OOJ107" s="897"/>
      <c r="OOK107" s="897"/>
      <c r="OOL107" s="897"/>
      <c r="OOM107" s="897"/>
      <c r="OON107" s="897"/>
      <c r="OOO107" s="897"/>
      <c r="OOP107" s="897"/>
      <c r="OOQ107" s="895"/>
      <c r="OOR107" s="895"/>
      <c r="OOS107" s="896"/>
      <c r="OOT107" s="897"/>
      <c r="OOU107" s="897"/>
      <c r="OOV107" s="897"/>
      <c r="OOW107" s="897"/>
      <c r="OOX107" s="897"/>
      <c r="OOY107" s="897"/>
      <c r="OOZ107" s="897"/>
      <c r="OPA107" s="897"/>
      <c r="OPB107" s="895"/>
      <c r="OPC107" s="895"/>
      <c r="OPD107" s="896"/>
      <c r="OPE107" s="897"/>
      <c r="OPF107" s="897"/>
      <c r="OPG107" s="897"/>
      <c r="OPH107" s="897"/>
      <c r="OPI107" s="897"/>
      <c r="OPJ107" s="897"/>
      <c r="OPK107" s="897"/>
      <c r="OPL107" s="897"/>
      <c r="OPM107" s="895"/>
      <c r="OPN107" s="895"/>
      <c r="OPO107" s="896"/>
      <c r="OPP107" s="897"/>
      <c r="OPQ107" s="897"/>
      <c r="OPR107" s="897"/>
      <c r="OPS107" s="897"/>
      <c r="OPT107" s="897"/>
      <c r="OPU107" s="897"/>
      <c r="OPV107" s="897"/>
      <c r="OPW107" s="897"/>
      <c r="OPX107" s="895"/>
      <c r="OPY107" s="895"/>
      <c r="OPZ107" s="896"/>
      <c r="OQA107" s="897"/>
      <c r="OQB107" s="897"/>
      <c r="OQC107" s="897"/>
      <c r="OQD107" s="897"/>
      <c r="OQE107" s="897"/>
      <c r="OQF107" s="897"/>
      <c r="OQG107" s="897"/>
      <c r="OQH107" s="897"/>
      <c r="OQI107" s="895"/>
      <c r="OQJ107" s="895"/>
      <c r="OQK107" s="896"/>
      <c r="OQL107" s="897"/>
      <c r="OQM107" s="897"/>
      <c r="OQN107" s="897"/>
      <c r="OQO107" s="897"/>
      <c r="OQP107" s="897"/>
      <c r="OQQ107" s="897"/>
      <c r="OQR107" s="897"/>
      <c r="OQS107" s="897"/>
      <c r="OQT107" s="895"/>
      <c r="OQU107" s="895"/>
      <c r="OQV107" s="896"/>
      <c r="OQW107" s="897"/>
      <c r="OQX107" s="897"/>
      <c r="OQY107" s="897"/>
      <c r="OQZ107" s="897"/>
      <c r="ORA107" s="897"/>
      <c r="ORB107" s="897"/>
      <c r="ORC107" s="897"/>
      <c r="ORD107" s="897"/>
      <c r="ORE107" s="895"/>
      <c r="ORF107" s="895"/>
      <c r="ORG107" s="896"/>
      <c r="ORH107" s="897"/>
      <c r="ORI107" s="897"/>
      <c r="ORJ107" s="897"/>
      <c r="ORK107" s="897"/>
      <c r="ORL107" s="897"/>
      <c r="ORM107" s="897"/>
      <c r="ORN107" s="897"/>
      <c r="ORO107" s="897"/>
      <c r="ORP107" s="895"/>
      <c r="ORQ107" s="895"/>
      <c r="ORR107" s="896"/>
      <c r="ORS107" s="897"/>
      <c r="ORT107" s="897"/>
      <c r="ORU107" s="897"/>
      <c r="ORV107" s="897"/>
      <c r="ORW107" s="897"/>
      <c r="ORX107" s="897"/>
      <c r="ORY107" s="897"/>
      <c r="ORZ107" s="897"/>
      <c r="OSA107" s="895"/>
      <c r="OSB107" s="895"/>
      <c r="OSC107" s="896"/>
      <c r="OSD107" s="897"/>
      <c r="OSE107" s="897"/>
      <c r="OSF107" s="897"/>
      <c r="OSG107" s="897"/>
      <c r="OSH107" s="897"/>
      <c r="OSI107" s="897"/>
      <c r="OSJ107" s="897"/>
      <c r="OSK107" s="897"/>
      <c r="OSL107" s="895"/>
      <c r="OSM107" s="895"/>
      <c r="OSN107" s="896"/>
      <c r="OSO107" s="897"/>
      <c r="OSP107" s="897"/>
      <c r="OSQ107" s="897"/>
      <c r="OSR107" s="897"/>
      <c r="OSS107" s="897"/>
      <c r="OST107" s="897"/>
      <c r="OSU107" s="897"/>
      <c r="OSV107" s="897"/>
      <c r="OSW107" s="895"/>
      <c r="OSX107" s="895"/>
      <c r="OSY107" s="896"/>
      <c r="OSZ107" s="897"/>
      <c r="OTA107" s="897"/>
      <c r="OTB107" s="897"/>
      <c r="OTC107" s="897"/>
      <c r="OTD107" s="897"/>
      <c r="OTE107" s="897"/>
      <c r="OTF107" s="897"/>
      <c r="OTG107" s="897"/>
      <c r="OTH107" s="895"/>
      <c r="OTI107" s="895"/>
      <c r="OTJ107" s="896"/>
      <c r="OTK107" s="897"/>
      <c r="OTL107" s="897"/>
      <c r="OTM107" s="897"/>
      <c r="OTN107" s="897"/>
      <c r="OTO107" s="897"/>
      <c r="OTP107" s="897"/>
      <c r="OTQ107" s="897"/>
      <c r="OTR107" s="897"/>
      <c r="OTS107" s="895"/>
      <c r="OTT107" s="895"/>
      <c r="OTU107" s="896"/>
      <c r="OTV107" s="897"/>
      <c r="OTW107" s="897"/>
      <c r="OTX107" s="897"/>
      <c r="OTY107" s="897"/>
      <c r="OTZ107" s="897"/>
      <c r="OUA107" s="897"/>
      <c r="OUB107" s="897"/>
      <c r="OUC107" s="897"/>
      <c r="OUD107" s="895"/>
      <c r="OUE107" s="895"/>
      <c r="OUF107" s="896"/>
      <c r="OUG107" s="897"/>
      <c r="OUH107" s="897"/>
      <c r="OUI107" s="897"/>
      <c r="OUJ107" s="897"/>
      <c r="OUK107" s="897"/>
      <c r="OUL107" s="897"/>
      <c r="OUM107" s="897"/>
      <c r="OUN107" s="897"/>
      <c r="OUO107" s="895"/>
      <c r="OUP107" s="895"/>
      <c r="OUQ107" s="896"/>
      <c r="OUR107" s="897"/>
      <c r="OUS107" s="897"/>
      <c r="OUT107" s="897"/>
      <c r="OUU107" s="897"/>
      <c r="OUV107" s="897"/>
      <c r="OUW107" s="897"/>
      <c r="OUX107" s="897"/>
      <c r="OUY107" s="897"/>
      <c r="OUZ107" s="895"/>
      <c r="OVA107" s="895"/>
      <c r="OVB107" s="896"/>
      <c r="OVC107" s="897"/>
      <c r="OVD107" s="897"/>
      <c r="OVE107" s="897"/>
      <c r="OVF107" s="897"/>
      <c r="OVG107" s="897"/>
      <c r="OVH107" s="897"/>
      <c r="OVI107" s="897"/>
      <c r="OVJ107" s="897"/>
      <c r="OVK107" s="895"/>
      <c r="OVL107" s="895"/>
      <c r="OVM107" s="896"/>
      <c r="OVN107" s="897"/>
      <c r="OVO107" s="897"/>
      <c r="OVP107" s="897"/>
      <c r="OVQ107" s="897"/>
      <c r="OVR107" s="897"/>
      <c r="OVS107" s="897"/>
      <c r="OVT107" s="897"/>
      <c r="OVU107" s="897"/>
      <c r="OVV107" s="895"/>
      <c r="OVW107" s="895"/>
      <c r="OVX107" s="896"/>
      <c r="OVY107" s="897"/>
      <c r="OVZ107" s="897"/>
      <c r="OWA107" s="897"/>
      <c r="OWB107" s="897"/>
      <c r="OWC107" s="897"/>
      <c r="OWD107" s="897"/>
      <c r="OWE107" s="897"/>
      <c r="OWF107" s="897"/>
      <c r="OWG107" s="895"/>
      <c r="OWH107" s="895"/>
      <c r="OWI107" s="896"/>
      <c r="OWJ107" s="897"/>
      <c r="OWK107" s="897"/>
      <c r="OWL107" s="897"/>
      <c r="OWM107" s="897"/>
      <c r="OWN107" s="897"/>
      <c r="OWO107" s="897"/>
      <c r="OWP107" s="897"/>
      <c r="OWQ107" s="897"/>
      <c r="OWR107" s="895"/>
      <c r="OWS107" s="895"/>
      <c r="OWT107" s="896"/>
      <c r="OWU107" s="897"/>
      <c r="OWV107" s="897"/>
      <c r="OWW107" s="897"/>
      <c r="OWX107" s="897"/>
      <c r="OWY107" s="897"/>
      <c r="OWZ107" s="897"/>
      <c r="OXA107" s="897"/>
      <c r="OXB107" s="897"/>
      <c r="OXC107" s="895"/>
      <c r="OXD107" s="895"/>
      <c r="OXE107" s="896"/>
      <c r="OXF107" s="897"/>
      <c r="OXG107" s="897"/>
      <c r="OXH107" s="897"/>
      <c r="OXI107" s="897"/>
      <c r="OXJ107" s="897"/>
      <c r="OXK107" s="897"/>
      <c r="OXL107" s="897"/>
      <c r="OXM107" s="897"/>
      <c r="OXN107" s="895"/>
      <c r="OXO107" s="895"/>
      <c r="OXP107" s="896"/>
      <c r="OXQ107" s="897"/>
      <c r="OXR107" s="897"/>
      <c r="OXS107" s="897"/>
      <c r="OXT107" s="897"/>
      <c r="OXU107" s="897"/>
      <c r="OXV107" s="897"/>
      <c r="OXW107" s="897"/>
      <c r="OXX107" s="897"/>
      <c r="OXY107" s="895"/>
      <c r="OXZ107" s="895"/>
      <c r="OYA107" s="896"/>
      <c r="OYB107" s="897"/>
      <c r="OYC107" s="897"/>
      <c r="OYD107" s="897"/>
      <c r="OYE107" s="897"/>
      <c r="OYF107" s="897"/>
      <c r="OYG107" s="897"/>
      <c r="OYH107" s="897"/>
      <c r="OYI107" s="897"/>
      <c r="OYJ107" s="895"/>
      <c r="OYK107" s="895"/>
      <c r="OYL107" s="896"/>
      <c r="OYM107" s="897"/>
      <c r="OYN107" s="897"/>
      <c r="OYO107" s="897"/>
      <c r="OYP107" s="897"/>
      <c r="OYQ107" s="897"/>
      <c r="OYR107" s="897"/>
      <c r="OYS107" s="897"/>
      <c r="OYT107" s="897"/>
      <c r="OYU107" s="895"/>
      <c r="OYV107" s="895"/>
      <c r="OYW107" s="896"/>
      <c r="OYX107" s="897"/>
      <c r="OYY107" s="897"/>
      <c r="OYZ107" s="897"/>
      <c r="OZA107" s="897"/>
      <c r="OZB107" s="897"/>
      <c r="OZC107" s="897"/>
      <c r="OZD107" s="897"/>
      <c r="OZE107" s="897"/>
      <c r="OZF107" s="895"/>
      <c r="OZG107" s="895"/>
      <c r="OZH107" s="896"/>
      <c r="OZI107" s="897"/>
      <c r="OZJ107" s="897"/>
      <c r="OZK107" s="897"/>
      <c r="OZL107" s="897"/>
      <c r="OZM107" s="897"/>
      <c r="OZN107" s="897"/>
      <c r="OZO107" s="897"/>
      <c r="OZP107" s="897"/>
      <c r="OZQ107" s="895"/>
      <c r="OZR107" s="895"/>
      <c r="OZS107" s="896"/>
      <c r="OZT107" s="897"/>
      <c r="OZU107" s="897"/>
      <c r="OZV107" s="897"/>
      <c r="OZW107" s="897"/>
      <c r="OZX107" s="897"/>
      <c r="OZY107" s="897"/>
      <c r="OZZ107" s="897"/>
      <c r="PAA107" s="897"/>
      <c r="PAB107" s="895"/>
      <c r="PAC107" s="895"/>
      <c r="PAD107" s="896"/>
      <c r="PAE107" s="897"/>
      <c r="PAF107" s="897"/>
      <c r="PAG107" s="897"/>
      <c r="PAH107" s="897"/>
      <c r="PAI107" s="897"/>
      <c r="PAJ107" s="897"/>
      <c r="PAK107" s="897"/>
      <c r="PAL107" s="897"/>
      <c r="PAM107" s="895"/>
      <c r="PAN107" s="895"/>
      <c r="PAO107" s="896"/>
      <c r="PAP107" s="897"/>
      <c r="PAQ107" s="897"/>
      <c r="PAR107" s="897"/>
      <c r="PAS107" s="897"/>
      <c r="PAT107" s="897"/>
      <c r="PAU107" s="897"/>
      <c r="PAV107" s="897"/>
      <c r="PAW107" s="897"/>
      <c r="PAX107" s="895"/>
      <c r="PAY107" s="895"/>
      <c r="PAZ107" s="896"/>
      <c r="PBA107" s="897"/>
      <c r="PBB107" s="897"/>
      <c r="PBC107" s="897"/>
      <c r="PBD107" s="897"/>
      <c r="PBE107" s="897"/>
      <c r="PBF107" s="897"/>
      <c r="PBG107" s="897"/>
      <c r="PBH107" s="897"/>
      <c r="PBI107" s="895"/>
      <c r="PBJ107" s="895"/>
      <c r="PBK107" s="896"/>
      <c r="PBL107" s="897"/>
      <c r="PBM107" s="897"/>
      <c r="PBN107" s="897"/>
      <c r="PBO107" s="897"/>
      <c r="PBP107" s="897"/>
      <c r="PBQ107" s="897"/>
      <c r="PBR107" s="897"/>
      <c r="PBS107" s="897"/>
      <c r="PBT107" s="895"/>
      <c r="PBU107" s="895"/>
      <c r="PBV107" s="896"/>
      <c r="PBW107" s="897"/>
      <c r="PBX107" s="897"/>
      <c r="PBY107" s="897"/>
      <c r="PBZ107" s="897"/>
      <c r="PCA107" s="897"/>
      <c r="PCB107" s="897"/>
      <c r="PCC107" s="897"/>
      <c r="PCD107" s="897"/>
      <c r="PCE107" s="895"/>
      <c r="PCF107" s="895"/>
      <c r="PCG107" s="896"/>
      <c r="PCH107" s="897"/>
      <c r="PCI107" s="897"/>
      <c r="PCJ107" s="897"/>
      <c r="PCK107" s="897"/>
      <c r="PCL107" s="897"/>
      <c r="PCM107" s="897"/>
      <c r="PCN107" s="897"/>
      <c r="PCO107" s="897"/>
      <c r="PCP107" s="895"/>
      <c r="PCQ107" s="895"/>
      <c r="PCR107" s="896"/>
      <c r="PCS107" s="897"/>
      <c r="PCT107" s="897"/>
      <c r="PCU107" s="897"/>
      <c r="PCV107" s="897"/>
      <c r="PCW107" s="897"/>
      <c r="PCX107" s="897"/>
      <c r="PCY107" s="897"/>
      <c r="PCZ107" s="897"/>
      <c r="PDA107" s="895"/>
      <c r="PDB107" s="895"/>
      <c r="PDC107" s="896"/>
      <c r="PDD107" s="897"/>
      <c r="PDE107" s="897"/>
      <c r="PDF107" s="897"/>
      <c r="PDG107" s="897"/>
      <c r="PDH107" s="897"/>
      <c r="PDI107" s="897"/>
      <c r="PDJ107" s="897"/>
      <c r="PDK107" s="897"/>
      <c r="PDL107" s="895"/>
      <c r="PDM107" s="895"/>
      <c r="PDN107" s="896"/>
      <c r="PDO107" s="897"/>
      <c r="PDP107" s="897"/>
      <c r="PDQ107" s="897"/>
      <c r="PDR107" s="897"/>
      <c r="PDS107" s="897"/>
      <c r="PDT107" s="897"/>
      <c r="PDU107" s="897"/>
      <c r="PDV107" s="897"/>
      <c r="PDW107" s="895"/>
      <c r="PDX107" s="895"/>
      <c r="PDY107" s="896"/>
      <c r="PDZ107" s="897"/>
      <c r="PEA107" s="897"/>
      <c r="PEB107" s="897"/>
      <c r="PEC107" s="897"/>
      <c r="PED107" s="897"/>
      <c r="PEE107" s="897"/>
      <c r="PEF107" s="897"/>
      <c r="PEG107" s="897"/>
      <c r="PEH107" s="895"/>
      <c r="PEI107" s="895"/>
      <c r="PEJ107" s="896"/>
      <c r="PEK107" s="897"/>
      <c r="PEL107" s="897"/>
      <c r="PEM107" s="897"/>
      <c r="PEN107" s="897"/>
      <c r="PEO107" s="897"/>
      <c r="PEP107" s="897"/>
      <c r="PEQ107" s="897"/>
      <c r="PER107" s="897"/>
      <c r="PES107" s="895"/>
      <c r="PET107" s="895"/>
      <c r="PEU107" s="896"/>
      <c r="PEV107" s="897"/>
      <c r="PEW107" s="897"/>
      <c r="PEX107" s="897"/>
      <c r="PEY107" s="897"/>
      <c r="PEZ107" s="897"/>
      <c r="PFA107" s="897"/>
      <c r="PFB107" s="897"/>
      <c r="PFC107" s="897"/>
      <c r="PFD107" s="895"/>
      <c r="PFE107" s="895"/>
      <c r="PFF107" s="896"/>
      <c r="PFG107" s="897"/>
      <c r="PFH107" s="897"/>
      <c r="PFI107" s="897"/>
      <c r="PFJ107" s="897"/>
      <c r="PFK107" s="897"/>
      <c r="PFL107" s="897"/>
      <c r="PFM107" s="897"/>
      <c r="PFN107" s="897"/>
      <c r="PFO107" s="895"/>
      <c r="PFP107" s="895"/>
      <c r="PFQ107" s="896"/>
      <c r="PFR107" s="897"/>
      <c r="PFS107" s="897"/>
      <c r="PFT107" s="897"/>
      <c r="PFU107" s="897"/>
      <c r="PFV107" s="897"/>
      <c r="PFW107" s="897"/>
      <c r="PFX107" s="897"/>
      <c r="PFY107" s="897"/>
      <c r="PFZ107" s="895"/>
      <c r="PGA107" s="895"/>
      <c r="PGB107" s="896"/>
      <c r="PGC107" s="897"/>
      <c r="PGD107" s="897"/>
      <c r="PGE107" s="897"/>
      <c r="PGF107" s="897"/>
      <c r="PGG107" s="897"/>
      <c r="PGH107" s="897"/>
      <c r="PGI107" s="897"/>
      <c r="PGJ107" s="897"/>
      <c r="PGK107" s="895"/>
      <c r="PGL107" s="895"/>
      <c r="PGM107" s="896"/>
      <c r="PGN107" s="897"/>
      <c r="PGO107" s="897"/>
      <c r="PGP107" s="897"/>
      <c r="PGQ107" s="897"/>
      <c r="PGR107" s="897"/>
      <c r="PGS107" s="897"/>
      <c r="PGT107" s="897"/>
      <c r="PGU107" s="897"/>
      <c r="PGV107" s="895"/>
      <c r="PGW107" s="895"/>
      <c r="PGX107" s="896"/>
      <c r="PGY107" s="897"/>
      <c r="PGZ107" s="897"/>
      <c r="PHA107" s="897"/>
      <c r="PHB107" s="897"/>
      <c r="PHC107" s="897"/>
      <c r="PHD107" s="897"/>
      <c r="PHE107" s="897"/>
      <c r="PHF107" s="897"/>
      <c r="PHG107" s="895"/>
      <c r="PHH107" s="895"/>
      <c r="PHI107" s="896"/>
      <c r="PHJ107" s="897"/>
      <c r="PHK107" s="897"/>
      <c r="PHL107" s="897"/>
      <c r="PHM107" s="897"/>
      <c r="PHN107" s="897"/>
      <c r="PHO107" s="897"/>
      <c r="PHP107" s="897"/>
      <c r="PHQ107" s="897"/>
      <c r="PHR107" s="895"/>
      <c r="PHS107" s="895"/>
      <c r="PHT107" s="896"/>
      <c r="PHU107" s="897"/>
      <c r="PHV107" s="897"/>
      <c r="PHW107" s="897"/>
      <c r="PHX107" s="897"/>
      <c r="PHY107" s="897"/>
      <c r="PHZ107" s="897"/>
      <c r="PIA107" s="897"/>
      <c r="PIB107" s="897"/>
      <c r="PIC107" s="895"/>
      <c r="PID107" s="895"/>
      <c r="PIE107" s="896"/>
      <c r="PIF107" s="897"/>
      <c r="PIG107" s="897"/>
      <c r="PIH107" s="897"/>
      <c r="PII107" s="897"/>
      <c r="PIJ107" s="897"/>
      <c r="PIK107" s="897"/>
      <c r="PIL107" s="897"/>
      <c r="PIM107" s="897"/>
      <c r="PIN107" s="895"/>
      <c r="PIO107" s="895"/>
      <c r="PIP107" s="896"/>
      <c r="PIQ107" s="897"/>
      <c r="PIR107" s="897"/>
      <c r="PIS107" s="897"/>
      <c r="PIT107" s="897"/>
      <c r="PIU107" s="897"/>
      <c r="PIV107" s="897"/>
      <c r="PIW107" s="897"/>
      <c r="PIX107" s="897"/>
      <c r="PIY107" s="895"/>
      <c r="PIZ107" s="895"/>
      <c r="PJA107" s="896"/>
      <c r="PJB107" s="897"/>
      <c r="PJC107" s="897"/>
      <c r="PJD107" s="897"/>
      <c r="PJE107" s="897"/>
      <c r="PJF107" s="897"/>
      <c r="PJG107" s="897"/>
      <c r="PJH107" s="897"/>
      <c r="PJI107" s="897"/>
      <c r="PJJ107" s="895"/>
      <c r="PJK107" s="895"/>
      <c r="PJL107" s="896"/>
      <c r="PJM107" s="897"/>
      <c r="PJN107" s="897"/>
      <c r="PJO107" s="897"/>
      <c r="PJP107" s="897"/>
      <c r="PJQ107" s="897"/>
      <c r="PJR107" s="897"/>
      <c r="PJS107" s="897"/>
      <c r="PJT107" s="897"/>
      <c r="PJU107" s="895"/>
      <c r="PJV107" s="895"/>
      <c r="PJW107" s="896"/>
      <c r="PJX107" s="897"/>
      <c r="PJY107" s="897"/>
      <c r="PJZ107" s="897"/>
      <c r="PKA107" s="897"/>
      <c r="PKB107" s="897"/>
      <c r="PKC107" s="897"/>
      <c r="PKD107" s="897"/>
      <c r="PKE107" s="897"/>
      <c r="PKF107" s="895"/>
      <c r="PKG107" s="895"/>
      <c r="PKH107" s="896"/>
      <c r="PKI107" s="897"/>
      <c r="PKJ107" s="897"/>
      <c r="PKK107" s="897"/>
      <c r="PKL107" s="897"/>
      <c r="PKM107" s="897"/>
      <c r="PKN107" s="897"/>
      <c r="PKO107" s="897"/>
      <c r="PKP107" s="897"/>
      <c r="PKQ107" s="895"/>
      <c r="PKR107" s="895"/>
      <c r="PKS107" s="896"/>
      <c r="PKT107" s="897"/>
      <c r="PKU107" s="897"/>
      <c r="PKV107" s="897"/>
      <c r="PKW107" s="897"/>
      <c r="PKX107" s="897"/>
      <c r="PKY107" s="897"/>
      <c r="PKZ107" s="897"/>
      <c r="PLA107" s="897"/>
      <c r="PLB107" s="895"/>
      <c r="PLC107" s="895"/>
      <c r="PLD107" s="896"/>
      <c r="PLE107" s="897"/>
      <c r="PLF107" s="897"/>
      <c r="PLG107" s="897"/>
      <c r="PLH107" s="897"/>
      <c r="PLI107" s="897"/>
      <c r="PLJ107" s="897"/>
      <c r="PLK107" s="897"/>
      <c r="PLL107" s="897"/>
      <c r="PLM107" s="895"/>
      <c r="PLN107" s="895"/>
      <c r="PLO107" s="896"/>
      <c r="PLP107" s="897"/>
      <c r="PLQ107" s="897"/>
      <c r="PLR107" s="897"/>
      <c r="PLS107" s="897"/>
      <c r="PLT107" s="897"/>
      <c r="PLU107" s="897"/>
      <c r="PLV107" s="897"/>
      <c r="PLW107" s="897"/>
      <c r="PLX107" s="895"/>
      <c r="PLY107" s="895"/>
      <c r="PLZ107" s="896"/>
      <c r="PMA107" s="897"/>
      <c r="PMB107" s="897"/>
      <c r="PMC107" s="897"/>
      <c r="PMD107" s="897"/>
      <c r="PME107" s="897"/>
      <c r="PMF107" s="897"/>
      <c r="PMG107" s="897"/>
      <c r="PMH107" s="897"/>
      <c r="PMI107" s="895"/>
      <c r="PMJ107" s="895"/>
      <c r="PMK107" s="896"/>
      <c r="PML107" s="897"/>
      <c r="PMM107" s="897"/>
      <c r="PMN107" s="897"/>
      <c r="PMO107" s="897"/>
      <c r="PMP107" s="897"/>
      <c r="PMQ107" s="897"/>
      <c r="PMR107" s="897"/>
      <c r="PMS107" s="897"/>
      <c r="PMT107" s="895"/>
      <c r="PMU107" s="895"/>
      <c r="PMV107" s="896"/>
      <c r="PMW107" s="897"/>
      <c r="PMX107" s="897"/>
      <c r="PMY107" s="897"/>
      <c r="PMZ107" s="897"/>
      <c r="PNA107" s="897"/>
      <c r="PNB107" s="897"/>
      <c r="PNC107" s="897"/>
      <c r="PND107" s="897"/>
      <c r="PNE107" s="895"/>
      <c r="PNF107" s="895"/>
      <c r="PNG107" s="896"/>
      <c r="PNH107" s="897"/>
      <c r="PNI107" s="897"/>
      <c r="PNJ107" s="897"/>
      <c r="PNK107" s="897"/>
      <c r="PNL107" s="897"/>
      <c r="PNM107" s="897"/>
      <c r="PNN107" s="897"/>
      <c r="PNO107" s="897"/>
      <c r="PNP107" s="895"/>
      <c r="PNQ107" s="895"/>
      <c r="PNR107" s="896"/>
      <c r="PNS107" s="897"/>
      <c r="PNT107" s="897"/>
      <c r="PNU107" s="897"/>
      <c r="PNV107" s="897"/>
      <c r="PNW107" s="897"/>
      <c r="PNX107" s="897"/>
      <c r="PNY107" s="897"/>
      <c r="PNZ107" s="897"/>
      <c r="POA107" s="895"/>
      <c r="POB107" s="895"/>
      <c r="POC107" s="896"/>
      <c r="POD107" s="897"/>
      <c r="POE107" s="897"/>
      <c r="POF107" s="897"/>
      <c r="POG107" s="897"/>
      <c r="POH107" s="897"/>
      <c r="POI107" s="897"/>
      <c r="POJ107" s="897"/>
      <c r="POK107" s="897"/>
      <c r="POL107" s="895"/>
      <c r="POM107" s="895"/>
      <c r="PON107" s="896"/>
      <c r="POO107" s="897"/>
      <c r="POP107" s="897"/>
      <c r="POQ107" s="897"/>
      <c r="POR107" s="897"/>
      <c r="POS107" s="897"/>
      <c r="POT107" s="897"/>
      <c r="POU107" s="897"/>
      <c r="POV107" s="897"/>
      <c r="POW107" s="895"/>
      <c r="POX107" s="895"/>
      <c r="POY107" s="896"/>
      <c r="POZ107" s="897"/>
      <c r="PPA107" s="897"/>
      <c r="PPB107" s="897"/>
      <c r="PPC107" s="897"/>
      <c r="PPD107" s="897"/>
      <c r="PPE107" s="897"/>
      <c r="PPF107" s="897"/>
      <c r="PPG107" s="897"/>
      <c r="PPH107" s="895"/>
      <c r="PPI107" s="895"/>
      <c r="PPJ107" s="896"/>
      <c r="PPK107" s="897"/>
      <c r="PPL107" s="897"/>
      <c r="PPM107" s="897"/>
      <c r="PPN107" s="897"/>
      <c r="PPO107" s="897"/>
      <c r="PPP107" s="897"/>
      <c r="PPQ107" s="897"/>
      <c r="PPR107" s="897"/>
      <c r="PPS107" s="895"/>
      <c r="PPT107" s="895"/>
      <c r="PPU107" s="896"/>
      <c r="PPV107" s="897"/>
      <c r="PPW107" s="897"/>
      <c r="PPX107" s="897"/>
      <c r="PPY107" s="897"/>
      <c r="PPZ107" s="897"/>
      <c r="PQA107" s="897"/>
      <c r="PQB107" s="897"/>
      <c r="PQC107" s="897"/>
      <c r="PQD107" s="895"/>
      <c r="PQE107" s="895"/>
      <c r="PQF107" s="896"/>
      <c r="PQG107" s="897"/>
      <c r="PQH107" s="897"/>
      <c r="PQI107" s="897"/>
      <c r="PQJ107" s="897"/>
      <c r="PQK107" s="897"/>
      <c r="PQL107" s="897"/>
      <c r="PQM107" s="897"/>
      <c r="PQN107" s="897"/>
      <c r="PQO107" s="895"/>
      <c r="PQP107" s="895"/>
      <c r="PQQ107" s="896"/>
      <c r="PQR107" s="897"/>
      <c r="PQS107" s="897"/>
      <c r="PQT107" s="897"/>
      <c r="PQU107" s="897"/>
      <c r="PQV107" s="897"/>
      <c r="PQW107" s="897"/>
      <c r="PQX107" s="897"/>
      <c r="PQY107" s="897"/>
      <c r="PQZ107" s="895"/>
      <c r="PRA107" s="895"/>
      <c r="PRB107" s="896"/>
      <c r="PRC107" s="897"/>
      <c r="PRD107" s="897"/>
      <c r="PRE107" s="897"/>
      <c r="PRF107" s="897"/>
      <c r="PRG107" s="897"/>
      <c r="PRH107" s="897"/>
      <c r="PRI107" s="897"/>
      <c r="PRJ107" s="897"/>
      <c r="PRK107" s="895"/>
      <c r="PRL107" s="895"/>
      <c r="PRM107" s="896"/>
      <c r="PRN107" s="897"/>
      <c r="PRO107" s="897"/>
      <c r="PRP107" s="897"/>
      <c r="PRQ107" s="897"/>
      <c r="PRR107" s="897"/>
      <c r="PRS107" s="897"/>
      <c r="PRT107" s="897"/>
      <c r="PRU107" s="897"/>
      <c r="PRV107" s="895"/>
      <c r="PRW107" s="895"/>
      <c r="PRX107" s="896"/>
      <c r="PRY107" s="897"/>
      <c r="PRZ107" s="897"/>
      <c r="PSA107" s="897"/>
      <c r="PSB107" s="897"/>
      <c r="PSC107" s="897"/>
      <c r="PSD107" s="897"/>
      <c r="PSE107" s="897"/>
      <c r="PSF107" s="897"/>
      <c r="PSG107" s="895"/>
      <c r="PSH107" s="895"/>
      <c r="PSI107" s="896"/>
      <c r="PSJ107" s="897"/>
      <c r="PSK107" s="897"/>
      <c r="PSL107" s="897"/>
      <c r="PSM107" s="897"/>
      <c r="PSN107" s="897"/>
      <c r="PSO107" s="897"/>
      <c r="PSP107" s="897"/>
      <c r="PSQ107" s="897"/>
      <c r="PSR107" s="895"/>
      <c r="PSS107" s="895"/>
      <c r="PST107" s="896"/>
      <c r="PSU107" s="897"/>
      <c r="PSV107" s="897"/>
      <c r="PSW107" s="897"/>
      <c r="PSX107" s="897"/>
      <c r="PSY107" s="897"/>
      <c r="PSZ107" s="897"/>
      <c r="PTA107" s="897"/>
      <c r="PTB107" s="897"/>
      <c r="PTC107" s="895"/>
      <c r="PTD107" s="895"/>
      <c r="PTE107" s="896"/>
      <c r="PTF107" s="897"/>
      <c r="PTG107" s="897"/>
      <c r="PTH107" s="897"/>
      <c r="PTI107" s="897"/>
      <c r="PTJ107" s="897"/>
      <c r="PTK107" s="897"/>
      <c r="PTL107" s="897"/>
      <c r="PTM107" s="897"/>
      <c r="PTN107" s="895"/>
      <c r="PTO107" s="895"/>
      <c r="PTP107" s="896"/>
      <c r="PTQ107" s="897"/>
      <c r="PTR107" s="897"/>
      <c r="PTS107" s="897"/>
      <c r="PTT107" s="897"/>
      <c r="PTU107" s="897"/>
      <c r="PTV107" s="897"/>
      <c r="PTW107" s="897"/>
      <c r="PTX107" s="897"/>
      <c r="PTY107" s="895"/>
      <c r="PTZ107" s="895"/>
      <c r="PUA107" s="896"/>
      <c r="PUB107" s="897"/>
      <c r="PUC107" s="897"/>
      <c r="PUD107" s="897"/>
      <c r="PUE107" s="897"/>
      <c r="PUF107" s="897"/>
      <c r="PUG107" s="897"/>
      <c r="PUH107" s="897"/>
      <c r="PUI107" s="897"/>
      <c r="PUJ107" s="895"/>
      <c r="PUK107" s="895"/>
      <c r="PUL107" s="896"/>
      <c r="PUM107" s="897"/>
      <c r="PUN107" s="897"/>
      <c r="PUO107" s="897"/>
      <c r="PUP107" s="897"/>
      <c r="PUQ107" s="897"/>
      <c r="PUR107" s="897"/>
      <c r="PUS107" s="897"/>
      <c r="PUT107" s="897"/>
      <c r="PUU107" s="895"/>
      <c r="PUV107" s="895"/>
      <c r="PUW107" s="896"/>
      <c r="PUX107" s="897"/>
      <c r="PUY107" s="897"/>
      <c r="PUZ107" s="897"/>
      <c r="PVA107" s="897"/>
      <c r="PVB107" s="897"/>
      <c r="PVC107" s="897"/>
      <c r="PVD107" s="897"/>
      <c r="PVE107" s="897"/>
      <c r="PVF107" s="895"/>
      <c r="PVG107" s="895"/>
      <c r="PVH107" s="896"/>
      <c r="PVI107" s="897"/>
      <c r="PVJ107" s="897"/>
      <c r="PVK107" s="897"/>
      <c r="PVL107" s="897"/>
      <c r="PVM107" s="897"/>
      <c r="PVN107" s="897"/>
      <c r="PVO107" s="897"/>
      <c r="PVP107" s="897"/>
      <c r="PVQ107" s="895"/>
      <c r="PVR107" s="895"/>
      <c r="PVS107" s="896"/>
      <c r="PVT107" s="897"/>
      <c r="PVU107" s="897"/>
      <c r="PVV107" s="897"/>
      <c r="PVW107" s="897"/>
      <c r="PVX107" s="897"/>
      <c r="PVY107" s="897"/>
      <c r="PVZ107" s="897"/>
      <c r="PWA107" s="897"/>
      <c r="PWB107" s="895"/>
      <c r="PWC107" s="895"/>
      <c r="PWD107" s="896"/>
      <c r="PWE107" s="897"/>
      <c r="PWF107" s="897"/>
      <c r="PWG107" s="897"/>
      <c r="PWH107" s="897"/>
      <c r="PWI107" s="897"/>
      <c r="PWJ107" s="897"/>
      <c r="PWK107" s="897"/>
      <c r="PWL107" s="897"/>
      <c r="PWM107" s="895"/>
      <c r="PWN107" s="895"/>
      <c r="PWO107" s="896"/>
      <c r="PWP107" s="897"/>
      <c r="PWQ107" s="897"/>
      <c r="PWR107" s="897"/>
      <c r="PWS107" s="897"/>
      <c r="PWT107" s="897"/>
      <c r="PWU107" s="897"/>
      <c r="PWV107" s="897"/>
      <c r="PWW107" s="897"/>
      <c r="PWX107" s="895"/>
      <c r="PWY107" s="895"/>
      <c r="PWZ107" s="896"/>
      <c r="PXA107" s="897"/>
      <c r="PXB107" s="897"/>
      <c r="PXC107" s="897"/>
      <c r="PXD107" s="897"/>
      <c r="PXE107" s="897"/>
      <c r="PXF107" s="897"/>
      <c r="PXG107" s="897"/>
      <c r="PXH107" s="897"/>
      <c r="PXI107" s="895"/>
      <c r="PXJ107" s="895"/>
      <c r="PXK107" s="896"/>
      <c r="PXL107" s="897"/>
      <c r="PXM107" s="897"/>
      <c r="PXN107" s="897"/>
      <c r="PXO107" s="897"/>
      <c r="PXP107" s="897"/>
      <c r="PXQ107" s="897"/>
      <c r="PXR107" s="897"/>
      <c r="PXS107" s="897"/>
      <c r="PXT107" s="895"/>
      <c r="PXU107" s="895"/>
      <c r="PXV107" s="896"/>
      <c r="PXW107" s="897"/>
      <c r="PXX107" s="897"/>
      <c r="PXY107" s="897"/>
      <c r="PXZ107" s="897"/>
      <c r="PYA107" s="897"/>
      <c r="PYB107" s="897"/>
      <c r="PYC107" s="897"/>
      <c r="PYD107" s="897"/>
      <c r="PYE107" s="895"/>
      <c r="PYF107" s="895"/>
      <c r="PYG107" s="896"/>
      <c r="PYH107" s="897"/>
      <c r="PYI107" s="897"/>
      <c r="PYJ107" s="897"/>
      <c r="PYK107" s="897"/>
      <c r="PYL107" s="897"/>
      <c r="PYM107" s="897"/>
      <c r="PYN107" s="897"/>
      <c r="PYO107" s="897"/>
      <c r="PYP107" s="895"/>
      <c r="PYQ107" s="895"/>
      <c r="PYR107" s="896"/>
      <c r="PYS107" s="897"/>
      <c r="PYT107" s="897"/>
      <c r="PYU107" s="897"/>
      <c r="PYV107" s="897"/>
      <c r="PYW107" s="897"/>
      <c r="PYX107" s="897"/>
      <c r="PYY107" s="897"/>
      <c r="PYZ107" s="897"/>
      <c r="PZA107" s="895"/>
      <c r="PZB107" s="895"/>
      <c r="PZC107" s="896"/>
      <c r="PZD107" s="897"/>
      <c r="PZE107" s="897"/>
      <c r="PZF107" s="897"/>
      <c r="PZG107" s="897"/>
      <c r="PZH107" s="897"/>
      <c r="PZI107" s="897"/>
      <c r="PZJ107" s="897"/>
      <c r="PZK107" s="897"/>
      <c r="PZL107" s="895"/>
      <c r="PZM107" s="895"/>
      <c r="PZN107" s="896"/>
      <c r="PZO107" s="897"/>
      <c r="PZP107" s="897"/>
      <c r="PZQ107" s="897"/>
      <c r="PZR107" s="897"/>
      <c r="PZS107" s="897"/>
      <c r="PZT107" s="897"/>
      <c r="PZU107" s="897"/>
      <c r="PZV107" s="897"/>
      <c r="PZW107" s="895"/>
      <c r="PZX107" s="895"/>
      <c r="PZY107" s="896"/>
      <c r="PZZ107" s="897"/>
      <c r="QAA107" s="897"/>
      <c r="QAB107" s="897"/>
      <c r="QAC107" s="897"/>
      <c r="QAD107" s="897"/>
      <c r="QAE107" s="897"/>
      <c r="QAF107" s="897"/>
      <c r="QAG107" s="897"/>
      <c r="QAH107" s="895"/>
      <c r="QAI107" s="895"/>
      <c r="QAJ107" s="896"/>
      <c r="QAK107" s="897"/>
      <c r="QAL107" s="897"/>
      <c r="QAM107" s="897"/>
      <c r="QAN107" s="897"/>
      <c r="QAO107" s="897"/>
      <c r="QAP107" s="897"/>
      <c r="QAQ107" s="897"/>
      <c r="QAR107" s="897"/>
      <c r="QAS107" s="895"/>
      <c r="QAT107" s="895"/>
      <c r="QAU107" s="896"/>
      <c r="QAV107" s="897"/>
      <c r="QAW107" s="897"/>
      <c r="QAX107" s="897"/>
      <c r="QAY107" s="897"/>
      <c r="QAZ107" s="897"/>
      <c r="QBA107" s="897"/>
      <c r="QBB107" s="897"/>
      <c r="QBC107" s="897"/>
      <c r="QBD107" s="895"/>
      <c r="QBE107" s="895"/>
      <c r="QBF107" s="896"/>
      <c r="QBG107" s="897"/>
      <c r="QBH107" s="897"/>
      <c r="QBI107" s="897"/>
      <c r="QBJ107" s="897"/>
      <c r="QBK107" s="897"/>
      <c r="QBL107" s="897"/>
      <c r="QBM107" s="897"/>
      <c r="QBN107" s="897"/>
      <c r="QBO107" s="895"/>
      <c r="QBP107" s="895"/>
      <c r="QBQ107" s="896"/>
      <c r="QBR107" s="897"/>
      <c r="QBS107" s="897"/>
      <c r="QBT107" s="897"/>
      <c r="QBU107" s="897"/>
      <c r="QBV107" s="897"/>
      <c r="QBW107" s="897"/>
      <c r="QBX107" s="897"/>
      <c r="QBY107" s="897"/>
      <c r="QBZ107" s="895"/>
      <c r="QCA107" s="895"/>
      <c r="QCB107" s="896"/>
      <c r="QCC107" s="897"/>
      <c r="QCD107" s="897"/>
      <c r="QCE107" s="897"/>
      <c r="QCF107" s="897"/>
      <c r="QCG107" s="897"/>
      <c r="QCH107" s="897"/>
      <c r="QCI107" s="897"/>
      <c r="QCJ107" s="897"/>
      <c r="QCK107" s="895"/>
      <c r="QCL107" s="895"/>
      <c r="QCM107" s="896"/>
      <c r="QCN107" s="897"/>
      <c r="QCO107" s="897"/>
      <c r="QCP107" s="897"/>
      <c r="QCQ107" s="897"/>
      <c r="QCR107" s="897"/>
      <c r="QCS107" s="897"/>
      <c r="QCT107" s="897"/>
      <c r="QCU107" s="897"/>
      <c r="QCV107" s="895"/>
      <c r="QCW107" s="895"/>
      <c r="QCX107" s="896"/>
      <c r="QCY107" s="897"/>
      <c r="QCZ107" s="897"/>
      <c r="QDA107" s="897"/>
      <c r="QDB107" s="897"/>
      <c r="QDC107" s="897"/>
      <c r="QDD107" s="897"/>
      <c r="QDE107" s="897"/>
      <c r="QDF107" s="897"/>
      <c r="QDG107" s="895"/>
      <c r="QDH107" s="895"/>
      <c r="QDI107" s="896"/>
      <c r="QDJ107" s="897"/>
      <c r="QDK107" s="897"/>
      <c r="QDL107" s="897"/>
      <c r="QDM107" s="897"/>
      <c r="QDN107" s="897"/>
      <c r="QDO107" s="897"/>
      <c r="QDP107" s="897"/>
      <c r="QDQ107" s="897"/>
      <c r="QDR107" s="895"/>
      <c r="QDS107" s="895"/>
      <c r="QDT107" s="896"/>
      <c r="QDU107" s="897"/>
      <c r="QDV107" s="897"/>
      <c r="QDW107" s="897"/>
      <c r="QDX107" s="897"/>
      <c r="QDY107" s="897"/>
      <c r="QDZ107" s="897"/>
      <c r="QEA107" s="897"/>
      <c r="QEB107" s="897"/>
      <c r="QEC107" s="895"/>
      <c r="QED107" s="895"/>
      <c r="QEE107" s="896"/>
      <c r="QEF107" s="897"/>
      <c r="QEG107" s="897"/>
      <c r="QEH107" s="897"/>
      <c r="QEI107" s="897"/>
      <c r="QEJ107" s="897"/>
      <c r="QEK107" s="897"/>
      <c r="QEL107" s="897"/>
      <c r="QEM107" s="897"/>
      <c r="QEN107" s="895"/>
      <c r="QEO107" s="895"/>
      <c r="QEP107" s="896"/>
      <c r="QEQ107" s="897"/>
      <c r="QER107" s="897"/>
      <c r="QES107" s="897"/>
      <c r="QET107" s="897"/>
      <c r="QEU107" s="897"/>
      <c r="QEV107" s="897"/>
      <c r="QEW107" s="897"/>
      <c r="QEX107" s="897"/>
      <c r="QEY107" s="895"/>
      <c r="QEZ107" s="895"/>
      <c r="QFA107" s="896"/>
      <c r="QFB107" s="897"/>
      <c r="QFC107" s="897"/>
      <c r="QFD107" s="897"/>
      <c r="QFE107" s="897"/>
      <c r="QFF107" s="897"/>
      <c r="QFG107" s="897"/>
      <c r="QFH107" s="897"/>
      <c r="QFI107" s="897"/>
      <c r="QFJ107" s="895"/>
      <c r="QFK107" s="895"/>
      <c r="QFL107" s="896"/>
      <c r="QFM107" s="897"/>
      <c r="QFN107" s="897"/>
      <c r="QFO107" s="897"/>
      <c r="QFP107" s="897"/>
      <c r="QFQ107" s="897"/>
      <c r="QFR107" s="897"/>
      <c r="QFS107" s="897"/>
      <c r="QFT107" s="897"/>
      <c r="QFU107" s="895"/>
      <c r="QFV107" s="895"/>
      <c r="QFW107" s="896"/>
      <c r="QFX107" s="897"/>
      <c r="QFY107" s="897"/>
      <c r="QFZ107" s="897"/>
      <c r="QGA107" s="897"/>
      <c r="QGB107" s="897"/>
      <c r="QGC107" s="897"/>
      <c r="QGD107" s="897"/>
      <c r="QGE107" s="897"/>
      <c r="QGF107" s="895"/>
      <c r="QGG107" s="895"/>
      <c r="QGH107" s="896"/>
      <c r="QGI107" s="897"/>
      <c r="QGJ107" s="897"/>
      <c r="QGK107" s="897"/>
      <c r="QGL107" s="897"/>
      <c r="QGM107" s="897"/>
      <c r="QGN107" s="897"/>
      <c r="QGO107" s="897"/>
      <c r="QGP107" s="897"/>
      <c r="QGQ107" s="895"/>
      <c r="QGR107" s="895"/>
      <c r="QGS107" s="896"/>
      <c r="QGT107" s="897"/>
      <c r="QGU107" s="897"/>
      <c r="QGV107" s="897"/>
      <c r="QGW107" s="897"/>
      <c r="QGX107" s="897"/>
      <c r="QGY107" s="897"/>
      <c r="QGZ107" s="897"/>
      <c r="QHA107" s="897"/>
      <c r="QHB107" s="895"/>
      <c r="QHC107" s="895"/>
      <c r="QHD107" s="896"/>
      <c r="QHE107" s="897"/>
      <c r="QHF107" s="897"/>
      <c r="QHG107" s="897"/>
      <c r="QHH107" s="897"/>
      <c r="QHI107" s="897"/>
      <c r="QHJ107" s="897"/>
      <c r="QHK107" s="897"/>
      <c r="QHL107" s="897"/>
      <c r="QHM107" s="895"/>
      <c r="QHN107" s="895"/>
      <c r="QHO107" s="896"/>
      <c r="QHP107" s="897"/>
      <c r="QHQ107" s="897"/>
      <c r="QHR107" s="897"/>
      <c r="QHS107" s="897"/>
      <c r="QHT107" s="897"/>
      <c r="QHU107" s="897"/>
      <c r="QHV107" s="897"/>
      <c r="QHW107" s="897"/>
      <c r="QHX107" s="895"/>
      <c r="QHY107" s="895"/>
      <c r="QHZ107" s="896"/>
      <c r="QIA107" s="897"/>
      <c r="QIB107" s="897"/>
      <c r="QIC107" s="897"/>
      <c r="QID107" s="897"/>
      <c r="QIE107" s="897"/>
      <c r="QIF107" s="897"/>
      <c r="QIG107" s="897"/>
      <c r="QIH107" s="897"/>
      <c r="QII107" s="895"/>
      <c r="QIJ107" s="895"/>
      <c r="QIK107" s="896"/>
      <c r="QIL107" s="897"/>
      <c r="QIM107" s="897"/>
      <c r="QIN107" s="897"/>
      <c r="QIO107" s="897"/>
      <c r="QIP107" s="897"/>
      <c r="QIQ107" s="897"/>
      <c r="QIR107" s="897"/>
      <c r="QIS107" s="897"/>
      <c r="QIT107" s="895"/>
      <c r="QIU107" s="895"/>
      <c r="QIV107" s="896"/>
      <c r="QIW107" s="897"/>
      <c r="QIX107" s="897"/>
      <c r="QIY107" s="897"/>
      <c r="QIZ107" s="897"/>
      <c r="QJA107" s="897"/>
      <c r="QJB107" s="897"/>
      <c r="QJC107" s="897"/>
      <c r="QJD107" s="897"/>
      <c r="QJE107" s="895"/>
      <c r="QJF107" s="895"/>
      <c r="QJG107" s="896"/>
      <c r="QJH107" s="897"/>
      <c r="QJI107" s="897"/>
      <c r="QJJ107" s="897"/>
      <c r="QJK107" s="897"/>
      <c r="QJL107" s="897"/>
      <c r="QJM107" s="897"/>
      <c r="QJN107" s="897"/>
      <c r="QJO107" s="897"/>
      <c r="QJP107" s="895"/>
      <c r="QJQ107" s="895"/>
      <c r="QJR107" s="896"/>
      <c r="QJS107" s="897"/>
      <c r="QJT107" s="897"/>
      <c r="QJU107" s="897"/>
      <c r="QJV107" s="897"/>
      <c r="QJW107" s="897"/>
      <c r="QJX107" s="897"/>
      <c r="QJY107" s="897"/>
      <c r="QJZ107" s="897"/>
      <c r="QKA107" s="895"/>
      <c r="QKB107" s="895"/>
      <c r="QKC107" s="896"/>
      <c r="QKD107" s="897"/>
      <c r="QKE107" s="897"/>
      <c r="QKF107" s="897"/>
      <c r="QKG107" s="897"/>
      <c r="QKH107" s="897"/>
      <c r="QKI107" s="897"/>
      <c r="QKJ107" s="897"/>
      <c r="QKK107" s="897"/>
      <c r="QKL107" s="895"/>
      <c r="QKM107" s="895"/>
      <c r="QKN107" s="896"/>
      <c r="QKO107" s="897"/>
      <c r="QKP107" s="897"/>
      <c r="QKQ107" s="897"/>
      <c r="QKR107" s="897"/>
      <c r="QKS107" s="897"/>
      <c r="QKT107" s="897"/>
      <c r="QKU107" s="897"/>
      <c r="QKV107" s="897"/>
      <c r="QKW107" s="895"/>
      <c r="QKX107" s="895"/>
      <c r="QKY107" s="896"/>
      <c r="QKZ107" s="897"/>
      <c r="QLA107" s="897"/>
      <c r="QLB107" s="897"/>
      <c r="QLC107" s="897"/>
      <c r="QLD107" s="897"/>
      <c r="QLE107" s="897"/>
      <c r="QLF107" s="897"/>
      <c r="QLG107" s="897"/>
      <c r="QLH107" s="895"/>
      <c r="QLI107" s="895"/>
      <c r="QLJ107" s="896"/>
      <c r="QLK107" s="897"/>
      <c r="QLL107" s="897"/>
      <c r="QLM107" s="897"/>
      <c r="QLN107" s="897"/>
      <c r="QLO107" s="897"/>
      <c r="QLP107" s="897"/>
      <c r="QLQ107" s="897"/>
      <c r="QLR107" s="897"/>
      <c r="QLS107" s="895"/>
      <c r="QLT107" s="895"/>
      <c r="QLU107" s="896"/>
      <c r="QLV107" s="897"/>
      <c r="QLW107" s="897"/>
      <c r="QLX107" s="897"/>
      <c r="QLY107" s="897"/>
      <c r="QLZ107" s="897"/>
      <c r="QMA107" s="897"/>
      <c r="QMB107" s="897"/>
      <c r="QMC107" s="897"/>
      <c r="QMD107" s="895"/>
      <c r="QME107" s="895"/>
      <c r="QMF107" s="896"/>
      <c r="QMG107" s="897"/>
      <c r="QMH107" s="897"/>
      <c r="QMI107" s="897"/>
      <c r="QMJ107" s="897"/>
      <c r="QMK107" s="897"/>
      <c r="QML107" s="897"/>
      <c r="QMM107" s="897"/>
      <c r="QMN107" s="897"/>
      <c r="QMO107" s="895"/>
      <c r="QMP107" s="895"/>
      <c r="QMQ107" s="896"/>
      <c r="QMR107" s="897"/>
      <c r="QMS107" s="897"/>
      <c r="QMT107" s="897"/>
      <c r="QMU107" s="897"/>
      <c r="QMV107" s="897"/>
      <c r="QMW107" s="897"/>
      <c r="QMX107" s="897"/>
      <c r="QMY107" s="897"/>
      <c r="QMZ107" s="895"/>
      <c r="QNA107" s="895"/>
      <c r="QNB107" s="896"/>
      <c r="QNC107" s="897"/>
      <c r="QND107" s="897"/>
      <c r="QNE107" s="897"/>
      <c r="QNF107" s="897"/>
      <c r="QNG107" s="897"/>
      <c r="QNH107" s="897"/>
      <c r="QNI107" s="897"/>
      <c r="QNJ107" s="897"/>
      <c r="QNK107" s="895"/>
      <c r="QNL107" s="895"/>
      <c r="QNM107" s="896"/>
      <c r="QNN107" s="897"/>
      <c r="QNO107" s="897"/>
      <c r="QNP107" s="897"/>
      <c r="QNQ107" s="897"/>
      <c r="QNR107" s="897"/>
      <c r="QNS107" s="897"/>
      <c r="QNT107" s="897"/>
      <c r="QNU107" s="897"/>
      <c r="QNV107" s="895"/>
      <c r="QNW107" s="895"/>
      <c r="QNX107" s="896"/>
      <c r="QNY107" s="897"/>
      <c r="QNZ107" s="897"/>
      <c r="QOA107" s="897"/>
      <c r="QOB107" s="897"/>
      <c r="QOC107" s="897"/>
      <c r="QOD107" s="897"/>
      <c r="QOE107" s="897"/>
      <c r="QOF107" s="897"/>
      <c r="QOG107" s="895"/>
      <c r="QOH107" s="895"/>
      <c r="QOI107" s="896"/>
      <c r="QOJ107" s="897"/>
      <c r="QOK107" s="897"/>
      <c r="QOL107" s="897"/>
      <c r="QOM107" s="897"/>
      <c r="QON107" s="897"/>
      <c r="QOO107" s="897"/>
      <c r="QOP107" s="897"/>
      <c r="QOQ107" s="897"/>
      <c r="QOR107" s="895"/>
      <c r="QOS107" s="895"/>
      <c r="QOT107" s="896"/>
      <c r="QOU107" s="897"/>
      <c r="QOV107" s="897"/>
      <c r="QOW107" s="897"/>
      <c r="QOX107" s="897"/>
      <c r="QOY107" s="897"/>
      <c r="QOZ107" s="897"/>
      <c r="QPA107" s="897"/>
      <c r="QPB107" s="897"/>
      <c r="QPC107" s="895"/>
      <c r="QPD107" s="895"/>
      <c r="QPE107" s="896"/>
      <c r="QPF107" s="897"/>
      <c r="QPG107" s="897"/>
      <c r="QPH107" s="897"/>
      <c r="QPI107" s="897"/>
      <c r="QPJ107" s="897"/>
      <c r="QPK107" s="897"/>
      <c r="QPL107" s="897"/>
      <c r="QPM107" s="897"/>
      <c r="QPN107" s="895"/>
      <c r="QPO107" s="895"/>
      <c r="QPP107" s="896"/>
      <c r="QPQ107" s="897"/>
      <c r="QPR107" s="897"/>
      <c r="QPS107" s="897"/>
      <c r="QPT107" s="897"/>
      <c r="QPU107" s="897"/>
      <c r="QPV107" s="897"/>
      <c r="QPW107" s="897"/>
      <c r="QPX107" s="897"/>
      <c r="QPY107" s="895"/>
      <c r="QPZ107" s="895"/>
      <c r="QQA107" s="896"/>
      <c r="QQB107" s="897"/>
      <c r="QQC107" s="897"/>
      <c r="QQD107" s="897"/>
      <c r="QQE107" s="897"/>
      <c r="QQF107" s="897"/>
      <c r="QQG107" s="897"/>
      <c r="QQH107" s="897"/>
      <c r="QQI107" s="897"/>
      <c r="QQJ107" s="895"/>
      <c r="QQK107" s="895"/>
      <c r="QQL107" s="896"/>
      <c r="QQM107" s="897"/>
      <c r="QQN107" s="897"/>
      <c r="QQO107" s="897"/>
      <c r="QQP107" s="897"/>
      <c r="QQQ107" s="897"/>
      <c r="QQR107" s="897"/>
      <c r="QQS107" s="897"/>
      <c r="QQT107" s="897"/>
      <c r="QQU107" s="895"/>
      <c r="QQV107" s="895"/>
      <c r="QQW107" s="896"/>
      <c r="QQX107" s="897"/>
      <c r="QQY107" s="897"/>
      <c r="QQZ107" s="897"/>
      <c r="QRA107" s="897"/>
      <c r="QRB107" s="897"/>
      <c r="QRC107" s="897"/>
      <c r="QRD107" s="897"/>
      <c r="QRE107" s="897"/>
      <c r="QRF107" s="895"/>
      <c r="QRG107" s="895"/>
      <c r="QRH107" s="896"/>
      <c r="QRI107" s="897"/>
      <c r="QRJ107" s="897"/>
      <c r="QRK107" s="897"/>
      <c r="QRL107" s="897"/>
      <c r="QRM107" s="897"/>
      <c r="QRN107" s="897"/>
      <c r="QRO107" s="897"/>
      <c r="QRP107" s="897"/>
      <c r="QRQ107" s="895"/>
      <c r="QRR107" s="895"/>
      <c r="QRS107" s="896"/>
      <c r="QRT107" s="897"/>
      <c r="QRU107" s="897"/>
      <c r="QRV107" s="897"/>
      <c r="QRW107" s="897"/>
      <c r="QRX107" s="897"/>
      <c r="QRY107" s="897"/>
      <c r="QRZ107" s="897"/>
      <c r="QSA107" s="897"/>
      <c r="QSB107" s="895"/>
      <c r="QSC107" s="895"/>
      <c r="QSD107" s="896"/>
      <c r="QSE107" s="897"/>
      <c r="QSF107" s="897"/>
      <c r="QSG107" s="897"/>
      <c r="QSH107" s="897"/>
      <c r="QSI107" s="897"/>
      <c r="QSJ107" s="897"/>
      <c r="QSK107" s="897"/>
      <c r="QSL107" s="897"/>
      <c r="QSM107" s="895"/>
      <c r="QSN107" s="895"/>
      <c r="QSO107" s="896"/>
      <c r="QSP107" s="897"/>
      <c r="QSQ107" s="897"/>
      <c r="QSR107" s="897"/>
      <c r="QSS107" s="897"/>
      <c r="QST107" s="897"/>
      <c r="QSU107" s="897"/>
      <c r="QSV107" s="897"/>
      <c r="QSW107" s="897"/>
      <c r="QSX107" s="895"/>
      <c r="QSY107" s="895"/>
      <c r="QSZ107" s="896"/>
      <c r="QTA107" s="897"/>
      <c r="QTB107" s="897"/>
      <c r="QTC107" s="897"/>
      <c r="QTD107" s="897"/>
      <c r="QTE107" s="897"/>
      <c r="QTF107" s="897"/>
      <c r="QTG107" s="897"/>
      <c r="QTH107" s="897"/>
      <c r="QTI107" s="895"/>
      <c r="QTJ107" s="895"/>
      <c r="QTK107" s="896"/>
      <c r="QTL107" s="897"/>
      <c r="QTM107" s="897"/>
      <c r="QTN107" s="897"/>
      <c r="QTO107" s="897"/>
      <c r="QTP107" s="897"/>
      <c r="QTQ107" s="897"/>
      <c r="QTR107" s="897"/>
      <c r="QTS107" s="897"/>
      <c r="QTT107" s="895"/>
      <c r="QTU107" s="895"/>
      <c r="QTV107" s="896"/>
      <c r="QTW107" s="897"/>
      <c r="QTX107" s="897"/>
      <c r="QTY107" s="897"/>
      <c r="QTZ107" s="897"/>
      <c r="QUA107" s="897"/>
      <c r="QUB107" s="897"/>
      <c r="QUC107" s="897"/>
      <c r="QUD107" s="897"/>
      <c r="QUE107" s="895"/>
      <c r="QUF107" s="895"/>
      <c r="QUG107" s="896"/>
      <c r="QUH107" s="897"/>
      <c r="QUI107" s="897"/>
      <c r="QUJ107" s="897"/>
      <c r="QUK107" s="897"/>
      <c r="QUL107" s="897"/>
      <c r="QUM107" s="897"/>
      <c r="QUN107" s="897"/>
      <c r="QUO107" s="897"/>
      <c r="QUP107" s="895"/>
      <c r="QUQ107" s="895"/>
      <c r="QUR107" s="896"/>
      <c r="QUS107" s="897"/>
      <c r="QUT107" s="897"/>
      <c r="QUU107" s="897"/>
      <c r="QUV107" s="897"/>
      <c r="QUW107" s="897"/>
      <c r="QUX107" s="897"/>
      <c r="QUY107" s="897"/>
      <c r="QUZ107" s="897"/>
      <c r="QVA107" s="895"/>
      <c r="QVB107" s="895"/>
      <c r="QVC107" s="896"/>
      <c r="QVD107" s="897"/>
      <c r="QVE107" s="897"/>
      <c r="QVF107" s="897"/>
      <c r="QVG107" s="897"/>
      <c r="QVH107" s="897"/>
      <c r="QVI107" s="897"/>
      <c r="QVJ107" s="897"/>
      <c r="QVK107" s="897"/>
      <c r="QVL107" s="895"/>
      <c r="QVM107" s="895"/>
      <c r="QVN107" s="896"/>
      <c r="QVO107" s="897"/>
      <c r="QVP107" s="897"/>
      <c r="QVQ107" s="897"/>
      <c r="QVR107" s="897"/>
      <c r="QVS107" s="897"/>
      <c r="QVT107" s="897"/>
      <c r="QVU107" s="897"/>
      <c r="QVV107" s="897"/>
      <c r="QVW107" s="895"/>
      <c r="QVX107" s="895"/>
      <c r="QVY107" s="896"/>
      <c r="QVZ107" s="897"/>
      <c r="QWA107" s="897"/>
      <c r="QWB107" s="897"/>
      <c r="QWC107" s="897"/>
      <c r="QWD107" s="897"/>
      <c r="QWE107" s="897"/>
      <c r="QWF107" s="897"/>
      <c r="QWG107" s="897"/>
      <c r="QWH107" s="895"/>
      <c r="QWI107" s="895"/>
      <c r="QWJ107" s="896"/>
      <c r="QWK107" s="897"/>
      <c r="QWL107" s="897"/>
      <c r="QWM107" s="897"/>
      <c r="QWN107" s="897"/>
      <c r="QWO107" s="897"/>
      <c r="QWP107" s="897"/>
      <c r="QWQ107" s="897"/>
      <c r="QWR107" s="897"/>
      <c r="QWS107" s="895"/>
      <c r="QWT107" s="895"/>
      <c r="QWU107" s="896"/>
      <c r="QWV107" s="897"/>
      <c r="QWW107" s="897"/>
      <c r="QWX107" s="897"/>
      <c r="QWY107" s="897"/>
      <c r="QWZ107" s="897"/>
      <c r="QXA107" s="897"/>
      <c r="QXB107" s="897"/>
      <c r="QXC107" s="897"/>
      <c r="QXD107" s="895"/>
      <c r="QXE107" s="895"/>
      <c r="QXF107" s="896"/>
      <c r="QXG107" s="897"/>
      <c r="QXH107" s="897"/>
      <c r="QXI107" s="897"/>
      <c r="QXJ107" s="897"/>
      <c r="QXK107" s="897"/>
      <c r="QXL107" s="897"/>
      <c r="QXM107" s="897"/>
      <c r="QXN107" s="897"/>
      <c r="QXO107" s="895"/>
      <c r="QXP107" s="895"/>
      <c r="QXQ107" s="896"/>
      <c r="QXR107" s="897"/>
      <c r="QXS107" s="897"/>
      <c r="QXT107" s="897"/>
      <c r="QXU107" s="897"/>
      <c r="QXV107" s="897"/>
      <c r="QXW107" s="897"/>
      <c r="QXX107" s="897"/>
      <c r="QXY107" s="897"/>
      <c r="QXZ107" s="895"/>
      <c r="QYA107" s="895"/>
      <c r="QYB107" s="896"/>
      <c r="QYC107" s="897"/>
      <c r="QYD107" s="897"/>
      <c r="QYE107" s="897"/>
      <c r="QYF107" s="897"/>
      <c r="QYG107" s="897"/>
      <c r="QYH107" s="897"/>
      <c r="QYI107" s="897"/>
      <c r="QYJ107" s="897"/>
      <c r="QYK107" s="895"/>
      <c r="QYL107" s="895"/>
      <c r="QYM107" s="896"/>
      <c r="QYN107" s="897"/>
      <c r="QYO107" s="897"/>
      <c r="QYP107" s="897"/>
      <c r="QYQ107" s="897"/>
      <c r="QYR107" s="897"/>
      <c r="QYS107" s="897"/>
      <c r="QYT107" s="897"/>
      <c r="QYU107" s="897"/>
      <c r="QYV107" s="895"/>
      <c r="QYW107" s="895"/>
      <c r="QYX107" s="896"/>
      <c r="QYY107" s="897"/>
      <c r="QYZ107" s="897"/>
      <c r="QZA107" s="897"/>
      <c r="QZB107" s="897"/>
      <c r="QZC107" s="897"/>
      <c r="QZD107" s="897"/>
      <c r="QZE107" s="897"/>
      <c r="QZF107" s="897"/>
      <c r="QZG107" s="895"/>
      <c r="QZH107" s="895"/>
      <c r="QZI107" s="896"/>
      <c r="QZJ107" s="897"/>
      <c r="QZK107" s="897"/>
      <c r="QZL107" s="897"/>
      <c r="QZM107" s="897"/>
      <c r="QZN107" s="897"/>
      <c r="QZO107" s="897"/>
      <c r="QZP107" s="897"/>
      <c r="QZQ107" s="897"/>
      <c r="QZR107" s="895"/>
      <c r="QZS107" s="895"/>
      <c r="QZT107" s="896"/>
      <c r="QZU107" s="897"/>
      <c r="QZV107" s="897"/>
      <c r="QZW107" s="897"/>
      <c r="QZX107" s="897"/>
      <c r="QZY107" s="897"/>
      <c r="QZZ107" s="897"/>
      <c r="RAA107" s="897"/>
      <c r="RAB107" s="897"/>
      <c r="RAC107" s="895"/>
      <c r="RAD107" s="895"/>
      <c r="RAE107" s="896"/>
      <c r="RAF107" s="897"/>
      <c r="RAG107" s="897"/>
      <c r="RAH107" s="897"/>
      <c r="RAI107" s="897"/>
      <c r="RAJ107" s="897"/>
      <c r="RAK107" s="897"/>
      <c r="RAL107" s="897"/>
      <c r="RAM107" s="897"/>
      <c r="RAN107" s="895"/>
      <c r="RAO107" s="895"/>
      <c r="RAP107" s="896"/>
      <c r="RAQ107" s="897"/>
      <c r="RAR107" s="897"/>
      <c r="RAS107" s="897"/>
      <c r="RAT107" s="897"/>
      <c r="RAU107" s="897"/>
      <c r="RAV107" s="897"/>
      <c r="RAW107" s="897"/>
      <c r="RAX107" s="897"/>
      <c r="RAY107" s="895"/>
      <c r="RAZ107" s="895"/>
      <c r="RBA107" s="896"/>
      <c r="RBB107" s="897"/>
      <c r="RBC107" s="897"/>
      <c r="RBD107" s="897"/>
      <c r="RBE107" s="897"/>
      <c r="RBF107" s="897"/>
      <c r="RBG107" s="897"/>
      <c r="RBH107" s="897"/>
      <c r="RBI107" s="897"/>
      <c r="RBJ107" s="895"/>
      <c r="RBK107" s="895"/>
      <c r="RBL107" s="896"/>
      <c r="RBM107" s="897"/>
      <c r="RBN107" s="897"/>
      <c r="RBO107" s="897"/>
      <c r="RBP107" s="897"/>
      <c r="RBQ107" s="897"/>
      <c r="RBR107" s="897"/>
      <c r="RBS107" s="897"/>
      <c r="RBT107" s="897"/>
      <c r="RBU107" s="895"/>
      <c r="RBV107" s="895"/>
      <c r="RBW107" s="896"/>
      <c r="RBX107" s="897"/>
      <c r="RBY107" s="897"/>
      <c r="RBZ107" s="897"/>
      <c r="RCA107" s="897"/>
      <c r="RCB107" s="897"/>
      <c r="RCC107" s="897"/>
      <c r="RCD107" s="897"/>
      <c r="RCE107" s="897"/>
      <c r="RCF107" s="895"/>
      <c r="RCG107" s="895"/>
      <c r="RCH107" s="896"/>
      <c r="RCI107" s="897"/>
      <c r="RCJ107" s="897"/>
      <c r="RCK107" s="897"/>
      <c r="RCL107" s="897"/>
      <c r="RCM107" s="897"/>
      <c r="RCN107" s="897"/>
      <c r="RCO107" s="897"/>
      <c r="RCP107" s="897"/>
      <c r="RCQ107" s="895"/>
      <c r="RCR107" s="895"/>
      <c r="RCS107" s="896"/>
      <c r="RCT107" s="897"/>
      <c r="RCU107" s="897"/>
      <c r="RCV107" s="897"/>
      <c r="RCW107" s="897"/>
      <c r="RCX107" s="897"/>
      <c r="RCY107" s="897"/>
      <c r="RCZ107" s="897"/>
      <c r="RDA107" s="897"/>
      <c r="RDB107" s="895"/>
      <c r="RDC107" s="895"/>
      <c r="RDD107" s="896"/>
      <c r="RDE107" s="897"/>
      <c r="RDF107" s="897"/>
      <c r="RDG107" s="897"/>
      <c r="RDH107" s="897"/>
      <c r="RDI107" s="897"/>
      <c r="RDJ107" s="897"/>
      <c r="RDK107" s="897"/>
      <c r="RDL107" s="897"/>
      <c r="RDM107" s="895"/>
      <c r="RDN107" s="895"/>
      <c r="RDO107" s="896"/>
      <c r="RDP107" s="897"/>
      <c r="RDQ107" s="897"/>
      <c r="RDR107" s="897"/>
      <c r="RDS107" s="897"/>
      <c r="RDT107" s="897"/>
      <c r="RDU107" s="897"/>
      <c r="RDV107" s="897"/>
      <c r="RDW107" s="897"/>
      <c r="RDX107" s="895"/>
      <c r="RDY107" s="895"/>
      <c r="RDZ107" s="896"/>
      <c r="REA107" s="897"/>
      <c r="REB107" s="897"/>
      <c r="REC107" s="897"/>
      <c r="RED107" s="897"/>
      <c r="REE107" s="897"/>
      <c r="REF107" s="897"/>
      <c r="REG107" s="897"/>
      <c r="REH107" s="897"/>
      <c r="REI107" s="895"/>
      <c r="REJ107" s="895"/>
      <c r="REK107" s="896"/>
      <c r="REL107" s="897"/>
      <c r="REM107" s="897"/>
      <c r="REN107" s="897"/>
      <c r="REO107" s="897"/>
      <c r="REP107" s="897"/>
      <c r="REQ107" s="897"/>
      <c r="RER107" s="897"/>
      <c r="RES107" s="897"/>
      <c r="RET107" s="895"/>
      <c r="REU107" s="895"/>
      <c r="REV107" s="896"/>
      <c r="REW107" s="897"/>
      <c r="REX107" s="897"/>
      <c r="REY107" s="897"/>
      <c r="REZ107" s="897"/>
      <c r="RFA107" s="897"/>
      <c r="RFB107" s="897"/>
      <c r="RFC107" s="897"/>
      <c r="RFD107" s="897"/>
      <c r="RFE107" s="895"/>
      <c r="RFF107" s="895"/>
      <c r="RFG107" s="896"/>
      <c r="RFH107" s="897"/>
      <c r="RFI107" s="897"/>
      <c r="RFJ107" s="897"/>
      <c r="RFK107" s="897"/>
      <c r="RFL107" s="897"/>
      <c r="RFM107" s="897"/>
      <c r="RFN107" s="897"/>
      <c r="RFO107" s="897"/>
      <c r="RFP107" s="895"/>
      <c r="RFQ107" s="895"/>
      <c r="RFR107" s="896"/>
      <c r="RFS107" s="897"/>
      <c r="RFT107" s="897"/>
      <c r="RFU107" s="897"/>
      <c r="RFV107" s="897"/>
      <c r="RFW107" s="897"/>
      <c r="RFX107" s="897"/>
      <c r="RFY107" s="897"/>
      <c r="RFZ107" s="897"/>
      <c r="RGA107" s="895"/>
      <c r="RGB107" s="895"/>
      <c r="RGC107" s="896"/>
      <c r="RGD107" s="897"/>
      <c r="RGE107" s="897"/>
      <c r="RGF107" s="897"/>
      <c r="RGG107" s="897"/>
      <c r="RGH107" s="897"/>
      <c r="RGI107" s="897"/>
      <c r="RGJ107" s="897"/>
      <c r="RGK107" s="897"/>
      <c r="RGL107" s="895"/>
      <c r="RGM107" s="895"/>
      <c r="RGN107" s="896"/>
      <c r="RGO107" s="897"/>
      <c r="RGP107" s="897"/>
      <c r="RGQ107" s="897"/>
      <c r="RGR107" s="897"/>
      <c r="RGS107" s="897"/>
      <c r="RGT107" s="897"/>
      <c r="RGU107" s="897"/>
      <c r="RGV107" s="897"/>
      <c r="RGW107" s="895"/>
      <c r="RGX107" s="895"/>
      <c r="RGY107" s="896"/>
      <c r="RGZ107" s="897"/>
      <c r="RHA107" s="897"/>
      <c r="RHB107" s="897"/>
      <c r="RHC107" s="897"/>
      <c r="RHD107" s="897"/>
      <c r="RHE107" s="897"/>
      <c r="RHF107" s="897"/>
      <c r="RHG107" s="897"/>
      <c r="RHH107" s="895"/>
      <c r="RHI107" s="895"/>
      <c r="RHJ107" s="896"/>
      <c r="RHK107" s="897"/>
      <c r="RHL107" s="897"/>
      <c r="RHM107" s="897"/>
      <c r="RHN107" s="897"/>
      <c r="RHO107" s="897"/>
      <c r="RHP107" s="897"/>
      <c r="RHQ107" s="897"/>
      <c r="RHR107" s="897"/>
      <c r="RHS107" s="895"/>
      <c r="RHT107" s="895"/>
      <c r="RHU107" s="896"/>
      <c r="RHV107" s="897"/>
      <c r="RHW107" s="897"/>
      <c r="RHX107" s="897"/>
      <c r="RHY107" s="897"/>
      <c r="RHZ107" s="897"/>
      <c r="RIA107" s="897"/>
      <c r="RIB107" s="897"/>
      <c r="RIC107" s="897"/>
      <c r="RID107" s="895"/>
      <c r="RIE107" s="895"/>
      <c r="RIF107" s="896"/>
      <c r="RIG107" s="897"/>
      <c r="RIH107" s="897"/>
      <c r="RII107" s="897"/>
      <c r="RIJ107" s="897"/>
      <c r="RIK107" s="897"/>
      <c r="RIL107" s="897"/>
      <c r="RIM107" s="897"/>
      <c r="RIN107" s="897"/>
      <c r="RIO107" s="895"/>
      <c r="RIP107" s="895"/>
      <c r="RIQ107" s="896"/>
      <c r="RIR107" s="897"/>
      <c r="RIS107" s="897"/>
      <c r="RIT107" s="897"/>
      <c r="RIU107" s="897"/>
      <c r="RIV107" s="897"/>
      <c r="RIW107" s="897"/>
      <c r="RIX107" s="897"/>
      <c r="RIY107" s="897"/>
      <c r="RIZ107" s="895"/>
      <c r="RJA107" s="895"/>
      <c r="RJB107" s="896"/>
      <c r="RJC107" s="897"/>
      <c r="RJD107" s="897"/>
      <c r="RJE107" s="897"/>
      <c r="RJF107" s="897"/>
      <c r="RJG107" s="897"/>
      <c r="RJH107" s="897"/>
      <c r="RJI107" s="897"/>
      <c r="RJJ107" s="897"/>
      <c r="RJK107" s="895"/>
      <c r="RJL107" s="895"/>
      <c r="RJM107" s="896"/>
      <c r="RJN107" s="897"/>
      <c r="RJO107" s="897"/>
      <c r="RJP107" s="897"/>
      <c r="RJQ107" s="897"/>
      <c r="RJR107" s="897"/>
      <c r="RJS107" s="897"/>
      <c r="RJT107" s="897"/>
      <c r="RJU107" s="897"/>
      <c r="RJV107" s="895"/>
      <c r="RJW107" s="895"/>
      <c r="RJX107" s="896"/>
      <c r="RJY107" s="897"/>
      <c r="RJZ107" s="897"/>
      <c r="RKA107" s="897"/>
      <c r="RKB107" s="897"/>
      <c r="RKC107" s="897"/>
      <c r="RKD107" s="897"/>
      <c r="RKE107" s="897"/>
      <c r="RKF107" s="897"/>
      <c r="RKG107" s="895"/>
      <c r="RKH107" s="895"/>
      <c r="RKI107" s="896"/>
      <c r="RKJ107" s="897"/>
      <c r="RKK107" s="897"/>
      <c r="RKL107" s="897"/>
      <c r="RKM107" s="897"/>
      <c r="RKN107" s="897"/>
      <c r="RKO107" s="897"/>
      <c r="RKP107" s="897"/>
      <c r="RKQ107" s="897"/>
      <c r="RKR107" s="895"/>
      <c r="RKS107" s="895"/>
      <c r="RKT107" s="896"/>
      <c r="RKU107" s="897"/>
      <c r="RKV107" s="897"/>
      <c r="RKW107" s="897"/>
      <c r="RKX107" s="897"/>
      <c r="RKY107" s="897"/>
      <c r="RKZ107" s="897"/>
      <c r="RLA107" s="897"/>
      <c r="RLB107" s="897"/>
      <c r="RLC107" s="895"/>
      <c r="RLD107" s="895"/>
      <c r="RLE107" s="896"/>
      <c r="RLF107" s="897"/>
      <c r="RLG107" s="897"/>
      <c r="RLH107" s="897"/>
      <c r="RLI107" s="897"/>
      <c r="RLJ107" s="897"/>
      <c r="RLK107" s="897"/>
      <c r="RLL107" s="897"/>
      <c r="RLM107" s="897"/>
      <c r="RLN107" s="895"/>
      <c r="RLO107" s="895"/>
      <c r="RLP107" s="896"/>
      <c r="RLQ107" s="897"/>
      <c r="RLR107" s="897"/>
      <c r="RLS107" s="897"/>
      <c r="RLT107" s="897"/>
      <c r="RLU107" s="897"/>
      <c r="RLV107" s="897"/>
      <c r="RLW107" s="897"/>
      <c r="RLX107" s="897"/>
      <c r="RLY107" s="895"/>
      <c r="RLZ107" s="895"/>
      <c r="RMA107" s="896"/>
      <c r="RMB107" s="897"/>
      <c r="RMC107" s="897"/>
      <c r="RMD107" s="897"/>
      <c r="RME107" s="897"/>
      <c r="RMF107" s="897"/>
      <c r="RMG107" s="897"/>
      <c r="RMH107" s="897"/>
      <c r="RMI107" s="897"/>
      <c r="RMJ107" s="895"/>
      <c r="RMK107" s="895"/>
      <c r="RML107" s="896"/>
      <c r="RMM107" s="897"/>
      <c r="RMN107" s="897"/>
      <c r="RMO107" s="897"/>
      <c r="RMP107" s="897"/>
      <c r="RMQ107" s="897"/>
      <c r="RMR107" s="897"/>
      <c r="RMS107" s="897"/>
      <c r="RMT107" s="897"/>
      <c r="RMU107" s="895"/>
      <c r="RMV107" s="895"/>
      <c r="RMW107" s="896"/>
      <c r="RMX107" s="897"/>
      <c r="RMY107" s="897"/>
      <c r="RMZ107" s="897"/>
      <c r="RNA107" s="897"/>
      <c r="RNB107" s="897"/>
      <c r="RNC107" s="897"/>
      <c r="RND107" s="897"/>
      <c r="RNE107" s="897"/>
      <c r="RNF107" s="895"/>
      <c r="RNG107" s="895"/>
      <c r="RNH107" s="896"/>
      <c r="RNI107" s="897"/>
      <c r="RNJ107" s="897"/>
      <c r="RNK107" s="897"/>
      <c r="RNL107" s="897"/>
      <c r="RNM107" s="897"/>
      <c r="RNN107" s="897"/>
      <c r="RNO107" s="897"/>
      <c r="RNP107" s="897"/>
      <c r="RNQ107" s="895"/>
      <c r="RNR107" s="895"/>
      <c r="RNS107" s="896"/>
      <c r="RNT107" s="897"/>
      <c r="RNU107" s="897"/>
      <c r="RNV107" s="897"/>
      <c r="RNW107" s="897"/>
      <c r="RNX107" s="897"/>
      <c r="RNY107" s="897"/>
      <c r="RNZ107" s="897"/>
      <c r="ROA107" s="897"/>
      <c r="ROB107" s="895"/>
      <c r="ROC107" s="895"/>
      <c r="ROD107" s="896"/>
      <c r="ROE107" s="897"/>
      <c r="ROF107" s="897"/>
      <c r="ROG107" s="897"/>
      <c r="ROH107" s="897"/>
      <c r="ROI107" s="897"/>
      <c r="ROJ107" s="897"/>
      <c r="ROK107" s="897"/>
      <c r="ROL107" s="897"/>
      <c r="ROM107" s="895"/>
      <c r="RON107" s="895"/>
      <c r="ROO107" s="896"/>
      <c r="ROP107" s="897"/>
      <c r="ROQ107" s="897"/>
      <c r="ROR107" s="897"/>
      <c r="ROS107" s="897"/>
      <c r="ROT107" s="897"/>
      <c r="ROU107" s="897"/>
      <c r="ROV107" s="897"/>
      <c r="ROW107" s="897"/>
      <c r="ROX107" s="895"/>
      <c r="ROY107" s="895"/>
      <c r="ROZ107" s="896"/>
      <c r="RPA107" s="897"/>
      <c r="RPB107" s="897"/>
      <c r="RPC107" s="897"/>
      <c r="RPD107" s="897"/>
      <c r="RPE107" s="897"/>
      <c r="RPF107" s="897"/>
      <c r="RPG107" s="897"/>
      <c r="RPH107" s="897"/>
      <c r="RPI107" s="895"/>
      <c r="RPJ107" s="895"/>
      <c r="RPK107" s="896"/>
      <c r="RPL107" s="897"/>
      <c r="RPM107" s="897"/>
      <c r="RPN107" s="897"/>
      <c r="RPO107" s="897"/>
      <c r="RPP107" s="897"/>
      <c r="RPQ107" s="897"/>
      <c r="RPR107" s="897"/>
      <c r="RPS107" s="897"/>
      <c r="RPT107" s="895"/>
      <c r="RPU107" s="895"/>
      <c r="RPV107" s="896"/>
      <c r="RPW107" s="897"/>
      <c r="RPX107" s="897"/>
      <c r="RPY107" s="897"/>
      <c r="RPZ107" s="897"/>
      <c r="RQA107" s="897"/>
      <c r="RQB107" s="897"/>
      <c r="RQC107" s="897"/>
      <c r="RQD107" s="897"/>
      <c r="RQE107" s="895"/>
      <c r="RQF107" s="895"/>
      <c r="RQG107" s="896"/>
      <c r="RQH107" s="897"/>
      <c r="RQI107" s="897"/>
      <c r="RQJ107" s="897"/>
      <c r="RQK107" s="897"/>
      <c r="RQL107" s="897"/>
      <c r="RQM107" s="897"/>
      <c r="RQN107" s="897"/>
      <c r="RQO107" s="897"/>
      <c r="RQP107" s="895"/>
      <c r="RQQ107" s="895"/>
      <c r="RQR107" s="896"/>
      <c r="RQS107" s="897"/>
      <c r="RQT107" s="897"/>
      <c r="RQU107" s="897"/>
      <c r="RQV107" s="897"/>
      <c r="RQW107" s="897"/>
      <c r="RQX107" s="897"/>
      <c r="RQY107" s="897"/>
      <c r="RQZ107" s="897"/>
      <c r="RRA107" s="895"/>
      <c r="RRB107" s="895"/>
      <c r="RRC107" s="896"/>
      <c r="RRD107" s="897"/>
      <c r="RRE107" s="897"/>
      <c r="RRF107" s="897"/>
      <c r="RRG107" s="897"/>
      <c r="RRH107" s="897"/>
      <c r="RRI107" s="897"/>
      <c r="RRJ107" s="897"/>
      <c r="RRK107" s="897"/>
      <c r="RRL107" s="895"/>
      <c r="RRM107" s="895"/>
      <c r="RRN107" s="896"/>
      <c r="RRO107" s="897"/>
      <c r="RRP107" s="897"/>
      <c r="RRQ107" s="897"/>
      <c r="RRR107" s="897"/>
      <c r="RRS107" s="897"/>
      <c r="RRT107" s="897"/>
      <c r="RRU107" s="897"/>
      <c r="RRV107" s="897"/>
      <c r="RRW107" s="895"/>
      <c r="RRX107" s="895"/>
      <c r="RRY107" s="896"/>
      <c r="RRZ107" s="897"/>
      <c r="RSA107" s="897"/>
      <c r="RSB107" s="897"/>
      <c r="RSC107" s="897"/>
      <c r="RSD107" s="897"/>
      <c r="RSE107" s="897"/>
      <c r="RSF107" s="897"/>
      <c r="RSG107" s="897"/>
      <c r="RSH107" s="895"/>
      <c r="RSI107" s="895"/>
      <c r="RSJ107" s="896"/>
      <c r="RSK107" s="897"/>
      <c r="RSL107" s="897"/>
      <c r="RSM107" s="897"/>
      <c r="RSN107" s="897"/>
      <c r="RSO107" s="897"/>
      <c r="RSP107" s="897"/>
      <c r="RSQ107" s="897"/>
      <c r="RSR107" s="897"/>
      <c r="RSS107" s="895"/>
      <c r="RST107" s="895"/>
      <c r="RSU107" s="896"/>
      <c r="RSV107" s="897"/>
      <c r="RSW107" s="897"/>
      <c r="RSX107" s="897"/>
      <c r="RSY107" s="897"/>
      <c r="RSZ107" s="897"/>
      <c r="RTA107" s="897"/>
      <c r="RTB107" s="897"/>
      <c r="RTC107" s="897"/>
      <c r="RTD107" s="895"/>
      <c r="RTE107" s="895"/>
      <c r="RTF107" s="896"/>
      <c r="RTG107" s="897"/>
      <c r="RTH107" s="897"/>
      <c r="RTI107" s="897"/>
      <c r="RTJ107" s="897"/>
      <c r="RTK107" s="897"/>
      <c r="RTL107" s="897"/>
      <c r="RTM107" s="897"/>
      <c r="RTN107" s="897"/>
      <c r="RTO107" s="895"/>
      <c r="RTP107" s="895"/>
      <c r="RTQ107" s="896"/>
      <c r="RTR107" s="897"/>
      <c r="RTS107" s="897"/>
      <c r="RTT107" s="897"/>
      <c r="RTU107" s="897"/>
      <c r="RTV107" s="897"/>
      <c r="RTW107" s="897"/>
      <c r="RTX107" s="897"/>
      <c r="RTY107" s="897"/>
      <c r="RTZ107" s="895"/>
      <c r="RUA107" s="895"/>
      <c r="RUB107" s="896"/>
      <c r="RUC107" s="897"/>
      <c r="RUD107" s="897"/>
      <c r="RUE107" s="897"/>
      <c r="RUF107" s="897"/>
      <c r="RUG107" s="897"/>
      <c r="RUH107" s="897"/>
      <c r="RUI107" s="897"/>
      <c r="RUJ107" s="897"/>
      <c r="RUK107" s="895"/>
      <c r="RUL107" s="895"/>
      <c r="RUM107" s="896"/>
      <c r="RUN107" s="897"/>
      <c r="RUO107" s="897"/>
      <c r="RUP107" s="897"/>
      <c r="RUQ107" s="897"/>
      <c r="RUR107" s="897"/>
      <c r="RUS107" s="897"/>
      <c r="RUT107" s="897"/>
      <c r="RUU107" s="897"/>
      <c r="RUV107" s="895"/>
      <c r="RUW107" s="895"/>
      <c r="RUX107" s="896"/>
      <c r="RUY107" s="897"/>
      <c r="RUZ107" s="897"/>
      <c r="RVA107" s="897"/>
      <c r="RVB107" s="897"/>
      <c r="RVC107" s="897"/>
      <c r="RVD107" s="897"/>
      <c r="RVE107" s="897"/>
      <c r="RVF107" s="897"/>
      <c r="RVG107" s="895"/>
      <c r="RVH107" s="895"/>
      <c r="RVI107" s="896"/>
      <c r="RVJ107" s="897"/>
      <c r="RVK107" s="897"/>
      <c r="RVL107" s="897"/>
      <c r="RVM107" s="897"/>
      <c r="RVN107" s="897"/>
      <c r="RVO107" s="897"/>
      <c r="RVP107" s="897"/>
      <c r="RVQ107" s="897"/>
      <c r="RVR107" s="895"/>
      <c r="RVS107" s="895"/>
      <c r="RVT107" s="896"/>
      <c r="RVU107" s="897"/>
      <c r="RVV107" s="897"/>
      <c r="RVW107" s="897"/>
      <c r="RVX107" s="897"/>
      <c r="RVY107" s="897"/>
      <c r="RVZ107" s="897"/>
      <c r="RWA107" s="897"/>
      <c r="RWB107" s="897"/>
      <c r="RWC107" s="895"/>
      <c r="RWD107" s="895"/>
      <c r="RWE107" s="896"/>
      <c r="RWF107" s="897"/>
      <c r="RWG107" s="897"/>
      <c r="RWH107" s="897"/>
      <c r="RWI107" s="897"/>
      <c r="RWJ107" s="897"/>
      <c r="RWK107" s="897"/>
      <c r="RWL107" s="897"/>
      <c r="RWM107" s="897"/>
      <c r="RWN107" s="895"/>
      <c r="RWO107" s="895"/>
      <c r="RWP107" s="896"/>
      <c r="RWQ107" s="897"/>
      <c r="RWR107" s="897"/>
      <c r="RWS107" s="897"/>
      <c r="RWT107" s="897"/>
      <c r="RWU107" s="897"/>
      <c r="RWV107" s="897"/>
      <c r="RWW107" s="897"/>
      <c r="RWX107" s="897"/>
      <c r="RWY107" s="895"/>
      <c r="RWZ107" s="895"/>
      <c r="RXA107" s="896"/>
      <c r="RXB107" s="897"/>
      <c r="RXC107" s="897"/>
      <c r="RXD107" s="897"/>
      <c r="RXE107" s="897"/>
      <c r="RXF107" s="897"/>
      <c r="RXG107" s="897"/>
      <c r="RXH107" s="897"/>
      <c r="RXI107" s="897"/>
      <c r="RXJ107" s="895"/>
      <c r="RXK107" s="895"/>
      <c r="RXL107" s="896"/>
      <c r="RXM107" s="897"/>
      <c r="RXN107" s="897"/>
      <c r="RXO107" s="897"/>
      <c r="RXP107" s="897"/>
      <c r="RXQ107" s="897"/>
      <c r="RXR107" s="897"/>
      <c r="RXS107" s="897"/>
      <c r="RXT107" s="897"/>
      <c r="RXU107" s="895"/>
      <c r="RXV107" s="895"/>
      <c r="RXW107" s="896"/>
      <c r="RXX107" s="897"/>
      <c r="RXY107" s="897"/>
      <c r="RXZ107" s="897"/>
      <c r="RYA107" s="897"/>
      <c r="RYB107" s="897"/>
      <c r="RYC107" s="897"/>
      <c r="RYD107" s="897"/>
      <c r="RYE107" s="897"/>
      <c r="RYF107" s="895"/>
      <c r="RYG107" s="895"/>
      <c r="RYH107" s="896"/>
      <c r="RYI107" s="897"/>
      <c r="RYJ107" s="897"/>
      <c r="RYK107" s="897"/>
      <c r="RYL107" s="897"/>
      <c r="RYM107" s="897"/>
      <c r="RYN107" s="897"/>
      <c r="RYO107" s="897"/>
      <c r="RYP107" s="897"/>
      <c r="RYQ107" s="895"/>
      <c r="RYR107" s="895"/>
      <c r="RYS107" s="896"/>
      <c r="RYT107" s="897"/>
      <c r="RYU107" s="897"/>
      <c r="RYV107" s="897"/>
      <c r="RYW107" s="897"/>
      <c r="RYX107" s="897"/>
      <c r="RYY107" s="897"/>
      <c r="RYZ107" s="897"/>
      <c r="RZA107" s="897"/>
      <c r="RZB107" s="895"/>
      <c r="RZC107" s="895"/>
      <c r="RZD107" s="896"/>
      <c r="RZE107" s="897"/>
      <c r="RZF107" s="897"/>
      <c r="RZG107" s="897"/>
      <c r="RZH107" s="897"/>
      <c r="RZI107" s="897"/>
      <c r="RZJ107" s="897"/>
      <c r="RZK107" s="897"/>
      <c r="RZL107" s="897"/>
      <c r="RZM107" s="895"/>
      <c r="RZN107" s="895"/>
      <c r="RZO107" s="896"/>
      <c r="RZP107" s="897"/>
      <c r="RZQ107" s="897"/>
      <c r="RZR107" s="897"/>
      <c r="RZS107" s="897"/>
      <c r="RZT107" s="897"/>
      <c r="RZU107" s="897"/>
      <c r="RZV107" s="897"/>
      <c r="RZW107" s="897"/>
      <c r="RZX107" s="895"/>
      <c r="RZY107" s="895"/>
      <c r="RZZ107" s="896"/>
      <c r="SAA107" s="897"/>
      <c r="SAB107" s="897"/>
      <c r="SAC107" s="897"/>
      <c r="SAD107" s="897"/>
      <c r="SAE107" s="897"/>
      <c r="SAF107" s="897"/>
      <c r="SAG107" s="897"/>
      <c r="SAH107" s="897"/>
      <c r="SAI107" s="895"/>
      <c r="SAJ107" s="895"/>
      <c r="SAK107" s="896"/>
      <c r="SAL107" s="897"/>
      <c r="SAM107" s="897"/>
      <c r="SAN107" s="897"/>
      <c r="SAO107" s="897"/>
      <c r="SAP107" s="897"/>
      <c r="SAQ107" s="897"/>
      <c r="SAR107" s="897"/>
      <c r="SAS107" s="897"/>
      <c r="SAT107" s="895"/>
      <c r="SAU107" s="895"/>
      <c r="SAV107" s="896"/>
      <c r="SAW107" s="897"/>
      <c r="SAX107" s="897"/>
      <c r="SAY107" s="897"/>
      <c r="SAZ107" s="897"/>
      <c r="SBA107" s="897"/>
      <c r="SBB107" s="897"/>
      <c r="SBC107" s="897"/>
      <c r="SBD107" s="897"/>
      <c r="SBE107" s="895"/>
      <c r="SBF107" s="895"/>
      <c r="SBG107" s="896"/>
      <c r="SBH107" s="897"/>
      <c r="SBI107" s="897"/>
      <c r="SBJ107" s="897"/>
      <c r="SBK107" s="897"/>
      <c r="SBL107" s="897"/>
      <c r="SBM107" s="897"/>
      <c r="SBN107" s="897"/>
      <c r="SBO107" s="897"/>
      <c r="SBP107" s="895"/>
      <c r="SBQ107" s="895"/>
      <c r="SBR107" s="896"/>
      <c r="SBS107" s="897"/>
      <c r="SBT107" s="897"/>
      <c r="SBU107" s="897"/>
      <c r="SBV107" s="897"/>
      <c r="SBW107" s="897"/>
      <c r="SBX107" s="897"/>
      <c r="SBY107" s="897"/>
      <c r="SBZ107" s="897"/>
      <c r="SCA107" s="895"/>
      <c r="SCB107" s="895"/>
      <c r="SCC107" s="896"/>
      <c r="SCD107" s="897"/>
      <c r="SCE107" s="897"/>
      <c r="SCF107" s="897"/>
      <c r="SCG107" s="897"/>
      <c r="SCH107" s="897"/>
      <c r="SCI107" s="897"/>
      <c r="SCJ107" s="897"/>
      <c r="SCK107" s="897"/>
      <c r="SCL107" s="895"/>
      <c r="SCM107" s="895"/>
      <c r="SCN107" s="896"/>
      <c r="SCO107" s="897"/>
      <c r="SCP107" s="897"/>
      <c r="SCQ107" s="897"/>
      <c r="SCR107" s="897"/>
      <c r="SCS107" s="897"/>
      <c r="SCT107" s="897"/>
      <c r="SCU107" s="897"/>
      <c r="SCV107" s="897"/>
      <c r="SCW107" s="895"/>
      <c r="SCX107" s="895"/>
      <c r="SCY107" s="896"/>
      <c r="SCZ107" s="897"/>
      <c r="SDA107" s="897"/>
      <c r="SDB107" s="897"/>
      <c r="SDC107" s="897"/>
      <c r="SDD107" s="897"/>
      <c r="SDE107" s="897"/>
      <c r="SDF107" s="897"/>
      <c r="SDG107" s="897"/>
      <c r="SDH107" s="895"/>
      <c r="SDI107" s="895"/>
      <c r="SDJ107" s="896"/>
      <c r="SDK107" s="897"/>
      <c r="SDL107" s="897"/>
      <c r="SDM107" s="897"/>
      <c r="SDN107" s="897"/>
      <c r="SDO107" s="897"/>
      <c r="SDP107" s="897"/>
      <c r="SDQ107" s="897"/>
      <c r="SDR107" s="897"/>
      <c r="SDS107" s="895"/>
      <c r="SDT107" s="895"/>
      <c r="SDU107" s="896"/>
      <c r="SDV107" s="897"/>
      <c r="SDW107" s="897"/>
      <c r="SDX107" s="897"/>
      <c r="SDY107" s="897"/>
      <c r="SDZ107" s="897"/>
      <c r="SEA107" s="897"/>
      <c r="SEB107" s="897"/>
      <c r="SEC107" s="897"/>
      <c r="SED107" s="895"/>
      <c r="SEE107" s="895"/>
      <c r="SEF107" s="896"/>
      <c r="SEG107" s="897"/>
      <c r="SEH107" s="897"/>
      <c r="SEI107" s="897"/>
      <c r="SEJ107" s="897"/>
      <c r="SEK107" s="897"/>
      <c r="SEL107" s="897"/>
      <c r="SEM107" s="897"/>
      <c r="SEN107" s="897"/>
      <c r="SEO107" s="895"/>
      <c r="SEP107" s="895"/>
      <c r="SEQ107" s="896"/>
      <c r="SER107" s="897"/>
      <c r="SES107" s="897"/>
      <c r="SET107" s="897"/>
      <c r="SEU107" s="897"/>
      <c r="SEV107" s="897"/>
      <c r="SEW107" s="897"/>
      <c r="SEX107" s="897"/>
      <c r="SEY107" s="897"/>
      <c r="SEZ107" s="895"/>
      <c r="SFA107" s="895"/>
      <c r="SFB107" s="896"/>
      <c r="SFC107" s="897"/>
      <c r="SFD107" s="897"/>
      <c r="SFE107" s="897"/>
      <c r="SFF107" s="897"/>
      <c r="SFG107" s="897"/>
      <c r="SFH107" s="897"/>
      <c r="SFI107" s="897"/>
      <c r="SFJ107" s="897"/>
      <c r="SFK107" s="895"/>
      <c r="SFL107" s="895"/>
      <c r="SFM107" s="896"/>
      <c r="SFN107" s="897"/>
      <c r="SFO107" s="897"/>
      <c r="SFP107" s="897"/>
      <c r="SFQ107" s="897"/>
      <c r="SFR107" s="897"/>
      <c r="SFS107" s="897"/>
      <c r="SFT107" s="897"/>
      <c r="SFU107" s="897"/>
      <c r="SFV107" s="895"/>
      <c r="SFW107" s="895"/>
      <c r="SFX107" s="896"/>
      <c r="SFY107" s="897"/>
      <c r="SFZ107" s="897"/>
      <c r="SGA107" s="897"/>
      <c r="SGB107" s="897"/>
      <c r="SGC107" s="897"/>
      <c r="SGD107" s="897"/>
      <c r="SGE107" s="897"/>
      <c r="SGF107" s="897"/>
      <c r="SGG107" s="895"/>
      <c r="SGH107" s="895"/>
      <c r="SGI107" s="896"/>
      <c r="SGJ107" s="897"/>
      <c r="SGK107" s="897"/>
      <c r="SGL107" s="897"/>
      <c r="SGM107" s="897"/>
      <c r="SGN107" s="897"/>
      <c r="SGO107" s="897"/>
      <c r="SGP107" s="897"/>
      <c r="SGQ107" s="897"/>
      <c r="SGR107" s="895"/>
      <c r="SGS107" s="895"/>
      <c r="SGT107" s="896"/>
      <c r="SGU107" s="897"/>
      <c r="SGV107" s="897"/>
      <c r="SGW107" s="897"/>
      <c r="SGX107" s="897"/>
      <c r="SGY107" s="897"/>
      <c r="SGZ107" s="897"/>
      <c r="SHA107" s="897"/>
      <c r="SHB107" s="897"/>
      <c r="SHC107" s="895"/>
      <c r="SHD107" s="895"/>
      <c r="SHE107" s="896"/>
      <c r="SHF107" s="897"/>
      <c r="SHG107" s="897"/>
      <c r="SHH107" s="897"/>
      <c r="SHI107" s="897"/>
      <c r="SHJ107" s="897"/>
      <c r="SHK107" s="897"/>
      <c r="SHL107" s="897"/>
      <c r="SHM107" s="897"/>
      <c r="SHN107" s="895"/>
      <c r="SHO107" s="895"/>
      <c r="SHP107" s="896"/>
      <c r="SHQ107" s="897"/>
      <c r="SHR107" s="897"/>
      <c r="SHS107" s="897"/>
      <c r="SHT107" s="897"/>
      <c r="SHU107" s="897"/>
      <c r="SHV107" s="897"/>
      <c r="SHW107" s="897"/>
      <c r="SHX107" s="897"/>
      <c r="SHY107" s="895"/>
      <c r="SHZ107" s="895"/>
      <c r="SIA107" s="896"/>
      <c r="SIB107" s="897"/>
      <c r="SIC107" s="897"/>
      <c r="SID107" s="897"/>
      <c r="SIE107" s="897"/>
      <c r="SIF107" s="897"/>
      <c r="SIG107" s="897"/>
      <c r="SIH107" s="897"/>
      <c r="SII107" s="897"/>
      <c r="SIJ107" s="895"/>
      <c r="SIK107" s="895"/>
      <c r="SIL107" s="896"/>
      <c r="SIM107" s="897"/>
      <c r="SIN107" s="897"/>
      <c r="SIO107" s="897"/>
      <c r="SIP107" s="897"/>
      <c r="SIQ107" s="897"/>
      <c r="SIR107" s="897"/>
      <c r="SIS107" s="897"/>
      <c r="SIT107" s="897"/>
      <c r="SIU107" s="895"/>
      <c r="SIV107" s="895"/>
      <c r="SIW107" s="896"/>
      <c r="SIX107" s="897"/>
      <c r="SIY107" s="897"/>
      <c r="SIZ107" s="897"/>
      <c r="SJA107" s="897"/>
      <c r="SJB107" s="897"/>
      <c r="SJC107" s="897"/>
      <c r="SJD107" s="897"/>
      <c r="SJE107" s="897"/>
      <c r="SJF107" s="895"/>
      <c r="SJG107" s="895"/>
      <c r="SJH107" s="896"/>
      <c r="SJI107" s="897"/>
      <c r="SJJ107" s="897"/>
      <c r="SJK107" s="897"/>
      <c r="SJL107" s="897"/>
      <c r="SJM107" s="897"/>
      <c r="SJN107" s="897"/>
      <c r="SJO107" s="897"/>
      <c r="SJP107" s="897"/>
      <c r="SJQ107" s="895"/>
      <c r="SJR107" s="895"/>
      <c r="SJS107" s="896"/>
      <c r="SJT107" s="897"/>
      <c r="SJU107" s="897"/>
      <c r="SJV107" s="897"/>
      <c r="SJW107" s="897"/>
      <c r="SJX107" s="897"/>
      <c r="SJY107" s="897"/>
      <c r="SJZ107" s="897"/>
      <c r="SKA107" s="897"/>
      <c r="SKB107" s="895"/>
      <c r="SKC107" s="895"/>
      <c r="SKD107" s="896"/>
      <c r="SKE107" s="897"/>
      <c r="SKF107" s="897"/>
      <c r="SKG107" s="897"/>
      <c r="SKH107" s="897"/>
      <c r="SKI107" s="897"/>
      <c r="SKJ107" s="897"/>
      <c r="SKK107" s="897"/>
      <c r="SKL107" s="897"/>
      <c r="SKM107" s="895"/>
      <c r="SKN107" s="895"/>
      <c r="SKO107" s="896"/>
      <c r="SKP107" s="897"/>
      <c r="SKQ107" s="897"/>
      <c r="SKR107" s="897"/>
      <c r="SKS107" s="897"/>
      <c r="SKT107" s="897"/>
      <c r="SKU107" s="897"/>
      <c r="SKV107" s="897"/>
      <c r="SKW107" s="897"/>
      <c r="SKX107" s="895"/>
      <c r="SKY107" s="895"/>
      <c r="SKZ107" s="896"/>
      <c r="SLA107" s="897"/>
      <c r="SLB107" s="897"/>
      <c r="SLC107" s="897"/>
      <c r="SLD107" s="897"/>
      <c r="SLE107" s="897"/>
      <c r="SLF107" s="897"/>
      <c r="SLG107" s="897"/>
      <c r="SLH107" s="897"/>
      <c r="SLI107" s="895"/>
      <c r="SLJ107" s="895"/>
      <c r="SLK107" s="896"/>
      <c r="SLL107" s="897"/>
      <c r="SLM107" s="897"/>
      <c r="SLN107" s="897"/>
      <c r="SLO107" s="897"/>
      <c r="SLP107" s="897"/>
      <c r="SLQ107" s="897"/>
      <c r="SLR107" s="897"/>
      <c r="SLS107" s="897"/>
      <c r="SLT107" s="895"/>
      <c r="SLU107" s="895"/>
      <c r="SLV107" s="896"/>
      <c r="SLW107" s="897"/>
      <c r="SLX107" s="897"/>
      <c r="SLY107" s="897"/>
      <c r="SLZ107" s="897"/>
      <c r="SMA107" s="897"/>
      <c r="SMB107" s="897"/>
      <c r="SMC107" s="897"/>
      <c r="SMD107" s="897"/>
      <c r="SME107" s="895"/>
      <c r="SMF107" s="895"/>
      <c r="SMG107" s="896"/>
      <c r="SMH107" s="897"/>
      <c r="SMI107" s="897"/>
      <c r="SMJ107" s="897"/>
      <c r="SMK107" s="897"/>
      <c r="SML107" s="897"/>
      <c r="SMM107" s="897"/>
      <c r="SMN107" s="897"/>
      <c r="SMO107" s="897"/>
      <c r="SMP107" s="895"/>
      <c r="SMQ107" s="895"/>
      <c r="SMR107" s="896"/>
      <c r="SMS107" s="897"/>
      <c r="SMT107" s="897"/>
      <c r="SMU107" s="897"/>
      <c r="SMV107" s="897"/>
      <c r="SMW107" s="897"/>
      <c r="SMX107" s="897"/>
      <c r="SMY107" s="897"/>
      <c r="SMZ107" s="897"/>
      <c r="SNA107" s="895"/>
      <c r="SNB107" s="895"/>
      <c r="SNC107" s="896"/>
      <c r="SND107" s="897"/>
      <c r="SNE107" s="897"/>
      <c r="SNF107" s="897"/>
      <c r="SNG107" s="897"/>
      <c r="SNH107" s="897"/>
      <c r="SNI107" s="897"/>
      <c r="SNJ107" s="897"/>
      <c r="SNK107" s="897"/>
      <c r="SNL107" s="895"/>
      <c r="SNM107" s="895"/>
      <c r="SNN107" s="896"/>
      <c r="SNO107" s="897"/>
      <c r="SNP107" s="897"/>
      <c r="SNQ107" s="897"/>
      <c r="SNR107" s="897"/>
      <c r="SNS107" s="897"/>
      <c r="SNT107" s="897"/>
      <c r="SNU107" s="897"/>
      <c r="SNV107" s="897"/>
      <c r="SNW107" s="895"/>
      <c r="SNX107" s="895"/>
      <c r="SNY107" s="896"/>
      <c r="SNZ107" s="897"/>
      <c r="SOA107" s="897"/>
      <c r="SOB107" s="897"/>
      <c r="SOC107" s="897"/>
      <c r="SOD107" s="897"/>
      <c r="SOE107" s="897"/>
      <c r="SOF107" s="897"/>
      <c r="SOG107" s="897"/>
      <c r="SOH107" s="895"/>
      <c r="SOI107" s="895"/>
      <c r="SOJ107" s="896"/>
      <c r="SOK107" s="897"/>
      <c r="SOL107" s="897"/>
      <c r="SOM107" s="897"/>
      <c r="SON107" s="897"/>
      <c r="SOO107" s="897"/>
      <c r="SOP107" s="897"/>
      <c r="SOQ107" s="897"/>
      <c r="SOR107" s="897"/>
      <c r="SOS107" s="895"/>
      <c r="SOT107" s="895"/>
      <c r="SOU107" s="896"/>
      <c r="SOV107" s="897"/>
      <c r="SOW107" s="897"/>
      <c r="SOX107" s="897"/>
      <c r="SOY107" s="897"/>
      <c r="SOZ107" s="897"/>
      <c r="SPA107" s="897"/>
      <c r="SPB107" s="897"/>
      <c r="SPC107" s="897"/>
      <c r="SPD107" s="895"/>
      <c r="SPE107" s="895"/>
      <c r="SPF107" s="896"/>
      <c r="SPG107" s="897"/>
      <c r="SPH107" s="897"/>
      <c r="SPI107" s="897"/>
      <c r="SPJ107" s="897"/>
      <c r="SPK107" s="897"/>
      <c r="SPL107" s="897"/>
      <c r="SPM107" s="897"/>
      <c r="SPN107" s="897"/>
      <c r="SPO107" s="895"/>
      <c r="SPP107" s="895"/>
      <c r="SPQ107" s="896"/>
      <c r="SPR107" s="897"/>
      <c r="SPS107" s="897"/>
      <c r="SPT107" s="897"/>
      <c r="SPU107" s="897"/>
      <c r="SPV107" s="897"/>
      <c r="SPW107" s="897"/>
      <c r="SPX107" s="897"/>
      <c r="SPY107" s="897"/>
      <c r="SPZ107" s="895"/>
      <c r="SQA107" s="895"/>
      <c r="SQB107" s="896"/>
      <c r="SQC107" s="897"/>
      <c r="SQD107" s="897"/>
      <c r="SQE107" s="897"/>
      <c r="SQF107" s="897"/>
      <c r="SQG107" s="897"/>
      <c r="SQH107" s="897"/>
      <c r="SQI107" s="897"/>
      <c r="SQJ107" s="897"/>
      <c r="SQK107" s="895"/>
      <c r="SQL107" s="895"/>
      <c r="SQM107" s="896"/>
      <c r="SQN107" s="897"/>
      <c r="SQO107" s="897"/>
      <c r="SQP107" s="897"/>
      <c r="SQQ107" s="897"/>
      <c r="SQR107" s="897"/>
      <c r="SQS107" s="897"/>
      <c r="SQT107" s="897"/>
      <c r="SQU107" s="897"/>
      <c r="SQV107" s="895"/>
      <c r="SQW107" s="895"/>
      <c r="SQX107" s="896"/>
      <c r="SQY107" s="897"/>
      <c r="SQZ107" s="897"/>
      <c r="SRA107" s="897"/>
      <c r="SRB107" s="897"/>
      <c r="SRC107" s="897"/>
      <c r="SRD107" s="897"/>
      <c r="SRE107" s="897"/>
      <c r="SRF107" s="897"/>
      <c r="SRG107" s="895"/>
      <c r="SRH107" s="895"/>
      <c r="SRI107" s="896"/>
      <c r="SRJ107" s="897"/>
      <c r="SRK107" s="897"/>
      <c r="SRL107" s="897"/>
      <c r="SRM107" s="897"/>
      <c r="SRN107" s="897"/>
      <c r="SRO107" s="897"/>
      <c r="SRP107" s="897"/>
      <c r="SRQ107" s="897"/>
      <c r="SRR107" s="895"/>
      <c r="SRS107" s="895"/>
      <c r="SRT107" s="896"/>
      <c r="SRU107" s="897"/>
      <c r="SRV107" s="897"/>
      <c r="SRW107" s="897"/>
      <c r="SRX107" s="897"/>
      <c r="SRY107" s="897"/>
      <c r="SRZ107" s="897"/>
      <c r="SSA107" s="897"/>
      <c r="SSB107" s="897"/>
      <c r="SSC107" s="895"/>
      <c r="SSD107" s="895"/>
      <c r="SSE107" s="896"/>
      <c r="SSF107" s="897"/>
      <c r="SSG107" s="897"/>
      <c r="SSH107" s="897"/>
      <c r="SSI107" s="897"/>
      <c r="SSJ107" s="897"/>
      <c r="SSK107" s="897"/>
      <c r="SSL107" s="897"/>
      <c r="SSM107" s="897"/>
      <c r="SSN107" s="895"/>
      <c r="SSO107" s="895"/>
      <c r="SSP107" s="896"/>
      <c r="SSQ107" s="897"/>
      <c r="SSR107" s="897"/>
      <c r="SSS107" s="897"/>
      <c r="SST107" s="897"/>
      <c r="SSU107" s="897"/>
      <c r="SSV107" s="897"/>
      <c r="SSW107" s="897"/>
      <c r="SSX107" s="897"/>
      <c r="SSY107" s="895"/>
      <c r="SSZ107" s="895"/>
      <c r="STA107" s="896"/>
      <c r="STB107" s="897"/>
      <c r="STC107" s="897"/>
      <c r="STD107" s="897"/>
      <c r="STE107" s="897"/>
      <c r="STF107" s="897"/>
      <c r="STG107" s="897"/>
      <c r="STH107" s="897"/>
      <c r="STI107" s="897"/>
      <c r="STJ107" s="895"/>
      <c r="STK107" s="895"/>
      <c r="STL107" s="896"/>
      <c r="STM107" s="897"/>
      <c r="STN107" s="897"/>
      <c r="STO107" s="897"/>
      <c r="STP107" s="897"/>
      <c r="STQ107" s="897"/>
      <c r="STR107" s="897"/>
      <c r="STS107" s="897"/>
      <c r="STT107" s="897"/>
      <c r="STU107" s="895"/>
      <c r="STV107" s="895"/>
      <c r="STW107" s="896"/>
      <c r="STX107" s="897"/>
      <c r="STY107" s="897"/>
      <c r="STZ107" s="897"/>
      <c r="SUA107" s="897"/>
      <c r="SUB107" s="897"/>
      <c r="SUC107" s="897"/>
      <c r="SUD107" s="897"/>
      <c r="SUE107" s="897"/>
      <c r="SUF107" s="895"/>
      <c r="SUG107" s="895"/>
      <c r="SUH107" s="896"/>
      <c r="SUI107" s="897"/>
      <c r="SUJ107" s="897"/>
      <c r="SUK107" s="897"/>
      <c r="SUL107" s="897"/>
      <c r="SUM107" s="897"/>
      <c r="SUN107" s="897"/>
      <c r="SUO107" s="897"/>
      <c r="SUP107" s="897"/>
      <c r="SUQ107" s="895"/>
      <c r="SUR107" s="895"/>
      <c r="SUS107" s="896"/>
      <c r="SUT107" s="897"/>
      <c r="SUU107" s="897"/>
      <c r="SUV107" s="897"/>
      <c r="SUW107" s="897"/>
      <c r="SUX107" s="897"/>
      <c r="SUY107" s="897"/>
      <c r="SUZ107" s="897"/>
      <c r="SVA107" s="897"/>
      <c r="SVB107" s="895"/>
      <c r="SVC107" s="895"/>
      <c r="SVD107" s="896"/>
      <c r="SVE107" s="897"/>
      <c r="SVF107" s="897"/>
      <c r="SVG107" s="897"/>
      <c r="SVH107" s="897"/>
      <c r="SVI107" s="897"/>
      <c r="SVJ107" s="897"/>
      <c r="SVK107" s="897"/>
      <c r="SVL107" s="897"/>
      <c r="SVM107" s="895"/>
      <c r="SVN107" s="895"/>
      <c r="SVO107" s="896"/>
      <c r="SVP107" s="897"/>
      <c r="SVQ107" s="897"/>
      <c r="SVR107" s="897"/>
      <c r="SVS107" s="897"/>
      <c r="SVT107" s="897"/>
      <c r="SVU107" s="897"/>
      <c r="SVV107" s="897"/>
      <c r="SVW107" s="897"/>
      <c r="SVX107" s="895"/>
      <c r="SVY107" s="895"/>
      <c r="SVZ107" s="896"/>
      <c r="SWA107" s="897"/>
      <c r="SWB107" s="897"/>
      <c r="SWC107" s="897"/>
      <c r="SWD107" s="897"/>
      <c r="SWE107" s="897"/>
      <c r="SWF107" s="897"/>
      <c r="SWG107" s="897"/>
      <c r="SWH107" s="897"/>
      <c r="SWI107" s="895"/>
      <c r="SWJ107" s="895"/>
      <c r="SWK107" s="896"/>
      <c r="SWL107" s="897"/>
      <c r="SWM107" s="897"/>
      <c r="SWN107" s="897"/>
      <c r="SWO107" s="897"/>
      <c r="SWP107" s="897"/>
      <c r="SWQ107" s="897"/>
      <c r="SWR107" s="897"/>
      <c r="SWS107" s="897"/>
      <c r="SWT107" s="895"/>
      <c r="SWU107" s="895"/>
      <c r="SWV107" s="896"/>
      <c r="SWW107" s="897"/>
      <c r="SWX107" s="897"/>
      <c r="SWY107" s="897"/>
      <c r="SWZ107" s="897"/>
      <c r="SXA107" s="897"/>
      <c r="SXB107" s="897"/>
      <c r="SXC107" s="897"/>
      <c r="SXD107" s="897"/>
      <c r="SXE107" s="895"/>
      <c r="SXF107" s="895"/>
      <c r="SXG107" s="896"/>
      <c r="SXH107" s="897"/>
      <c r="SXI107" s="897"/>
      <c r="SXJ107" s="897"/>
      <c r="SXK107" s="897"/>
      <c r="SXL107" s="897"/>
      <c r="SXM107" s="897"/>
      <c r="SXN107" s="897"/>
      <c r="SXO107" s="897"/>
      <c r="SXP107" s="895"/>
      <c r="SXQ107" s="895"/>
      <c r="SXR107" s="896"/>
      <c r="SXS107" s="897"/>
      <c r="SXT107" s="897"/>
      <c r="SXU107" s="897"/>
      <c r="SXV107" s="897"/>
      <c r="SXW107" s="897"/>
      <c r="SXX107" s="897"/>
      <c r="SXY107" s="897"/>
      <c r="SXZ107" s="897"/>
      <c r="SYA107" s="895"/>
      <c r="SYB107" s="895"/>
      <c r="SYC107" s="896"/>
      <c r="SYD107" s="897"/>
      <c r="SYE107" s="897"/>
      <c r="SYF107" s="897"/>
      <c r="SYG107" s="897"/>
      <c r="SYH107" s="897"/>
      <c r="SYI107" s="897"/>
      <c r="SYJ107" s="897"/>
      <c r="SYK107" s="897"/>
      <c r="SYL107" s="895"/>
      <c r="SYM107" s="895"/>
      <c r="SYN107" s="896"/>
      <c r="SYO107" s="897"/>
      <c r="SYP107" s="897"/>
      <c r="SYQ107" s="897"/>
      <c r="SYR107" s="897"/>
      <c r="SYS107" s="897"/>
      <c r="SYT107" s="897"/>
      <c r="SYU107" s="897"/>
      <c r="SYV107" s="897"/>
      <c r="SYW107" s="895"/>
      <c r="SYX107" s="895"/>
      <c r="SYY107" s="896"/>
      <c r="SYZ107" s="897"/>
      <c r="SZA107" s="897"/>
      <c r="SZB107" s="897"/>
      <c r="SZC107" s="897"/>
      <c r="SZD107" s="897"/>
      <c r="SZE107" s="897"/>
      <c r="SZF107" s="897"/>
      <c r="SZG107" s="897"/>
      <c r="SZH107" s="895"/>
      <c r="SZI107" s="895"/>
      <c r="SZJ107" s="896"/>
      <c r="SZK107" s="897"/>
      <c r="SZL107" s="897"/>
      <c r="SZM107" s="897"/>
      <c r="SZN107" s="897"/>
      <c r="SZO107" s="897"/>
      <c r="SZP107" s="897"/>
      <c r="SZQ107" s="897"/>
      <c r="SZR107" s="897"/>
      <c r="SZS107" s="895"/>
      <c r="SZT107" s="895"/>
      <c r="SZU107" s="896"/>
      <c r="SZV107" s="897"/>
      <c r="SZW107" s="897"/>
      <c r="SZX107" s="897"/>
      <c r="SZY107" s="897"/>
      <c r="SZZ107" s="897"/>
      <c r="TAA107" s="897"/>
      <c r="TAB107" s="897"/>
      <c r="TAC107" s="897"/>
      <c r="TAD107" s="895"/>
      <c r="TAE107" s="895"/>
      <c r="TAF107" s="896"/>
      <c r="TAG107" s="897"/>
      <c r="TAH107" s="897"/>
      <c r="TAI107" s="897"/>
      <c r="TAJ107" s="897"/>
      <c r="TAK107" s="897"/>
      <c r="TAL107" s="897"/>
      <c r="TAM107" s="897"/>
      <c r="TAN107" s="897"/>
      <c r="TAO107" s="895"/>
      <c r="TAP107" s="895"/>
      <c r="TAQ107" s="896"/>
      <c r="TAR107" s="897"/>
      <c r="TAS107" s="897"/>
      <c r="TAT107" s="897"/>
      <c r="TAU107" s="897"/>
      <c r="TAV107" s="897"/>
      <c r="TAW107" s="897"/>
      <c r="TAX107" s="897"/>
      <c r="TAY107" s="897"/>
      <c r="TAZ107" s="895"/>
      <c r="TBA107" s="895"/>
      <c r="TBB107" s="896"/>
      <c r="TBC107" s="897"/>
      <c r="TBD107" s="897"/>
      <c r="TBE107" s="897"/>
      <c r="TBF107" s="897"/>
      <c r="TBG107" s="897"/>
      <c r="TBH107" s="897"/>
      <c r="TBI107" s="897"/>
      <c r="TBJ107" s="897"/>
      <c r="TBK107" s="895"/>
      <c r="TBL107" s="895"/>
      <c r="TBM107" s="896"/>
      <c r="TBN107" s="897"/>
      <c r="TBO107" s="897"/>
      <c r="TBP107" s="897"/>
      <c r="TBQ107" s="897"/>
      <c r="TBR107" s="897"/>
      <c r="TBS107" s="897"/>
      <c r="TBT107" s="897"/>
      <c r="TBU107" s="897"/>
      <c r="TBV107" s="895"/>
      <c r="TBW107" s="895"/>
      <c r="TBX107" s="896"/>
      <c r="TBY107" s="897"/>
      <c r="TBZ107" s="897"/>
      <c r="TCA107" s="897"/>
      <c r="TCB107" s="897"/>
      <c r="TCC107" s="897"/>
      <c r="TCD107" s="897"/>
      <c r="TCE107" s="897"/>
      <c r="TCF107" s="897"/>
      <c r="TCG107" s="895"/>
      <c r="TCH107" s="895"/>
      <c r="TCI107" s="896"/>
      <c r="TCJ107" s="897"/>
      <c r="TCK107" s="897"/>
      <c r="TCL107" s="897"/>
      <c r="TCM107" s="897"/>
      <c r="TCN107" s="897"/>
      <c r="TCO107" s="897"/>
      <c r="TCP107" s="897"/>
      <c r="TCQ107" s="897"/>
      <c r="TCR107" s="895"/>
      <c r="TCS107" s="895"/>
      <c r="TCT107" s="896"/>
      <c r="TCU107" s="897"/>
      <c r="TCV107" s="897"/>
      <c r="TCW107" s="897"/>
      <c r="TCX107" s="897"/>
      <c r="TCY107" s="897"/>
      <c r="TCZ107" s="897"/>
      <c r="TDA107" s="897"/>
      <c r="TDB107" s="897"/>
      <c r="TDC107" s="895"/>
      <c r="TDD107" s="895"/>
      <c r="TDE107" s="896"/>
      <c r="TDF107" s="897"/>
      <c r="TDG107" s="897"/>
      <c r="TDH107" s="897"/>
      <c r="TDI107" s="897"/>
      <c r="TDJ107" s="897"/>
      <c r="TDK107" s="897"/>
      <c r="TDL107" s="897"/>
      <c r="TDM107" s="897"/>
      <c r="TDN107" s="895"/>
      <c r="TDO107" s="895"/>
      <c r="TDP107" s="896"/>
      <c r="TDQ107" s="897"/>
      <c r="TDR107" s="897"/>
      <c r="TDS107" s="897"/>
      <c r="TDT107" s="897"/>
      <c r="TDU107" s="897"/>
      <c r="TDV107" s="897"/>
      <c r="TDW107" s="897"/>
      <c r="TDX107" s="897"/>
      <c r="TDY107" s="895"/>
      <c r="TDZ107" s="895"/>
      <c r="TEA107" s="896"/>
      <c r="TEB107" s="897"/>
      <c r="TEC107" s="897"/>
      <c r="TED107" s="897"/>
      <c r="TEE107" s="897"/>
      <c r="TEF107" s="897"/>
      <c r="TEG107" s="897"/>
      <c r="TEH107" s="897"/>
      <c r="TEI107" s="897"/>
      <c r="TEJ107" s="895"/>
      <c r="TEK107" s="895"/>
      <c r="TEL107" s="896"/>
      <c r="TEM107" s="897"/>
      <c r="TEN107" s="897"/>
      <c r="TEO107" s="897"/>
      <c r="TEP107" s="897"/>
      <c r="TEQ107" s="897"/>
      <c r="TER107" s="897"/>
      <c r="TES107" s="897"/>
      <c r="TET107" s="897"/>
      <c r="TEU107" s="895"/>
      <c r="TEV107" s="895"/>
      <c r="TEW107" s="896"/>
      <c r="TEX107" s="897"/>
      <c r="TEY107" s="897"/>
      <c r="TEZ107" s="897"/>
      <c r="TFA107" s="897"/>
      <c r="TFB107" s="897"/>
      <c r="TFC107" s="897"/>
      <c r="TFD107" s="897"/>
      <c r="TFE107" s="897"/>
      <c r="TFF107" s="895"/>
      <c r="TFG107" s="895"/>
      <c r="TFH107" s="896"/>
      <c r="TFI107" s="897"/>
      <c r="TFJ107" s="897"/>
      <c r="TFK107" s="897"/>
      <c r="TFL107" s="897"/>
      <c r="TFM107" s="897"/>
      <c r="TFN107" s="897"/>
      <c r="TFO107" s="897"/>
      <c r="TFP107" s="897"/>
      <c r="TFQ107" s="895"/>
      <c r="TFR107" s="895"/>
      <c r="TFS107" s="896"/>
      <c r="TFT107" s="897"/>
      <c r="TFU107" s="897"/>
      <c r="TFV107" s="897"/>
      <c r="TFW107" s="897"/>
      <c r="TFX107" s="897"/>
      <c r="TFY107" s="897"/>
      <c r="TFZ107" s="897"/>
      <c r="TGA107" s="897"/>
      <c r="TGB107" s="895"/>
      <c r="TGC107" s="895"/>
      <c r="TGD107" s="896"/>
      <c r="TGE107" s="897"/>
      <c r="TGF107" s="897"/>
      <c r="TGG107" s="897"/>
      <c r="TGH107" s="897"/>
      <c r="TGI107" s="897"/>
      <c r="TGJ107" s="897"/>
      <c r="TGK107" s="897"/>
      <c r="TGL107" s="897"/>
      <c r="TGM107" s="895"/>
      <c r="TGN107" s="895"/>
      <c r="TGO107" s="896"/>
      <c r="TGP107" s="897"/>
      <c r="TGQ107" s="897"/>
      <c r="TGR107" s="897"/>
      <c r="TGS107" s="897"/>
      <c r="TGT107" s="897"/>
      <c r="TGU107" s="897"/>
      <c r="TGV107" s="897"/>
      <c r="TGW107" s="897"/>
      <c r="TGX107" s="895"/>
      <c r="TGY107" s="895"/>
      <c r="TGZ107" s="896"/>
      <c r="THA107" s="897"/>
      <c r="THB107" s="897"/>
      <c r="THC107" s="897"/>
      <c r="THD107" s="897"/>
      <c r="THE107" s="897"/>
      <c r="THF107" s="897"/>
      <c r="THG107" s="897"/>
      <c r="THH107" s="897"/>
      <c r="THI107" s="895"/>
      <c r="THJ107" s="895"/>
      <c r="THK107" s="896"/>
      <c r="THL107" s="897"/>
      <c r="THM107" s="897"/>
      <c r="THN107" s="897"/>
      <c r="THO107" s="897"/>
      <c r="THP107" s="897"/>
      <c r="THQ107" s="897"/>
      <c r="THR107" s="897"/>
      <c r="THS107" s="897"/>
      <c r="THT107" s="895"/>
      <c r="THU107" s="895"/>
      <c r="THV107" s="896"/>
      <c r="THW107" s="897"/>
      <c r="THX107" s="897"/>
      <c r="THY107" s="897"/>
      <c r="THZ107" s="897"/>
      <c r="TIA107" s="897"/>
      <c r="TIB107" s="897"/>
      <c r="TIC107" s="897"/>
      <c r="TID107" s="897"/>
      <c r="TIE107" s="895"/>
      <c r="TIF107" s="895"/>
      <c r="TIG107" s="896"/>
      <c r="TIH107" s="897"/>
      <c r="TII107" s="897"/>
      <c r="TIJ107" s="897"/>
      <c r="TIK107" s="897"/>
      <c r="TIL107" s="897"/>
      <c r="TIM107" s="897"/>
      <c r="TIN107" s="897"/>
      <c r="TIO107" s="897"/>
      <c r="TIP107" s="895"/>
      <c r="TIQ107" s="895"/>
      <c r="TIR107" s="896"/>
      <c r="TIS107" s="897"/>
      <c r="TIT107" s="897"/>
      <c r="TIU107" s="897"/>
      <c r="TIV107" s="897"/>
      <c r="TIW107" s="897"/>
      <c r="TIX107" s="897"/>
      <c r="TIY107" s="897"/>
      <c r="TIZ107" s="897"/>
      <c r="TJA107" s="895"/>
      <c r="TJB107" s="895"/>
      <c r="TJC107" s="896"/>
      <c r="TJD107" s="897"/>
      <c r="TJE107" s="897"/>
      <c r="TJF107" s="897"/>
      <c r="TJG107" s="897"/>
      <c r="TJH107" s="897"/>
      <c r="TJI107" s="897"/>
      <c r="TJJ107" s="897"/>
      <c r="TJK107" s="897"/>
      <c r="TJL107" s="895"/>
      <c r="TJM107" s="895"/>
      <c r="TJN107" s="896"/>
      <c r="TJO107" s="897"/>
      <c r="TJP107" s="897"/>
      <c r="TJQ107" s="897"/>
      <c r="TJR107" s="897"/>
      <c r="TJS107" s="897"/>
      <c r="TJT107" s="897"/>
      <c r="TJU107" s="897"/>
      <c r="TJV107" s="897"/>
      <c r="TJW107" s="895"/>
      <c r="TJX107" s="895"/>
      <c r="TJY107" s="896"/>
      <c r="TJZ107" s="897"/>
      <c r="TKA107" s="897"/>
      <c r="TKB107" s="897"/>
      <c r="TKC107" s="897"/>
      <c r="TKD107" s="897"/>
      <c r="TKE107" s="897"/>
      <c r="TKF107" s="897"/>
      <c r="TKG107" s="897"/>
      <c r="TKH107" s="895"/>
      <c r="TKI107" s="895"/>
      <c r="TKJ107" s="896"/>
      <c r="TKK107" s="897"/>
      <c r="TKL107" s="897"/>
      <c r="TKM107" s="897"/>
      <c r="TKN107" s="897"/>
      <c r="TKO107" s="897"/>
      <c r="TKP107" s="897"/>
      <c r="TKQ107" s="897"/>
      <c r="TKR107" s="897"/>
      <c r="TKS107" s="895"/>
      <c r="TKT107" s="895"/>
      <c r="TKU107" s="896"/>
      <c r="TKV107" s="897"/>
      <c r="TKW107" s="897"/>
      <c r="TKX107" s="897"/>
      <c r="TKY107" s="897"/>
      <c r="TKZ107" s="897"/>
      <c r="TLA107" s="897"/>
      <c r="TLB107" s="897"/>
      <c r="TLC107" s="897"/>
      <c r="TLD107" s="895"/>
      <c r="TLE107" s="895"/>
      <c r="TLF107" s="896"/>
      <c r="TLG107" s="897"/>
      <c r="TLH107" s="897"/>
      <c r="TLI107" s="897"/>
      <c r="TLJ107" s="897"/>
      <c r="TLK107" s="897"/>
      <c r="TLL107" s="897"/>
      <c r="TLM107" s="897"/>
      <c r="TLN107" s="897"/>
      <c r="TLO107" s="895"/>
      <c r="TLP107" s="895"/>
      <c r="TLQ107" s="896"/>
      <c r="TLR107" s="897"/>
      <c r="TLS107" s="897"/>
      <c r="TLT107" s="897"/>
      <c r="TLU107" s="897"/>
      <c r="TLV107" s="897"/>
      <c r="TLW107" s="897"/>
      <c r="TLX107" s="897"/>
      <c r="TLY107" s="897"/>
      <c r="TLZ107" s="895"/>
      <c r="TMA107" s="895"/>
      <c r="TMB107" s="896"/>
      <c r="TMC107" s="897"/>
      <c r="TMD107" s="897"/>
      <c r="TME107" s="897"/>
      <c r="TMF107" s="897"/>
      <c r="TMG107" s="897"/>
      <c r="TMH107" s="897"/>
      <c r="TMI107" s="897"/>
      <c r="TMJ107" s="897"/>
      <c r="TMK107" s="895"/>
      <c r="TML107" s="895"/>
      <c r="TMM107" s="896"/>
      <c r="TMN107" s="897"/>
      <c r="TMO107" s="897"/>
      <c r="TMP107" s="897"/>
      <c r="TMQ107" s="897"/>
      <c r="TMR107" s="897"/>
      <c r="TMS107" s="897"/>
      <c r="TMT107" s="897"/>
      <c r="TMU107" s="897"/>
      <c r="TMV107" s="895"/>
      <c r="TMW107" s="895"/>
      <c r="TMX107" s="896"/>
      <c r="TMY107" s="897"/>
      <c r="TMZ107" s="897"/>
      <c r="TNA107" s="897"/>
      <c r="TNB107" s="897"/>
      <c r="TNC107" s="897"/>
      <c r="TND107" s="897"/>
      <c r="TNE107" s="897"/>
      <c r="TNF107" s="897"/>
      <c r="TNG107" s="895"/>
      <c r="TNH107" s="895"/>
      <c r="TNI107" s="896"/>
      <c r="TNJ107" s="897"/>
      <c r="TNK107" s="897"/>
      <c r="TNL107" s="897"/>
      <c r="TNM107" s="897"/>
      <c r="TNN107" s="897"/>
      <c r="TNO107" s="897"/>
      <c r="TNP107" s="897"/>
      <c r="TNQ107" s="897"/>
      <c r="TNR107" s="895"/>
      <c r="TNS107" s="895"/>
      <c r="TNT107" s="896"/>
      <c r="TNU107" s="897"/>
      <c r="TNV107" s="897"/>
      <c r="TNW107" s="897"/>
      <c r="TNX107" s="897"/>
      <c r="TNY107" s="897"/>
      <c r="TNZ107" s="897"/>
      <c r="TOA107" s="897"/>
      <c r="TOB107" s="897"/>
      <c r="TOC107" s="895"/>
      <c r="TOD107" s="895"/>
      <c r="TOE107" s="896"/>
      <c r="TOF107" s="897"/>
      <c r="TOG107" s="897"/>
      <c r="TOH107" s="897"/>
      <c r="TOI107" s="897"/>
      <c r="TOJ107" s="897"/>
      <c r="TOK107" s="897"/>
      <c r="TOL107" s="897"/>
      <c r="TOM107" s="897"/>
      <c r="TON107" s="895"/>
      <c r="TOO107" s="895"/>
      <c r="TOP107" s="896"/>
      <c r="TOQ107" s="897"/>
      <c r="TOR107" s="897"/>
      <c r="TOS107" s="897"/>
      <c r="TOT107" s="897"/>
      <c r="TOU107" s="897"/>
      <c r="TOV107" s="897"/>
      <c r="TOW107" s="897"/>
      <c r="TOX107" s="897"/>
      <c r="TOY107" s="895"/>
      <c r="TOZ107" s="895"/>
      <c r="TPA107" s="896"/>
      <c r="TPB107" s="897"/>
      <c r="TPC107" s="897"/>
      <c r="TPD107" s="897"/>
      <c r="TPE107" s="897"/>
      <c r="TPF107" s="897"/>
      <c r="TPG107" s="897"/>
      <c r="TPH107" s="897"/>
      <c r="TPI107" s="897"/>
      <c r="TPJ107" s="895"/>
      <c r="TPK107" s="895"/>
      <c r="TPL107" s="896"/>
      <c r="TPM107" s="897"/>
      <c r="TPN107" s="897"/>
      <c r="TPO107" s="897"/>
      <c r="TPP107" s="897"/>
      <c r="TPQ107" s="897"/>
      <c r="TPR107" s="897"/>
      <c r="TPS107" s="897"/>
      <c r="TPT107" s="897"/>
      <c r="TPU107" s="895"/>
      <c r="TPV107" s="895"/>
      <c r="TPW107" s="896"/>
      <c r="TPX107" s="897"/>
      <c r="TPY107" s="897"/>
      <c r="TPZ107" s="897"/>
      <c r="TQA107" s="897"/>
      <c r="TQB107" s="897"/>
      <c r="TQC107" s="897"/>
      <c r="TQD107" s="897"/>
      <c r="TQE107" s="897"/>
      <c r="TQF107" s="895"/>
      <c r="TQG107" s="895"/>
      <c r="TQH107" s="896"/>
      <c r="TQI107" s="897"/>
      <c r="TQJ107" s="897"/>
      <c r="TQK107" s="897"/>
      <c r="TQL107" s="897"/>
      <c r="TQM107" s="897"/>
      <c r="TQN107" s="897"/>
      <c r="TQO107" s="897"/>
      <c r="TQP107" s="897"/>
      <c r="TQQ107" s="895"/>
      <c r="TQR107" s="895"/>
      <c r="TQS107" s="896"/>
      <c r="TQT107" s="897"/>
      <c r="TQU107" s="897"/>
      <c r="TQV107" s="897"/>
      <c r="TQW107" s="897"/>
      <c r="TQX107" s="897"/>
      <c r="TQY107" s="897"/>
      <c r="TQZ107" s="897"/>
      <c r="TRA107" s="897"/>
      <c r="TRB107" s="895"/>
      <c r="TRC107" s="895"/>
      <c r="TRD107" s="896"/>
      <c r="TRE107" s="897"/>
      <c r="TRF107" s="897"/>
      <c r="TRG107" s="897"/>
      <c r="TRH107" s="897"/>
      <c r="TRI107" s="897"/>
      <c r="TRJ107" s="897"/>
      <c r="TRK107" s="897"/>
      <c r="TRL107" s="897"/>
      <c r="TRM107" s="895"/>
      <c r="TRN107" s="895"/>
      <c r="TRO107" s="896"/>
      <c r="TRP107" s="897"/>
      <c r="TRQ107" s="897"/>
      <c r="TRR107" s="897"/>
      <c r="TRS107" s="897"/>
      <c r="TRT107" s="897"/>
      <c r="TRU107" s="897"/>
      <c r="TRV107" s="897"/>
      <c r="TRW107" s="897"/>
      <c r="TRX107" s="895"/>
      <c r="TRY107" s="895"/>
      <c r="TRZ107" s="896"/>
      <c r="TSA107" s="897"/>
      <c r="TSB107" s="897"/>
      <c r="TSC107" s="897"/>
      <c r="TSD107" s="897"/>
      <c r="TSE107" s="897"/>
      <c r="TSF107" s="897"/>
      <c r="TSG107" s="897"/>
      <c r="TSH107" s="897"/>
      <c r="TSI107" s="895"/>
      <c r="TSJ107" s="895"/>
      <c r="TSK107" s="896"/>
      <c r="TSL107" s="897"/>
      <c r="TSM107" s="897"/>
      <c r="TSN107" s="897"/>
      <c r="TSO107" s="897"/>
      <c r="TSP107" s="897"/>
      <c r="TSQ107" s="897"/>
      <c r="TSR107" s="897"/>
      <c r="TSS107" s="897"/>
      <c r="TST107" s="895"/>
      <c r="TSU107" s="895"/>
      <c r="TSV107" s="896"/>
      <c r="TSW107" s="897"/>
      <c r="TSX107" s="897"/>
      <c r="TSY107" s="897"/>
      <c r="TSZ107" s="897"/>
      <c r="TTA107" s="897"/>
      <c r="TTB107" s="897"/>
      <c r="TTC107" s="897"/>
      <c r="TTD107" s="897"/>
      <c r="TTE107" s="895"/>
      <c r="TTF107" s="895"/>
      <c r="TTG107" s="896"/>
      <c r="TTH107" s="897"/>
      <c r="TTI107" s="897"/>
      <c r="TTJ107" s="897"/>
      <c r="TTK107" s="897"/>
      <c r="TTL107" s="897"/>
      <c r="TTM107" s="897"/>
      <c r="TTN107" s="897"/>
      <c r="TTO107" s="897"/>
      <c r="TTP107" s="895"/>
      <c r="TTQ107" s="895"/>
      <c r="TTR107" s="896"/>
      <c r="TTS107" s="897"/>
      <c r="TTT107" s="897"/>
      <c r="TTU107" s="897"/>
      <c r="TTV107" s="897"/>
      <c r="TTW107" s="897"/>
      <c r="TTX107" s="897"/>
      <c r="TTY107" s="897"/>
      <c r="TTZ107" s="897"/>
      <c r="TUA107" s="895"/>
      <c r="TUB107" s="895"/>
      <c r="TUC107" s="896"/>
      <c r="TUD107" s="897"/>
      <c r="TUE107" s="897"/>
      <c r="TUF107" s="897"/>
      <c r="TUG107" s="897"/>
      <c r="TUH107" s="897"/>
      <c r="TUI107" s="897"/>
      <c r="TUJ107" s="897"/>
      <c r="TUK107" s="897"/>
      <c r="TUL107" s="895"/>
      <c r="TUM107" s="895"/>
      <c r="TUN107" s="896"/>
      <c r="TUO107" s="897"/>
      <c r="TUP107" s="897"/>
      <c r="TUQ107" s="897"/>
      <c r="TUR107" s="897"/>
      <c r="TUS107" s="897"/>
      <c r="TUT107" s="897"/>
      <c r="TUU107" s="897"/>
      <c r="TUV107" s="897"/>
      <c r="TUW107" s="895"/>
      <c r="TUX107" s="895"/>
      <c r="TUY107" s="896"/>
      <c r="TUZ107" s="897"/>
      <c r="TVA107" s="897"/>
      <c r="TVB107" s="897"/>
      <c r="TVC107" s="897"/>
      <c r="TVD107" s="897"/>
      <c r="TVE107" s="897"/>
      <c r="TVF107" s="897"/>
      <c r="TVG107" s="897"/>
      <c r="TVH107" s="895"/>
      <c r="TVI107" s="895"/>
      <c r="TVJ107" s="896"/>
      <c r="TVK107" s="897"/>
      <c r="TVL107" s="897"/>
      <c r="TVM107" s="897"/>
      <c r="TVN107" s="897"/>
      <c r="TVO107" s="897"/>
      <c r="TVP107" s="897"/>
      <c r="TVQ107" s="897"/>
      <c r="TVR107" s="897"/>
      <c r="TVS107" s="895"/>
      <c r="TVT107" s="895"/>
      <c r="TVU107" s="896"/>
      <c r="TVV107" s="897"/>
      <c r="TVW107" s="897"/>
      <c r="TVX107" s="897"/>
      <c r="TVY107" s="897"/>
      <c r="TVZ107" s="897"/>
      <c r="TWA107" s="897"/>
      <c r="TWB107" s="897"/>
      <c r="TWC107" s="897"/>
      <c r="TWD107" s="895"/>
      <c r="TWE107" s="895"/>
      <c r="TWF107" s="896"/>
      <c r="TWG107" s="897"/>
      <c r="TWH107" s="897"/>
      <c r="TWI107" s="897"/>
      <c r="TWJ107" s="897"/>
      <c r="TWK107" s="897"/>
      <c r="TWL107" s="897"/>
      <c r="TWM107" s="897"/>
      <c r="TWN107" s="897"/>
      <c r="TWO107" s="895"/>
      <c r="TWP107" s="895"/>
      <c r="TWQ107" s="896"/>
      <c r="TWR107" s="897"/>
      <c r="TWS107" s="897"/>
      <c r="TWT107" s="897"/>
      <c r="TWU107" s="897"/>
      <c r="TWV107" s="897"/>
      <c r="TWW107" s="897"/>
      <c r="TWX107" s="897"/>
      <c r="TWY107" s="897"/>
      <c r="TWZ107" s="895"/>
      <c r="TXA107" s="895"/>
      <c r="TXB107" s="896"/>
      <c r="TXC107" s="897"/>
      <c r="TXD107" s="897"/>
      <c r="TXE107" s="897"/>
      <c r="TXF107" s="897"/>
      <c r="TXG107" s="897"/>
      <c r="TXH107" s="897"/>
      <c r="TXI107" s="897"/>
      <c r="TXJ107" s="897"/>
      <c r="TXK107" s="895"/>
      <c r="TXL107" s="895"/>
      <c r="TXM107" s="896"/>
      <c r="TXN107" s="897"/>
      <c r="TXO107" s="897"/>
      <c r="TXP107" s="897"/>
      <c r="TXQ107" s="897"/>
      <c r="TXR107" s="897"/>
      <c r="TXS107" s="897"/>
      <c r="TXT107" s="897"/>
      <c r="TXU107" s="897"/>
      <c r="TXV107" s="895"/>
      <c r="TXW107" s="895"/>
      <c r="TXX107" s="896"/>
      <c r="TXY107" s="897"/>
      <c r="TXZ107" s="897"/>
      <c r="TYA107" s="897"/>
      <c r="TYB107" s="897"/>
      <c r="TYC107" s="897"/>
      <c r="TYD107" s="897"/>
      <c r="TYE107" s="897"/>
      <c r="TYF107" s="897"/>
      <c r="TYG107" s="895"/>
      <c r="TYH107" s="895"/>
      <c r="TYI107" s="896"/>
      <c r="TYJ107" s="897"/>
      <c r="TYK107" s="897"/>
      <c r="TYL107" s="897"/>
      <c r="TYM107" s="897"/>
      <c r="TYN107" s="897"/>
      <c r="TYO107" s="897"/>
      <c r="TYP107" s="897"/>
      <c r="TYQ107" s="897"/>
      <c r="TYR107" s="895"/>
      <c r="TYS107" s="895"/>
      <c r="TYT107" s="896"/>
      <c r="TYU107" s="897"/>
      <c r="TYV107" s="897"/>
      <c r="TYW107" s="897"/>
      <c r="TYX107" s="897"/>
      <c r="TYY107" s="897"/>
      <c r="TYZ107" s="897"/>
      <c r="TZA107" s="897"/>
      <c r="TZB107" s="897"/>
      <c r="TZC107" s="895"/>
      <c r="TZD107" s="895"/>
      <c r="TZE107" s="896"/>
      <c r="TZF107" s="897"/>
      <c r="TZG107" s="897"/>
      <c r="TZH107" s="897"/>
      <c r="TZI107" s="897"/>
      <c r="TZJ107" s="897"/>
      <c r="TZK107" s="897"/>
      <c r="TZL107" s="897"/>
      <c r="TZM107" s="897"/>
      <c r="TZN107" s="895"/>
      <c r="TZO107" s="895"/>
      <c r="TZP107" s="896"/>
      <c r="TZQ107" s="897"/>
      <c r="TZR107" s="897"/>
      <c r="TZS107" s="897"/>
      <c r="TZT107" s="897"/>
      <c r="TZU107" s="897"/>
      <c r="TZV107" s="897"/>
      <c r="TZW107" s="897"/>
      <c r="TZX107" s="897"/>
      <c r="TZY107" s="895"/>
      <c r="TZZ107" s="895"/>
      <c r="UAA107" s="896"/>
      <c r="UAB107" s="897"/>
      <c r="UAC107" s="897"/>
      <c r="UAD107" s="897"/>
      <c r="UAE107" s="897"/>
      <c r="UAF107" s="897"/>
      <c r="UAG107" s="897"/>
      <c r="UAH107" s="897"/>
      <c r="UAI107" s="897"/>
      <c r="UAJ107" s="895"/>
      <c r="UAK107" s="895"/>
      <c r="UAL107" s="896"/>
      <c r="UAM107" s="897"/>
      <c r="UAN107" s="897"/>
      <c r="UAO107" s="897"/>
      <c r="UAP107" s="897"/>
      <c r="UAQ107" s="897"/>
      <c r="UAR107" s="897"/>
      <c r="UAS107" s="897"/>
      <c r="UAT107" s="897"/>
      <c r="UAU107" s="895"/>
      <c r="UAV107" s="895"/>
      <c r="UAW107" s="896"/>
      <c r="UAX107" s="897"/>
      <c r="UAY107" s="897"/>
      <c r="UAZ107" s="897"/>
      <c r="UBA107" s="897"/>
      <c r="UBB107" s="897"/>
      <c r="UBC107" s="897"/>
      <c r="UBD107" s="897"/>
      <c r="UBE107" s="897"/>
      <c r="UBF107" s="895"/>
      <c r="UBG107" s="895"/>
      <c r="UBH107" s="896"/>
      <c r="UBI107" s="897"/>
      <c r="UBJ107" s="897"/>
      <c r="UBK107" s="897"/>
      <c r="UBL107" s="897"/>
      <c r="UBM107" s="897"/>
      <c r="UBN107" s="897"/>
      <c r="UBO107" s="897"/>
      <c r="UBP107" s="897"/>
      <c r="UBQ107" s="895"/>
      <c r="UBR107" s="895"/>
      <c r="UBS107" s="896"/>
      <c r="UBT107" s="897"/>
      <c r="UBU107" s="897"/>
      <c r="UBV107" s="897"/>
      <c r="UBW107" s="897"/>
      <c r="UBX107" s="897"/>
      <c r="UBY107" s="897"/>
      <c r="UBZ107" s="897"/>
      <c r="UCA107" s="897"/>
      <c r="UCB107" s="895"/>
      <c r="UCC107" s="895"/>
      <c r="UCD107" s="896"/>
      <c r="UCE107" s="897"/>
      <c r="UCF107" s="897"/>
      <c r="UCG107" s="897"/>
      <c r="UCH107" s="897"/>
      <c r="UCI107" s="897"/>
      <c r="UCJ107" s="897"/>
      <c r="UCK107" s="897"/>
      <c r="UCL107" s="897"/>
      <c r="UCM107" s="895"/>
      <c r="UCN107" s="895"/>
      <c r="UCO107" s="896"/>
      <c r="UCP107" s="897"/>
      <c r="UCQ107" s="897"/>
      <c r="UCR107" s="897"/>
      <c r="UCS107" s="897"/>
      <c r="UCT107" s="897"/>
      <c r="UCU107" s="897"/>
      <c r="UCV107" s="897"/>
      <c r="UCW107" s="897"/>
      <c r="UCX107" s="895"/>
      <c r="UCY107" s="895"/>
      <c r="UCZ107" s="896"/>
      <c r="UDA107" s="897"/>
      <c r="UDB107" s="897"/>
      <c r="UDC107" s="897"/>
      <c r="UDD107" s="897"/>
      <c r="UDE107" s="897"/>
      <c r="UDF107" s="897"/>
      <c r="UDG107" s="897"/>
      <c r="UDH107" s="897"/>
      <c r="UDI107" s="895"/>
      <c r="UDJ107" s="895"/>
      <c r="UDK107" s="896"/>
      <c r="UDL107" s="897"/>
      <c r="UDM107" s="897"/>
      <c r="UDN107" s="897"/>
      <c r="UDO107" s="897"/>
      <c r="UDP107" s="897"/>
      <c r="UDQ107" s="897"/>
      <c r="UDR107" s="897"/>
      <c r="UDS107" s="897"/>
      <c r="UDT107" s="895"/>
      <c r="UDU107" s="895"/>
      <c r="UDV107" s="896"/>
      <c r="UDW107" s="897"/>
      <c r="UDX107" s="897"/>
      <c r="UDY107" s="897"/>
      <c r="UDZ107" s="897"/>
      <c r="UEA107" s="897"/>
      <c r="UEB107" s="897"/>
      <c r="UEC107" s="897"/>
      <c r="UED107" s="897"/>
      <c r="UEE107" s="895"/>
      <c r="UEF107" s="895"/>
      <c r="UEG107" s="896"/>
      <c r="UEH107" s="897"/>
      <c r="UEI107" s="897"/>
      <c r="UEJ107" s="897"/>
      <c r="UEK107" s="897"/>
      <c r="UEL107" s="897"/>
      <c r="UEM107" s="897"/>
      <c r="UEN107" s="897"/>
      <c r="UEO107" s="897"/>
      <c r="UEP107" s="895"/>
      <c r="UEQ107" s="895"/>
      <c r="UER107" s="896"/>
      <c r="UES107" s="897"/>
      <c r="UET107" s="897"/>
      <c r="UEU107" s="897"/>
      <c r="UEV107" s="897"/>
      <c r="UEW107" s="897"/>
      <c r="UEX107" s="897"/>
      <c r="UEY107" s="897"/>
      <c r="UEZ107" s="897"/>
      <c r="UFA107" s="895"/>
      <c r="UFB107" s="895"/>
      <c r="UFC107" s="896"/>
      <c r="UFD107" s="897"/>
      <c r="UFE107" s="897"/>
      <c r="UFF107" s="897"/>
      <c r="UFG107" s="897"/>
      <c r="UFH107" s="897"/>
      <c r="UFI107" s="897"/>
      <c r="UFJ107" s="897"/>
      <c r="UFK107" s="897"/>
      <c r="UFL107" s="895"/>
      <c r="UFM107" s="895"/>
      <c r="UFN107" s="896"/>
      <c r="UFO107" s="897"/>
      <c r="UFP107" s="897"/>
      <c r="UFQ107" s="897"/>
      <c r="UFR107" s="897"/>
      <c r="UFS107" s="897"/>
      <c r="UFT107" s="897"/>
      <c r="UFU107" s="897"/>
      <c r="UFV107" s="897"/>
      <c r="UFW107" s="895"/>
      <c r="UFX107" s="895"/>
      <c r="UFY107" s="896"/>
      <c r="UFZ107" s="897"/>
      <c r="UGA107" s="897"/>
      <c r="UGB107" s="897"/>
      <c r="UGC107" s="897"/>
      <c r="UGD107" s="897"/>
      <c r="UGE107" s="897"/>
      <c r="UGF107" s="897"/>
      <c r="UGG107" s="897"/>
      <c r="UGH107" s="895"/>
      <c r="UGI107" s="895"/>
      <c r="UGJ107" s="896"/>
      <c r="UGK107" s="897"/>
      <c r="UGL107" s="897"/>
      <c r="UGM107" s="897"/>
      <c r="UGN107" s="897"/>
      <c r="UGO107" s="897"/>
      <c r="UGP107" s="897"/>
      <c r="UGQ107" s="897"/>
      <c r="UGR107" s="897"/>
      <c r="UGS107" s="895"/>
      <c r="UGT107" s="895"/>
      <c r="UGU107" s="896"/>
      <c r="UGV107" s="897"/>
      <c r="UGW107" s="897"/>
      <c r="UGX107" s="897"/>
      <c r="UGY107" s="897"/>
      <c r="UGZ107" s="897"/>
      <c r="UHA107" s="897"/>
      <c r="UHB107" s="897"/>
      <c r="UHC107" s="897"/>
      <c r="UHD107" s="895"/>
      <c r="UHE107" s="895"/>
      <c r="UHF107" s="896"/>
      <c r="UHG107" s="897"/>
      <c r="UHH107" s="897"/>
      <c r="UHI107" s="897"/>
      <c r="UHJ107" s="897"/>
      <c r="UHK107" s="897"/>
      <c r="UHL107" s="897"/>
      <c r="UHM107" s="897"/>
      <c r="UHN107" s="897"/>
      <c r="UHO107" s="895"/>
      <c r="UHP107" s="895"/>
      <c r="UHQ107" s="896"/>
      <c r="UHR107" s="897"/>
      <c r="UHS107" s="897"/>
      <c r="UHT107" s="897"/>
      <c r="UHU107" s="897"/>
      <c r="UHV107" s="897"/>
      <c r="UHW107" s="897"/>
      <c r="UHX107" s="897"/>
      <c r="UHY107" s="897"/>
      <c r="UHZ107" s="895"/>
      <c r="UIA107" s="895"/>
      <c r="UIB107" s="896"/>
      <c r="UIC107" s="897"/>
      <c r="UID107" s="897"/>
      <c r="UIE107" s="897"/>
      <c r="UIF107" s="897"/>
      <c r="UIG107" s="897"/>
      <c r="UIH107" s="897"/>
      <c r="UII107" s="897"/>
      <c r="UIJ107" s="897"/>
      <c r="UIK107" s="895"/>
      <c r="UIL107" s="895"/>
      <c r="UIM107" s="896"/>
      <c r="UIN107" s="897"/>
      <c r="UIO107" s="897"/>
      <c r="UIP107" s="897"/>
      <c r="UIQ107" s="897"/>
      <c r="UIR107" s="897"/>
      <c r="UIS107" s="897"/>
      <c r="UIT107" s="897"/>
      <c r="UIU107" s="897"/>
      <c r="UIV107" s="895"/>
      <c r="UIW107" s="895"/>
      <c r="UIX107" s="896"/>
      <c r="UIY107" s="897"/>
      <c r="UIZ107" s="897"/>
      <c r="UJA107" s="897"/>
      <c r="UJB107" s="897"/>
      <c r="UJC107" s="897"/>
      <c r="UJD107" s="897"/>
      <c r="UJE107" s="897"/>
      <c r="UJF107" s="897"/>
      <c r="UJG107" s="895"/>
      <c r="UJH107" s="895"/>
      <c r="UJI107" s="896"/>
      <c r="UJJ107" s="897"/>
      <c r="UJK107" s="897"/>
      <c r="UJL107" s="897"/>
      <c r="UJM107" s="897"/>
      <c r="UJN107" s="897"/>
      <c r="UJO107" s="897"/>
      <c r="UJP107" s="897"/>
      <c r="UJQ107" s="897"/>
      <c r="UJR107" s="895"/>
      <c r="UJS107" s="895"/>
      <c r="UJT107" s="896"/>
      <c r="UJU107" s="897"/>
      <c r="UJV107" s="897"/>
      <c r="UJW107" s="897"/>
      <c r="UJX107" s="897"/>
      <c r="UJY107" s="897"/>
      <c r="UJZ107" s="897"/>
      <c r="UKA107" s="897"/>
      <c r="UKB107" s="897"/>
      <c r="UKC107" s="895"/>
      <c r="UKD107" s="895"/>
      <c r="UKE107" s="896"/>
      <c r="UKF107" s="897"/>
      <c r="UKG107" s="897"/>
      <c r="UKH107" s="897"/>
      <c r="UKI107" s="897"/>
      <c r="UKJ107" s="897"/>
      <c r="UKK107" s="897"/>
      <c r="UKL107" s="897"/>
      <c r="UKM107" s="897"/>
      <c r="UKN107" s="895"/>
      <c r="UKO107" s="895"/>
      <c r="UKP107" s="896"/>
      <c r="UKQ107" s="897"/>
      <c r="UKR107" s="897"/>
      <c r="UKS107" s="897"/>
      <c r="UKT107" s="897"/>
      <c r="UKU107" s="897"/>
      <c r="UKV107" s="897"/>
      <c r="UKW107" s="897"/>
      <c r="UKX107" s="897"/>
      <c r="UKY107" s="895"/>
      <c r="UKZ107" s="895"/>
      <c r="ULA107" s="896"/>
      <c r="ULB107" s="897"/>
      <c r="ULC107" s="897"/>
      <c r="ULD107" s="897"/>
      <c r="ULE107" s="897"/>
      <c r="ULF107" s="897"/>
      <c r="ULG107" s="897"/>
      <c r="ULH107" s="897"/>
      <c r="ULI107" s="897"/>
      <c r="ULJ107" s="895"/>
      <c r="ULK107" s="895"/>
      <c r="ULL107" s="896"/>
      <c r="ULM107" s="897"/>
      <c r="ULN107" s="897"/>
      <c r="ULO107" s="897"/>
      <c r="ULP107" s="897"/>
      <c r="ULQ107" s="897"/>
      <c r="ULR107" s="897"/>
      <c r="ULS107" s="897"/>
      <c r="ULT107" s="897"/>
      <c r="ULU107" s="895"/>
      <c r="ULV107" s="895"/>
      <c r="ULW107" s="896"/>
      <c r="ULX107" s="897"/>
      <c r="ULY107" s="897"/>
      <c r="ULZ107" s="897"/>
      <c r="UMA107" s="897"/>
      <c r="UMB107" s="897"/>
      <c r="UMC107" s="897"/>
      <c r="UMD107" s="897"/>
      <c r="UME107" s="897"/>
      <c r="UMF107" s="895"/>
      <c r="UMG107" s="895"/>
      <c r="UMH107" s="896"/>
      <c r="UMI107" s="897"/>
      <c r="UMJ107" s="897"/>
      <c r="UMK107" s="897"/>
      <c r="UML107" s="897"/>
      <c r="UMM107" s="897"/>
      <c r="UMN107" s="897"/>
      <c r="UMO107" s="897"/>
      <c r="UMP107" s="897"/>
      <c r="UMQ107" s="895"/>
      <c r="UMR107" s="895"/>
      <c r="UMS107" s="896"/>
      <c r="UMT107" s="897"/>
      <c r="UMU107" s="897"/>
      <c r="UMV107" s="897"/>
      <c r="UMW107" s="897"/>
      <c r="UMX107" s="897"/>
      <c r="UMY107" s="897"/>
      <c r="UMZ107" s="897"/>
      <c r="UNA107" s="897"/>
      <c r="UNB107" s="895"/>
      <c r="UNC107" s="895"/>
      <c r="UND107" s="896"/>
      <c r="UNE107" s="897"/>
      <c r="UNF107" s="897"/>
      <c r="UNG107" s="897"/>
      <c r="UNH107" s="897"/>
      <c r="UNI107" s="897"/>
      <c r="UNJ107" s="897"/>
      <c r="UNK107" s="897"/>
      <c r="UNL107" s="897"/>
      <c r="UNM107" s="895"/>
      <c r="UNN107" s="895"/>
      <c r="UNO107" s="896"/>
      <c r="UNP107" s="897"/>
      <c r="UNQ107" s="897"/>
      <c r="UNR107" s="897"/>
      <c r="UNS107" s="897"/>
      <c r="UNT107" s="897"/>
      <c r="UNU107" s="897"/>
      <c r="UNV107" s="897"/>
      <c r="UNW107" s="897"/>
      <c r="UNX107" s="895"/>
      <c r="UNY107" s="895"/>
      <c r="UNZ107" s="896"/>
      <c r="UOA107" s="897"/>
      <c r="UOB107" s="897"/>
      <c r="UOC107" s="897"/>
      <c r="UOD107" s="897"/>
      <c r="UOE107" s="897"/>
      <c r="UOF107" s="897"/>
      <c r="UOG107" s="897"/>
      <c r="UOH107" s="897"/>
      <c r="UOI107" s="895"/>
      <c r="UOJ107" s="895"/>
      <c r="UOK107" s="896"/>
      <c r="UOL107" s="897"/>
      <c r="UOM107" s="897"/>
      <c r="UON107" s="897"/>
      <c r="UOO107" s="897"/>
      <c r="UOP107" s="897"/>
      <c r="UOQ107" s="897"/>
      <c r="UOR107" s="897"/>
      <c r="UOS107" s="897"/>
      <c r="UOT107" s="895"/>
      <c r="UOU107" s="895"/>
      <c r="UOV107" s="896"/>
      <c r="UOW107" s="897"/>
      <c r="UOX107" s="897"/>
      <c r="UOY107" s="897"/>
      <c r="UOZ107" s="897"/>
      <c r="UPA107" s="897"/>
      <c r="UPB107" s="897"/>
      <c r="UPC107" s="897"/>
      <c r="UPD107" s="897"/>
      <c r="UPE107" s="895"/>
      <c r="UPF107" s="895"/>
      <c r="UPG107" s="896"/>
      <c r="UPH107" s="897"/>
      <c r="UPI107" s="897"/>
      <c r="UPJ107" s="897"/>
      <c r="UPK107" s="897"/>
      <c r="UPL107" s="897"/>
      <c r="UPM107" s="897"/>
      <c r="UPN107" s="897"/>
      <c r="UPO107" s="897"/>
      <c r="UPP107" s="895"/>
      <c r="UPQ107" s="895"/>
      <c r="UPR107" s="896"/>
      <c r="UPS107" s="897"/>
      <c r="UPT107" s="897"/>
      <c r="UPU107" s="897"/>
      <c r="UPV107" s="897"/>
      <c r="UPW107" s="897"/>
      <c r="UPX107" s="897"/>
      <c r="UPY107" s="897"/>
      <c r="UPZ107" s="897"/>
      <c r="UQA107" s="895"/>
      <c r="UQB107" s="895"/>
      <c r="UQC107" s="896"/>
      <c r="UQD107" s="897"/>
      <c r="UQE107" s="897"/>
      <c r="UQF107" s="897"/>
      <c r="UQG107" s="897"/>
      <c r="UQH107" s="897"/>
      <c r="UQI107" s="897"/>
      <c r="UQJ107" s="897"/>
      <c r="UQK107" s="897"/>
      <c r="UQL107" s="895"/>
      <c r="UQM107" s="895"/>
      <c r="UQN107" s="896"/>
      <c r="UQO107" s="897"/>
      <c r="UQP107" s="897"/>
      <c r="UQQ107" s="897"/>
      <c r="UQR107" s="897"/>
      <c r="UQS107" s="897"/>
      <c r="UQT107" s="897"/>
      <c r="UQU107" s="897"/>
      <c r="UQV107" s="897"/>
      <c r="UQW107" s="895"/>
      <c r="UQX107" s="895"/>
      <c r="UQY107" s="896"/>
      <c r="UQZ107" s="897"/>
      <c r="URA107" s="897"/>
      <c r="URB107" s="897"/>
      <c r="URC107" s="897"/>
      <c r="URD107" s="897"/>
      <c r="URE107" s="897"/>
      <c r="URF107" s="897"/>
      <c r="URG107" s="897"/>
      <c r="URH107" s="895"/>
      <c r="URI107" s="895"/>
      <c r="URJ107" s="896"/>
      <c r="URK107" s="897"/>
      <c r="URL107" s="897"/>
      <c r="URM107" s="897"/>
      <c r="URN107" s="897"/>
      <c r="URO107" s="897"/>
      <c r="URP107" s="897"/>
      <c r="URQ107" s="897"/>
      <c r="URR107" s="897"/>
      <c r="URS107" s="895"/>
      <c r="URT107" s="895"/>
      <c r="URU107" s="896"/>
      <c r="URV107" s="897"/>
      <c r="URW107" s="897"/>
      <c r="URX107" s="897"/>
      <c r="URY107" s="897"/>
      <c r="URZ107" s="897"/>
      <c r="USA107" s="897"/>
      <c r="USB107" s="897"/>
      <c r="USC107" s="897"/>
      <c r="USD107" s="895"/>
      <c r="USE107" s="895"/>
      <c r="USF107" s="896"/>
      <c r="USG107" s="897"/>
      <c r="USH107" s="897"/>
      <c r="USI107" s="897"/>
      <c r="USJ107" s="897"/>
      <c r="USK107" s="897"/>
      <c r="USL107" s="897"/>
      <c r="USM107" s="897"/>
      <c r="USN107" s="897"/>
      <c r="USO107" s="895"/>
      <c r="USP107" s="895"/>
      <c r="USQ107" s="896"/>
      <c r="USR107" s="897"/>
      <c r="USS107" s="897"/>
      <c r="UST107" s="897"/>
      <c r="USU107" s="897"/>
      <c r="USV107" s="897"/>
      <c r="USW107" s="897"/>
      <c r="USX107" s="897"/>
      <c r="USY107" s="897"/>
      <c r="USZ107" s="895"/>
      <c r="UTA107" s="895"/>
      <c r="UTB107" s="896"/>
      <c r="UTC107" s="897"/>
      <c r="UTD107" s="897"/>
      <c r="UTE107" s="897"/>
      <c r="UTF107" s="897"/>
      <c r="UTG107" s="897"/>
      <c r="UTH107" s="897"/>
      <c r="UTI107" s="897"/>
      <c r="UTJ107" s="897"/>
      <c r="UTK107" s="895"/>
      <c r="UTL107" s="895"/>
      <c r="UTM107" s="896"/>
      <c r="UTN107" s="897"/>
      <c r="UTO107" s="897"/>
      <c r="UTP107" s="897"/>
      <c r="UTQ107" s="897"/>
      <c r="UTR107" s="897"/>
      <c r="UTS107" s="897"/>
      <c r="UTT107" s="897"/>
      <c r="UTU107" s="897"/>
      <c r="UTV107" s="895"/>
      <c r="UTW107" s="895"/>
      <c r="UTX107" s="896"/>
      <c r="UTY107" s="897"/>
      <c r="UTZ107" s="897"/>
      <c r="UUA107" s="897"/>
      <c r="UUB107" s="897"/>
      <c r="UUC107" s="897"/>
      <c r="UUD107" s="897"/>
      <c r="UUE107" s="897"/>
      <c r="UUF107" s="897"/>
      <c r="UUG107" s="895"/>
      <c r="UUH107" s="895"/>
      <c r="UUI107" s="896"/>
      <c r="UUJ107" s="897"/>
      <c r="UUK107" s="897"/>
      <c r="UUL107" s="897"/>
      <c r="UUM107" s="897"/>
      <c r="UUN107" s="897"/>
      <c r="UUO107" s="897"/>
      <c r="UUP107" s="897"/>
      <c r="UUQ107" s="897"/>
      <c r="UUR107" s="895"/>
      <c r="UUS107" s="895"/>
      <c r="UUT107" s="896"/>
      <c r="UUU107" s="897"/>
      <c r="UUV107" s="897"/>
      <c r="UUW107" s="897"/>
      <c r="UUX107" s="897"/>
      <c r="UUY107" s="897"/>
      <c r="UUZ107" s="897"/>
      <c r="UVA107" s="897"/>
      <c r="UVB107" s="897"/>
      <c r="UVC107" s="895"/>
      <c r="UVD107" s="895"/>
      <c r="UVE107" s="896"/>
      <c r="UVF107" s="897"/>
      <c r="UVG107" s="897"/>
      <c r="UVH107" s="897"/>
      <c r="UVI107" s="897"/>
      <c r="UVJ107" s="897"/>
      <c r="UVK107" s="897"/>
      <c r="UVL107" s="897"/>
      <c r="UVM107" s="897"/>
      <c r="UVN107" s="895"/>
      <c r="UVO107" s="895"/>
      <c r="UVP107" s="896"/>
      <c r="UVQ107" s="897"/>
      <c r="UVR107" s="897"/>
      <c r="UVS107" s="897"/>
      <c r="UVT107" s="897"/>
      <c r="UVU107" s="897"/>
      <c r="UVV107" s="897"/>
      <c r="UVW107" s="897"/>
      <c r="UVX107" s="897"/>
      <c r="UVY107" s="895"/>
      <c r="UVZ107" s="895"/>
      <c r="UWA107" s="896"/>
      <c r="UWB107" s="897"/>
      <c r="UWC107" s="897"/>
      <c r="UWD107" s="897"/>
      <c r="UWE107" s="897"/>
      <c r="UWF107" s="897"/>
      <c r="UWG107" s="897"/>
      <c r="UWH107" s="897"/>
      <c r="UWI107" s="897"/>
      <c r="UWJ107" s="895"/>
      <c r="UWK107" s="895"/>
      <c r="UWL107" s="896"/>
      <c r="UWM107" s="897"/>
      <c r="UWN107" s="897"/>
      <c r="UWO107" s="897"/>
      <c r="UWP107" s="897"/>
      <c r="UWQ107" s="897"/>
      <c r="UWR107" s="897"/>
      <c r="UWS107" s="897"/>
      <c r="UWT107" s="897"/>
      <c r="UWU107" s="895"/>
      <c r="UWV107" s="895"/>
      <c r="UWW107" s="896"/>
      <c r="UWX107" s="897"/>
      <c r="UWY107" s="897"/>
      <c r="UWZ107" s="897"/>
      <c r="UXA107" s="897"/>
      <c r="UXB107" s="897"/>
      <c r="UXC107" s="897"/>
      <c r="UXD107" s="897"/>
      <c r="UXE107" s="897"/>
      <c r="UXF107" s="895"/>
      <c r="UXG107" s="895"/>
      <c r="UXH107" s="896"/>
      <c r="UXI107" s="897"/>
      <c r="UXJ107" s="897"/>
      <c r="UXK107" s="897"/>
      <c r="UXL107" s="897"/>
      <c r="UXM107" s="897"/>
      <c r="UXN107" s="897"/>
      <c r="UXO107" s="897"/>
      <c r="UXP107" s="897"/>
      <c r="UXQ107" s="895"/>
      <c r="UXR107" s="895"/>
      <c r="UXS107" s="896"/>
      <c r="UXT107" s="897"/>
      <c r="UXU107" s="897"/>
      <c r="UXV107" s="897"/>
      <c r="UXW107" s="897"/>
      <c r="UXX107" s="897"/>
      <c r="UXY107" s="897"/>
      <c r="UXZ107" s="897"/>
      <c r="UYA107" s="897"/>
      <c r="UYB107" s="895"/>
      <c r="UYC107" s="895"/>
      <c r="UYD107" s="896"/>
      <c r="UYE107" s="897"/>
      <c r="UYF107" s="897"/>
      <c r="UYG107" s="897"/>
      <c r="UYH107" s="897"/>
      <c r="UYI107" s="897"/>
      <c r="UYJ107" s="897"/>
      <c r="UYK107" s="897"/>
      <c r="UYL107" s="897"/>
      <c r="UYM107" s="895"/>
      <c r="UYN107" s="895"/>
      <c r="UYO107" s="896"/>
      <c r="UYP107" s="897"/>
      <c r="UYQ107" s="897"/>
      <c r="UYR107" s="897"/>
      <c r="UYS107" s="897"/>
      <c r="UYT107" s="897"/>
      <c r="UYU107" s="897"/>
      <c r="UYV107" s="897"/>
      <c r="UYW107" s="897"/>
      <c r="UYX107" s="895"/>
      <c r="UYY107" s="895"/>
      <c r="UYZ107" s="896"/>
      <c r="UZA107" s="897"/>
      <c r="UZB107" s="897"/>
      <c r="UZC107" s="897"/>
      <c r="UZD107" s="897"/>
      <c r="UZE107" s="897"/>
      <c r="UZF107" s="897"/>
      <c r="UZG107" s="897"/>
      <c r="UZH107" s="897"/>
      <c r="UZI107" s="895"/>
      <c r="UZJ107" s="895"/>
      <c r="UZK107" s="896"/>
      <c r="UZL107" s="897"/>
      <c r="UZM107" s="897"/>
      <c r="UZN107" s="897"/>
      <c r="UZO107" s="897"/>
      <c r="UZP107" s="897"/>
      <c r="UZQ107" s="897"/>
      <c r="UZR107" s="897"/>
      <c r="UZS107" s="897"/>
      <c r="UZT107" s="895"/>
      <c r="UZU107" s="895"/>
      <c r="UZV107" s="896"/>
      <c r="UZW107" s="897"/>
      <c r="UZX107" s="897"/>
      <c r="UZY107" s="897"/>
      <c r="UZZ107" s="897"/>
      <c r="VAA107" s="897"/>
      <c r="VAB107" s="897"/>
      <c r="VAC107" s="897"/>
      <c r="VAD107" s="897"/>
      <c r="VAE107" s="895"/>
      <c r="VAF107" s="895"/>
      <c r="VAG107" s="896"/>
      <c r="VAH107" s="897"/>
      <c r="VAI107" s="897"/>
      <c r="VAJ107" s="897"/>
      <c r="VAK107" s="897"/>
      <c r="VAL107" s="897"/>
      <c r="VAM107" s="897"/>
      <c r="VAN107" s="897"/>
      <c r="VAO107" s="897"/>
      <c r="VAP107" s="895"/>
      <c r="VAQ107" s="895"/>
      <c r="VAR107" s="896"/>
      <c r="VAS107" s="897"/>
      <c r="VAT107" s="897"/>
      <c r="VAU107" s="897"/>
      <c r="VAV107" s="897"/>
      <c r="VAW107" s="897"/>
      <c r="VAX107" s="897"/>
      <c r="VAY107" s="897"/>
      <c r="VAZ107" s="897"/>
      <c r="VBA107" s="895"/>
      <c r="VBB107" s="895"/>
      <c r="VBC107" s="896"/>
      <c r="VBD107" s="897"/>
      <c r="VBE107" s="897"/>
      <c r="VBF107" s="897"/>
      <c r="VBG107" s="897"/>
      <c r="VBH107" s="897"/>
      <c r="VBI107" s="897"/>
      <c r="VBJ107" s="897"/>
      <c r="VBK107" s="897"/>
      <c r="VBL107" s="895"/>
      <c r="VBM107" s="895"/>
      <c r="VBN107" s="896"/>
      <c r="VBO107" s="897"/>
      <c r="VBP107" s="897"/>
      <c r="VBQ107" s="897"/>
      <c r="VBR107" s="897"/>
      <c r="VBS107" s="897"/>
      <c r="VBT107" s="897"/>
      <c r="VBU107" s="897"/>
      <c r="VBV107" s="897"/>
      <c r="VBW107" s="895"/>
      <c r="VBX107" s="895"/>
      <c r="VBY107" s="896"/>
      <c r="VBZ107" s="897"/>
      <c r="VCA107" s="897"/>
      <c r="VCB107" s="897"/>
      <c r="VCC107" s="897"/>
      <c r="VCD107" s="897"/>
      <c r="VCE107" s="897"/>
      <c r="VCF107" s="897"/>
      <c r="VCG107" s="897"/>
      <c r="VCH107" s="895"/>
      <c r="VCI107" s="895"/>
      <c r="VCJ107" s="896"/>
      <c r="VCK107" s="897"/>
      <c r="VCL107" s="897"/>
      <c r="VCM107" s="897"/>
      <c r="VCN107" s="897"/>
      <c r="VCO107" s="897"/>
      <c r="VCP107" s="897"/>
      <c r="VCQ107" s="897"/>
      <c r="VCR107" s="897"/>
      <c r="VCS107" s="895"/>
      <c r="VCT107" s="895"/>
      <c r="VCU107" s="896"/>
      <c r="VCV107" s="897"/>
      <c r="VCW107" s="897"/>
      <c r="VCX107" s="897"/>
      <c r="VCY107" s="897"/>
      <c r="VCZ107" s="897"/>
      <c r="VDA107" s="897"/>
      <c r="VDB107" s="897"/>
      <c r="VDC107" s="897"/>
      <c r="VDD107" s="895"/>
      <c r="VDE107" s="895"/>
      <c r="VDF107" s="896"/>
      <c r="VDG107" s="897"/>
      <c r="VDH107" s="897"/>
      <c r="VDI107" s="897"/>
      <c r="VDJ107" s="897"/>
      <c r="VDK107" s="897"/>
      <c r="VDL107" s="897"/>
      <c r="VDM107" s="897"/>
      <c r="VDN107" s="897"/>
      <c r="VDO107" s="895"/>
      <c r="VDP107" s="895"/>
      <c r="VDQ107" s="896"/>
      <c r="VDR107" s="897"/>
      <c r="VDS107" s="897"/>
      <c r="VDT107" s="897"/>
      <c r="VDU107" s="897"/>
      <c r="VDV107" s="897"/>
      <c r="VDW107" s="897"/>
      <c r="VDX107" s="897"/>
      <c r="VDY107" s="897"/>
      <c r="VDZ107" s="895"/>
      <c r="VEA107" s="895"/>
      <c r="VEB107" s="896"/>
      <c r="VEC107" s="897"/>
      <c r="VED107" s="897"/>
      <c r="VEE107" s="897"/>
      <c r="VEF107" s="897"/>
      <c r="VEG107" s="897"/>
      <c r="VEH107" s="897"/>
      <c r="VEI107" s="897"/>
      <c r="VEJ107" s="897"/>
      <c r="VEK107" s="895"/>
      <c r="VEL107" s="895"/>
      <c r="VEM107" s="896"/>
      <c r="VEN107" s="897"/>
      <c r="VEO107" s="897"/>
      <c r="VEP107" s="897"/>
      <c r="VEQ107" s="897"/>
      <c r="VER107" s="897"/>
      <c r="VES107" s="897"/>
      <c r="VET107" s="897"/>
      <c r="VEU107" s="897"/>
      <c r="VEV107" s="895"/>
      <c r="VEW107" s="895"/>
      <c r="VEX107" s="896"/>
      <c r="VEY107" s="897"/>
      <c r="VEZ107" s="897"/>
      <c r="VFA107" s="897"/>
      <c r="VFB107" s="897"/>
      <c r="VFC107" s="897"/>
      <c r="VFD107" s="897"/>
      <c r="VFE107" s="897"/>
      <c r="VFF107" s="897"/>
      <c r="VFG107" s="895"/>
      <c r="VFH107" s="895"/>
      <c r="VFI107" s="896"/>
      <c r="VFJ107" s="897"/>
      <c r="VFK107" s="897"/>
      <c r="VFL107" s="897"/>
      <c r="VFM107" s="897"/>
      <c r="VFN107" s="897"/>
      <c r="VFO107" s="897"/>
      <c r="VFP107" s="897"/>
      <c r="VFQ107" s="897"/>
      <c r="VFR107" s="895"/>
      <c r="VFS107" s="895"/>
      <c r="VFT107" s="896"/>
      <c r="VFU107" s="897"/>
      <c r="VFV107" s="897"/>
      <c r="VFW107" s="897"/>
      <c r="VFX107" s="897"/>
      <c r="VFY107" s="897"/>
      <c r="VFZ107" s="897"/>
      <c r="VGA107" s="897"/>
      <c r="VGB107" s="897"/>
      <c r="VGC107" s="895"/>
      <c r="VGD107" s="895"/>
      <c r="VGE107" s="896"/>
      <c r="VGF107" s="897"/>
      <c r="VGG107" s="897"/>
      <c r="VGH107" s="897"/>
      <c r="VGI107" s="897"/>
      <c r="VGJ107" s="897"/>
      <c r="VGK107" s="897"/>
      <c r="VGL107" s="897"/>
      <c r="VGM107" s="897"/>
      <c r="VGN107" s="895"/>
      <c r="VGO107" s="895"/>
      <c r="VGP107" s="896"/>
      <c r="VGQ107" s="897"/>
      <c r="VGR107" s="897"/>
      <c r="VGS107" s="897"/>
      <c r="VGT107" s="897"/>
      <c r="VGU107" s="897"/>
      <c r="VGV107" s="897"/>
      <c r="VGW107" s="897"/>
      <c r="VGX107" s="897"/>
      <c r="VGY107" s="895"/>
      <c r="VGZ107" s="895"/>
      <c r="VHA107" s="896"/>
      <c r="VHB107" s="897"/>
      <c r="VHC107" s="897"/>
      <c r="VHD107" s="897"/>
      <c r="VHE107" s="897"/>
      <c r="VHF107" s="897"/>
      <c r="VHG107" s="897"/>
      <c r="VHH107" s="897"/>
      <c r="VHI107" s="897"/>
      <c r="VHJ107" s="895"/>
      <c r="VHK107" s="895"/>
      <c r="VHL107" s="896"/>
      <c r="VHM107" s="897"/>
      <c r="VHN107" s="897"/>
      <c r="VHO107" s="897"/>
      <c r="VHP107" s="897"/>
      <c r="VHQ107" s="897"/>
      <c r="VHR107" s="897"/>
      <c r="VHS107" s="897"/>
      <c r="VHT107" s="897"/>
      <c r="VHU107" s="895"/>
      <c r="VHV107" s="895"/>
      <c r="VHW107" s="896"/>
      <c r="VHX107" s="897"/>
      <c r="VHY107" s="897"/>
      <c r="VHZ107" s="897"/>
      <c r="VIA107" s="897"/>
      <c r="VIB107" s="897"/>
      <c r="VIC107" s="897"/>
      <c r="VID107" s="897"/>
      <c r="VIE107" s="897"/>
      <c r="VIF107" s="895"/>
      <c r="VIG107" s="895"/>
      <c r="VIH107" s="896"/>
      <c r="VII107" s="897"/>
      <c r="VIJ107" s="897"/>
      <c r="VIK107" s="897"/>
      <c r="VIL107" s="897"/>
      <c r="VIM107" s="897"/>
      <c r="VIN107" s="897"/>
      <c r="VIO107" s="897"/>
      <c r="VIP107" s="897"/>
      <c r="VIQ107" s="895"/>
      <c r="VIR107" s="895"/>
      <c r="VIS107" s="896"/>
      <c r="VIT107" s="897"/>
      <c r="VIU107" s="897"/>
      <c r="VIV107" s="897"/>
      <c r="VIW107" s="897"/>
      <c r="VIX107" s="897"/>
      <c r="VIY107" s="897"/>
      <c r="VIZ107" s="897"/>
      <c r="VJA107" s="897"/>
      <c r="VJB107" s="895"/>
      <c r="VJC107" s="895"/>
      <c r="VJD107" s="896"/>
      <c r="VJE107" s="897"/>
      <c r="VJF107" s="897"/>
      <c r="VJG107" s="897"/>
      <c r="VJH107" s="897"/>
      <c r="VJI107" s="897"/>
      <c r="VJJ107" s="897"/>
      <c r="VJK107" s="897"/>
      <c r="VJL107" s="897"/>
      <c r="VJM107" s="895"/>
      <c r="VJN107" s="895"/>
      <c r="VJO107" s="896"/>
      <c r="VJP107" s="897"/>
      <c r="VJQ107" s="897"/>
      <c r="VJR107" s="897"/>
      <c r="VJS107" s="897"/>
      <c r="VJT107" s="897"/>
      <c r="VJU107" s="897"/>
      <c r="VJV107" s="897"/>
      <c r="VJW107" s="897"/>
      <c r="VJX107" s="895"/>
      <c r="VJY107" s="895"/>
      <c r="VJZ107" s="896"/>
      <c r="VKA107" s="897"/>
      <c r="VKB107" s="897"/>
      <c r="VKC107" s="897"/>
      <c r="VKD107" s="897"/>
      <c r="VKE107" s="897"/>
      <c r="VKF107" s="897"/>
      <c r="VKG107" s="897"/>
      <c r="VKH107" s="897"/>
      <c r="VKI107" s="895"/>
      <c r="VKJ107" s="895"/>
      <c r="VKK107" s="896"/>
      <c r="VKL107" s="897"/>
      <c r="VKM107" s="897"/>
      <c r="VKN107" s="897"/>
      <c r="VKO107" s="897"/>
      <c r="VKP107" s="897"/>
      <c r="VKQ107" s="897"/>
      <c r="VKR107" s="897"/>
      <c r="VKS107" s="897"/>
      <c r="VKT107" s="895"/>
      <c r="VKU107" s="895"/>
      <c r="VKV107" s="896"/>
      <c r="VKW107" s="897"/>
      <c r="VKX107" s="897"/>
      <c r="VKY107" s="897"/>
      <c r="VKZ107" s="897"/>
      <c r="VLA107" s="897"/>
      <c r="VLB107" s="897"/>
      <c r="VLC107" s="897"/>
      <c r="VLD107" s="897"/>
      <c r="VLE107" s="895"/>
      <c r="VLF107" s="895"/>
      <c r="VLG107" s="896"/>
      <c r="VLH107" s="897"/>
      <c r="VLI107" s="897"/>
      <c r="VLJ107" s="897"/>
      <c r="VLK107" s="897"/>
      <c r="VLL107" s="897"/>
      <c r="VLM107" s="897"/>
      <c r="VLN107" s="897"/>
      <c r="VLO107" s="897"/>
      <c r="VLP107" s="895"/>
      <c r="VLQ107" s="895"/>
      <c r="VLR107" s="896"/>
      <c r="VLS107" s="897"/>
      <c r="VLT107" s="897"/>
      <c r="VLU107" s="897"/>
      <c r="VLV107" s="897"/>
      <c r="VLW107" s="897"/>
      <c r="VLX107" s="897"/>
      <c r="VLY107" s="897"/>
      <c r="VLZ107" s="897"/>
      <c r="VMA107" s="895"/>
      <c r="VMB107" s="895"/>
      <c r="VMC107" s="896"/>
      <c r="VMD107" s="897"/>
      <c r="VME107" s="897"/>
      <c r="VMF107" s="897"/>
      <c r="VMG107" s="897"/>
      <c r="VMH107" s="897"/>
      <c r="VMI107" s="897"/>
      <c r="VMJ107" s="897"/>
      <c r="VMK107" s="897"/>
      <c r="VML107" s="895"/>
      <c r="VMM107" s="895"/>
      <c r="VMN107" s="896"/>
      <c r="VMO107" s="897"/>
      <c r="VMP107" s="897"/>
      <c r="VMQ107" s="897"/>
      <c r="VMR107" s="897"/>
      <c r="VMS107" s="897"/>
      <c r="VMT107" s="897"/>
      <c r="VMU107" s="897"/>
      <c r="VMV107" s="897"/>
      <c r="VMW107" s="895"/>
      <c r="VMX107" s="895"/>
      <c r="VMY107" s="896"/>
      <c r="VMZ107" s="897"/>
      <c r="VNA107" s="897"/>
      <c r="VNB107" s="897"/>
      <c r="VNC107" s="897"/>
      <c r="VND107" s="897"/>
      <c r="VNE107" s="897"/>
      <c r="VNF107" s="897"/>
      <c r="VNG107" s="897"/>
      <c r="VNH107" s="895"/>
      <c r="VNI107" s="895"/>
      <c r="VNJ107" s="896"/>
      <c r="VNK107" s="897"/>
      <c r="VNL107" s="897"/>
      <c r="VNM107" s="897"/>
      <c r="VNN107" s="897"/>
      <c r="VNO107" s="897"/>
      <c r="VNP107" s="897"/>
      <c r="VNQ107" s="897"/>
      <c r="VNR107" s="897"/>
      <c r="VNS107" s="895"/>
      <c r="VNT107" s="895"/>
      <c r="VNU107" s="896"/>
      <c r="VNV107" s="897"/>
      <c r="VNW107" s="897"/>
      <c r="VNX107" s="897"/>
      <c r="VNY107" s="897"/>
      <c r="VNZ107" s="897"/>
      <c r="VOA107" s="897"/>
      <c r="VOB107" s="897"/>
      <c r="VOC107" s="897"/>
      <c r="VOD107" s="895"/>
      <c r="VOE107" s="895"/>
      <c r="VOF107" s="896"/>
      <c r="VOG107" s="897"/>
      <c r="VOH107" s="897"/>
      <c r="VOI107" s="897"/>
      <c r="VOJ107" s="897"/>
      <c r="VOK107" s="897"/>
      <c r="VOL107" s="897"/>
      <c r="VOM107" s="897"/>
      <c r="VON107" s="897"/>
      <c r="VOO107" s="895"/>
      <c r="VOP107" s="895"/>
      <c r="VOQ107" s="896"/>
      <c r="VOR107" s="897"/>
      <c r="VOS107" s="897"/>
      <c r="VOT107" s="897"/>
      <c r="VOU107" s="897"/>
      <c r="VOV107" s="897"/>
      <c r="VOW107" s="897"/>
      <c r="VOX107" s="897"/>
      <c r="VOY107" s="897"/>
      <c r="VOZ107" s="895"/>
      <c r="VPA107" s="895"/>
      <c r="VPB107" s="896"/>
      <c r="VPC107" s="897"/>
      <c r="VPD107" s="897"/>
      <c r="VPE107" s="897"/>
      <c r="VPF107" s="897"/>
      <c r="VPG107" s="897"/>
      <c r="VPH107" s="897"/>
      <c r="VPI107" s="897"/>
      <c r="VPJ107" s="897"/>
      <c r="VPK107" s="895"/>
      <c r="VPL107" s="895"/>
      <c r="VPM107" s="896"/>
      <c r="VPN107" s="897"/>
      <c r="VPO107" s="897"/>
      <c r="VPP107" s="897"/>
      <c r="VPQ107" s="897"/>
      <c r="VPR107" s="897"/>
      <c r="VPS107" s="897"/>
      <c r="VPT107" s="897"/>
      <c r="VPU107" s="897"/>
      <c r="VPV107" s="895"/>
      <c r="VPW107" s="895"/>
      <c r="VPX107" s="896"/>
      <c r="VPY107" s="897"/>
      <c r="VPZ107" s="897"/>
      <c r="VQA107" s="897"/>
      <c r="VQB107" s="897"/>
      <c r="VQC107" s="897"/>
      <c r="VQD107" s="897"/>
      <c r="VQE107" s="897"/>
      <c r="VQF107" s="897"/>
      <c r="VQG107" s="895"/>
      <c r="VQH107" s="895"/>
      <c r="VQI107" s="896"/>
      <c r="VQJ107" s="897"/>
      <c r="VQK107" s="897"/>
      <c r="VQL107" s="897"/>
      <c r="VQM107" s="897"/>
      <c r="VQN107" s="897"/>
      <c r="VQO107" s="897"/>
      <c r="VQP107" s="897"/>
      <c r="VQQ107" s="897"/>
      <c r="VQR107" s="895"/>
      <c r="VQS107" s="895"/>
      <c r="VQT107" s="896"/>
      <c r="VQU107" s="897"/>
      <c r="VQV107" s="897"/>
      <c r="VQW107" s="897"/>
      <c r="VQX107" s="897"/>
      <c r="VQY107" s="897"/>
      <c r="VQZ107" s="897"/>
      <c r="VRA107" s="897"/>
      <c r="VRB107" s="897"/>
      <c r="VRC107" s="895"/>
      <c r="VRD107" s="895"/>
      <c r="VRE107" s="896"/>
      <c r="VRF107" s="897"/>
      <c r="VRG107" s="897"/>
      <c r="VRH107" s="897"/>
      <c r="VRI107" s="897"/>
      <c r="VRJ107" s="897"/>
      <c r="VRK107" s="897"/>
      <c r="VRL107" s="897"/>
      <c r="VRM107" s="897"/>
      <c r="VRN107" s="895"/>
      <c r="VRO107" s="895"/>
      <c r="VRP107" s="896"/>
      <c r="VRQ107" s="897"/>
      <c r="VRR107" s="897"/>
      <c r="VRS107" s="897"/>
      <c r="VRT107" s="897"/>
      <c r="VRU107" s="897"/>
      <c r="VRV107" s="897"/>
      <c r="VRW107" s="897"/>
      <c r="VRX107" s="897"/>
      <c r="VRY107" s="895"/>
      <c r="VRZ107" s="895"/>
      <c r="VSA107" s="896"/>
      <c r="VSB107" s="897"/>
      <c r="VSC107" s="897"/>
      <c r="VSD107" s="897"/>
      <c r="VSE107" s="897"/>
      <c r="VSF107" s="897"/>
      <c r="VSG107" s="897"/>
      <c r="VSH107" s="897"/>
      <c r="VSI107" s="897"/>
      <c r="VSJ107" s="895"/>
      <c r="VSK107" s="895"/>
      <c r="VSL107" s="896"/>
      <c r="VSM107" s="897"/>
      <c r="VSN107" s="897"/>
      <c r="VSO107" s="897"/>
      <c r="VSP107" s="897"/>
      <c r="VSQ107" s="897"/>
      <c r="VSR107" s="897"/>
      <c r="VSS107" s="897"/>
      <c r="VST107" s="897"/>
      <c r="VSU107" s="895"/>
      <c r="VSV107" s="895"/>
      <c r="VSW107" s="896"/>
      <c r="VSX107" s="897"/>
      <c r="VSY107" s="897"/>
      <c r="VSZ107" s="897"/>
      <c r="VTA107" s="897"/>
      <c r="VTB107" s="897"/>
      <c r="VTC107" s="897"/>
      <c r="VTD107" s="897"/>
      <c r="VTE107" s="897"/>
      <c r="VTF107" s="895"/>
      <c r="VTG107" s="895"/>
      <c r="VTH107" s="896"/>
      <c r="VTI107" s="897"/>
      <c r="VTJ107" s="897"/>
      <c r="VTK107" s="897"/>
      <c r="VTL107" s="897"/>
      <c r="VTM107" s="897"/>
      <c r="VTN107" s="897"/>
      <c r="VTO107" s="897"/>
      <c r="VTP107" s="897"/>
      <c r="VTQ107" s="895"/>
      <c r="VTR107" s="895"/>
      <c r="VTS107" s="896"/>
      <c r="VTT107" s="897"/>
      <c r="VTU107" s="897"/>
      <c r="VTV107" s="897"/>
      <c r="VTW107" s="897"/>
      <c r="VTX107" s="897"/>
      <c r="VTY107" s="897"/>
      <c r="VTZ107" s="897"/>
      <c r="VUA107" s="897"/>
      <c r="VUB107" s="895"/>
      <c r="VUC107" s="895"/>
      <c r="VUD107" s="896"/>
      <c r="VUE107" s="897"/>
      <c r="VUF107" s="897"/>
      <c r="VUG107" s="897"/>
      <c r="VUH107" s="897"/>
      <c r="VUI107" s="897"/>
      <c r="VUJ107" s="897"/>
      <c r="VUK107" s="897"/>
      <c r="VUL107" s="897"/>
      <c r="VUM107" s="895"/>
      <c r="VUN107" s="895"/>
      <c r="VUO107" s="896"/>
      <c r="VUP107" s="897"/>
      <c r="VUQ107" s="897"/>
      <c r="VUR107" s="897"/>
      <c r="VUS107" s="897"/>
      <c r="VUT107" s="897"/>
      <c r="VUU107" s="897"/>
      <c r="VUV107" s="897"/>
      <c r="VUW107" s="897"/>
      <c r="VUX107" s="895"/>
      <c r="VUY107" s="895"/>
      <c r="VUZ107" s="896"/>
      <c r="VVA107" s="897"/>
      <c r="VVB107" s="897"/>
      <c r="VVC107" s="897"/>
      <c r="VVD107" s="897"/>
      <c r="VVE107" s="897"/>
      <c r="VVF107" s="897"/>
      <c r="VVG107" s="897"/>
      <c r="VVH107" s="897"/>
      <c r="VVI107" s="895"/>
      <c r="VVJ107" s="895"/>
      <c r="VVK107" s="896"/>
      <c r="VVL107" s="897"/>
      <c r="VVM107" s="897"/>
      <c r="VVN107" s="897"/>
      <c r="VVO107" s="897"/>
      <c r="VVP107" s="897"/>
      <c r="VVQ107" s="897"/>
      <c r="VVR107" s="897"/>
      <c r="VVS107" s="897"/>
      <c r="VVT107" s="895"/>
      <c r="VVU107" s="895"/>
      <c r="VVV107" s="896"/>
      <c r="VVW107" s="897"/>
      <c r="VVX107" s="897"/>
      <c r="VVY107" s="897"/>
      <c r="VVZ107" s="897"/>
      <c r="VWA107" s="897"/>
      <c r="VWB107" s="897"/>
      <c r="VWC107" s="897"/>
      <c r="VWD107" s="897"/>
      <c r="VWE107" s="895"/>
      <c r="VWF107" s="895"/>
      <c r="VWG107" s="896"/>
      <c r="VWH107" s="897"/>
      <c r="VWI107" s="897"/>
      <c r="VWJ107" s="897"/>
      <c r="VWK107" s="897"/>
      <c r="VWL107" s="897"/>
      <c r="VWM107" s="897"/>
      <c r="VWN107" s="897"/>
      <c r="VWO107" s="897"/>
      <c r="VWP107" s="895"/>
      <c r="VWQ107" s="895"/>
      <c r="VWR107" s="896"/>
      <c r="VWS107" s="897"/>
      <c r="VWT107" s="897"/>
      <c r="VWU107" s="897"/>
      <c r="VWV107" s="897"/>
      <c r="VWW107" s="897"/>
      <c r="VWX107" s="897"/>
      <c r="VWY107" s="897"/>
      <c r="VWZ107" s="897"/>
      <c r="VXA107" s="895"/>
      <c r="VXB107" s="895"/>
      <c r="VXC107" s="896"/>
      <c r="VXD107" s="897"/>
      <c r="VXE107" s="897"/>
      <c r="VXF107" s="897"/>
      <c r="VXG107" s="897"/>
      <c r="VXH107" s="897"/>
      <c r="VXI107" s="897"/>
      <c r="VXJ107" s="897"/>
      <c r="VXK107" s="897"/>
      <c r="VXL107" s="895"/>
      <c r="VXM107" s="895"/>
      <c r="VXN107" s="896"/>
      <c r="VXO107" s="897"/>
      <c r="VXP107" s="897"/>
      <c r="VXQ107" s="897"/>
      <c r="VXR107" s="897"/>
      <c r="VXS107" s="897"/>
      <c r="VXT107" s="897"/>
      <c r="VXU107" s="897"/>
      <c r="VXV107" s="897"/>
      <c r="VXW107" s="895"/>
      <c r="VXX107" s="895"/>
      <c r="VXY107" s="896"/>
      <c r="VXZ107" s="897"/>
      <c r="VYA107" s="897"/>
      <c r="VYB107" s="897"/>
      <c r="VYC107" s="897"/>
      <c r="VYD107" s="897"/>
      <c r="VYE107" s="897"/>
      <c r="VYF107" s="897"/>
      <c r="VYG107" s="897"/>
      <c r="VYH107" s="895"/>
      <c r="VYI107" s="895"/>
      <c r="VYJ107" s="896"/>
      <c r="VYK107" s="897"/>
      <c r="VYL107" s="897"/>
      <c r="VYM107" s="897"/>
      <c r="VYN107" s="897"/>
      <c r="VYO107" s="897"/>
      <c r="VYP107" s="897"/>
      <c r="VYQ107" s="897"/>
      <c r="VYR107" s="897"/>
      <c r="VYS107" s="895"/>
      <c r="VYT107" s="895"/>
      <c r="VYU107" s="896"/>
      <c r="VYV107" s="897"/>
      <c r="VYW107" s="897"/>
      <c r="VYX107" s="897"/>
      <c r="VYY107" s="897"/>
      <c r="VYZ107" s="897"/>
      <c r="VZA107" s="897"/>
      <c r="VZB107" s="897"/>
      <c r="VZC107" s="897"/>
      <c r="VZD107" s="895"/>
      <c r="VZE107" s="895"/>
      <c r="VZF107" s="896"/>
      <c r="VZG107" s="897"/>
      <c r="VZH107" s="897"/>
      <c r="VZI107" s="897"/>
      <c r="VZJ107" s="897"/>
      <c r="VZK107" s="897"/>
      <c r="VZL107" s="897"/>
      <c r="VZM107" s="897"/>
      <c r="VZN107" s="897"/>
      <c r="VZO107" s="895"/>
      <c r="VZP107" s="895"/>
      <c r="VZQ107" s="896"/>
      <c r="VZR107" s="897"/>
      <c r="VZS107" s="897"/>
      <c r="VZT107" s="897"/>
      <c r="VZU107" s="897"/>
      <c r="VZV107" s="897"/>
      <c r="VZW107" s="897"/>
      <c r="VZX107" s="897"/>
      <c r="VZY107" s="897"/>
      <c r="VZZ107" s="895"/>
      <c r="WAA107" s="895"/>
      <c r="WAB107" s="896"/>
      <c r="WAC107" s="897"/>
      <c r="WAD107" s="897"/>
      <c r="WAE107" s="897"/>
      <c r="WAF107" s="897"/>
      <c r="WAG107" s="897"/>
      <c r="WAH107" s="897"/>
      <c r="WAI107" s="897"/>
      <c r="WAJ107" s="897"/>
      <c r="WAK107" s="895"/>
      <c r="WAL107" s="895"/>
      <c r="WAM107" s="896"/>
      <c r="WAN107" s="897"/>
      <c r="WAO107" s="897"/>
      <c r="WAP107" s="897"/>
      <c r="WAQ107" s="897"/>
      <c r="WAR107" s="897"/>
      <c r="WAS107" s="897"/>
      <c r="WAT107" s="897"/>
      <c r="WAU107" s="897"/>
      <c r="WAV107" s="895"/>
      <c r="WAW107" s="895"/>
      <c r="WAX107" s="896"/>
      <c r="WAY107" s="897"/>
      <c r="WAZ107" s="897"/>
      <c r="WBA107" s="897"/>
      <c r="WBB107" s="897"/>
      <c r="WBC107" s="897"/>
      <c r="WBD107" s="897"/>
      <c r="WBE107" s="897"/>
      <c r="WBF107" s="897"/>
      <c r="WBG107" s="895"/>
      <c r="WBH107" s="895"/>
      <c r="WBI107" s="896"/>
      <c r="WBJ107" s="897"/>
      <c r="WBK107" s="897"/>
      <c r="WBL107" s="897"/>
      <c r="WBM107" s="897"/>
      <c r="WBN107" s="897"/>
      <c r="WBO107" s="897"/>
      <c r="WBP107" s="897"/>
      <c r="WBQ107" s="897"/>
      <c r="WBR107" s="895"/>
      <c r="WBS107" s="895"/>
      <c r="WBT107" s="896"/>
      <c r="WBU107" s="897"/>
      <c r="WBV107" s="897"/>
      <c r="WBW107" s="897"/>
      <c r="WBX107" s="897"/>
      <c r="WBY107" s="897"/>
      <c r="WBZ107" s="897"/>
      <c r="WCA107" s="897"/>
      <c r="WCB107" s="897"/>
      <c r="WCC107" s="895"/>
      <c r="WCD107" s="895"/>
      <c r="WCE107" s="896"/>
      <c r="WCF107" s="897"/>
      <c r="WCG107" s="897"/>
      <c r="WCH107" s="897"/>
      <c r="WCI107" s="897"/>
      <c r="WCJ107" s="897"/>
      <c r="WCK107" s="897"/>
      <c r="WCL107" s="897"/>
      <c r="WCM107" s="897"/>
      <c r="WCN107" s="895"/>
      <c r="WCO107" s="895"/>
      <c r="WCP107" s="896"/>
      <c r="WCQ107" s="897"/>
      <c r="WCR107" s="897"/>
      <c r="WCS107" s="897"/>
      <c r="WCT107" s="897"/>
      <c r="WCU107" s="897"/>
      <c r="WCV107" s="897"/>
      <c r="WCW107" s="897"/>
      <c r="WCX107" s="897"/>
      <c r="WCY107" s="895"/>
      <c r="WCZ107" s="895"/>
      <c r="WDA107" s="896"/>
      <c r="WDB107" s="897"/>
      <c r="WDC107" s="897"/>
      <c r="WDD107" s="897"/>
      <c r="WDE107" s="897"/>
      <c r="WDF107" s="897"/>
      <c r="WDG107" s="897"/>
      <c r="WDH107" s="897"/>
      <c r="WDI107" s="897"/>
      <c r="WDJ107" s="895"/>
      <c r="WDK107" s="895"/>
      <c r="WDL107" s="896"/>
      <c r="WDM107" s="897"/>
      <c r="WDN107" s="897"/>
      <c r="WDO107" s="897"/>
      <c r="WDP107" s="897"/>
      <c r="WDQ107" s="897"/>
      <c r="WDR107" s="897"/>
      <c r="WDS107" s="897"/>
      <c r="WDT107" s="897"/>
      <c r="WDU107" s="895"/>
      <c r="WDV107" s="895"/>
      <c r="WDW107" s="896"/>
      <c r="WDX107" s="897"/>
      <c r="WDY107" s="897"/>
      <c r="WDZ107" s="897"/>
      <c r="WEA107" s="897"/>
      <c r="WEB107" s="897"/>
      <c r="WEC107" s="897"/>
      <c r="WED107" s="897"/>
      <c r="WEE107" s="897"/>
      <c r="WEF107" s="895"/>
      <c r="WEG107" s="895"/>
      <c r="WEH107" s="896"/>
      <c r="WEI107" s="897"/>
      <c r="WEJ107" s="897"/>
      <c r="WEK107" s="897"/>
      <c r="WEL107" s="897"/>
      <c r="WEM107" s="897"/>
      <c r="WEN107" s="897"/>
      <c r="WEO107" s="897"/>
      <c r="WEP107" s="897"/>
      <c r="WEQ107" s="895"/>
      <c r="WER107" s="895"/>
      <c r="WES107" s="896"/>
      <c r="WET107" s="897"/>
      <c r="WEU107" s="897"/>
      <c r="WEV107" s="897"/>
      <c r="WEW107" s="897"/>
      <c r="WEX107" s="897"/>
      <c r="WEY107" s="897"/>
      <c r="WEZ107" s="897"/>
      <c r="WFA107" s="897"/>
      <c r="WFB107" s="895"/>
      <c r="WFC107" s="895"/>
      <c r="WFD107" s="896"/>
      <c r="WFE107" s="897"/>
      <c r="WFF107" s="897"/>
      <c r="WFG107" s="897"/>
      <c r="WFH107" s="897"/>
      <c r="WFI107" s="897"/>
      <c r="WFJ107" s="897"/>
      <c r="WFK107" s="897"/>
      <c r="WFL107" s="897"/>
      <c r="WFM107" s="895"/>
      <c r="WFN107" s="895"/>
      <c r="WFO107" s="896"/>
      <c r="WFP107" s="897"/>
      <c r="WFQ107" s="897"/>
      <c r="WFR107" s="897"/>
      <c r="WFS107" s="897"/>
      <c r="WFT107" s="897"/>
      <c r="WFU107" s="897"/>
      <c r="WFV107" s="897"/>
      <c r="WFW107" s="897"/>
      <c r="WFX107" s="895"/>
      <c r="WFY107" s="895"/>
      <c r="WFZ107" s="896"/>
      <c r="WGA107" s="897"/>
      <c r="WGB107" s="897"/>
      <c r="WGC107" s="897"/>
      <c r="WGD107" s="897"/>
      <c r="WGE107" s="897"/>
      <c r="WGF107" s="897"/>
      <c r="WGG107" s="897"/>
      <c r="WGH107" s="897"/>
      <c r="WGI107" s="895"/>
      <c r="WGJ107" s="895"/>
      <c r="WGK107" s="896"/>
      <c r="WGL107" s="897"/>
      <c r="WGM107" s="897"/>
      <c r="WGN107" s="897"/>
      <c r="WGO107" s="897"/>
      <c r="WGP107" s="897"/>
      <c r="WGQ107" s="897"/>
      <c r="WGR107" s="897"/>
      <c r="WGS107" s="897"/>
      <c r="WGT107" s="895"/>
      <c r="WGU107" s="895"/>
      <c r="WGV107" s="896"/>
      <c r="WGW107" s="897"/>
      <c r="WGX107" s="897"/>
      <c r="WGY107" s="897"/>
      <c r="WGZ107" s="897"/>
      <c r="WHA107" s="897"/>
      <c r="WHB107" s="897"/>
      <c r="WHC107" s="897"/>
      <c r="WHD107" s="897"/>
      <c r="WHE107" s="895"/>
      <c r="WHF107" s="895"/>
      <c r="WHG107" s="896"/>
      <c r="WHH107" s="897"/>
      <c r="WHI107" s="897"/>
      <c r="WHJ107" s="897"/>
      <c r="WHK107" s="897"/>
      <c r="WHL107" s="897"/>
      <c r="WHM107" s="897"/>
      <c r="WHN107" s="897"/>
      <c r="WHO107" s="897"/>
      <c r="WHP107" s="895"/>
      <c r="WHQ107" s="895"/>
      <c r="WHR107" s="896"/>
      <c r="WHS107" s="897"/>
      <c r="WHT107" s="897"/>
      <c r="WHU107" s="897"/>
      <c r="WHV107" s="897"/>
      <c r="WHW107" s="897"/>
      <c r="WHX107" s="897"/>
      <c r="WHY107" s="897"/>
      <c r="WHZ107" s="897"/>
      <c r="WIA107" s="895"/>
      <c r="WIB107" s="895"/>
      <c r="WIC107" s="896"/>
      <c r="WID107" s="897"/>
      <c r="WIE107" s="897"/>
      <c r="WIF107" s="897"/>
      <c r="WIG107" s="897"/>
      <c r="WIH107" s="897"/>
      <c r="WII107" s="897"/>
      <c r="WIJ107" s="897"/>
      <c r="WIK107" s="897"/>
      <c r="WIL107" s="895"/>
      <c r="WIM107" s="895"/>
      <c r="WIN107" s="896"/>
      <c r="WIO107" s="897"/>
      <c r="WIP107" s="897"/>
      <c r="WIQ107" s="897"/>
      <c r="WIR107" s="897"/>
      <c r="WIS107" s="897"/>
      <c r="WIT107" s="897"/>
      <c r="WIU107" s="897"/>
      <c r="WIV107" s="897"/>
      <c r="WIW107" s="895"/>
      <c r="WIX107" s="895"/>
      <c r="WIY107" s="896"/>
      <c r="WIZ107" s="897"/>
      <c r="WJA107" s="897"/>
      <c r="WJB107" s="897"/>
      <c r="WJC107" s="897"/>
      <c r="WJD107" s="897"/>
      <c r="WJE107" s="897"/>
      <c r="WJF107" s="897"/>
      <c r="WJG107" s="897"/>
      <c r="WJH107" s="895"/>
      <c r="WJI107" s="895"/>
      <c r="WJJ107" s="896"/>
      <c r="WJK107" s="897"/>
      <c r="WJL107" s="897"/>
      <c r="WJM107" s="897"/>
      <c r="WJN107" s="897"/>
      <c r="WJO107" s="897"/>
      <c r="WJP107" s="897"/>
      <c r="WJQ107" s="897"/>
      <c r="WJR107" s="897"/>
      <c r="WJS107" s="895"/>
      <c r="WJT107" s="895"/>
      <c r="WJU107" s="896"/>
      <c r="WJV107" s="897"/>
      <c r="WJW107" s="897"/>
      <c r="WJX107" s="897"/>
      <c r="WJY107" s="897"/>
      <c r="WJZ107" s="897"/>
      <c r="WKA107" s="897"/>
      <c r="WKB107" s="897"/>
      <c r="WKC107" s="897"/>
      <c r="WKD107" s="895"/>
      <c r="WKE107" s="895"/>
      <c r="WKF107" s="896"/>
      <c r="WKG107" s="897"/>
      <c r="WKH107" s="897"/>
      <c r="WKI107" s="897"/>
      <c r="WKJ107" s="897"/>
      <c r="WKK107" s="897"/>
      <c r="WKL107" s="897"/>
      <c r="WKM107" s="897"/>
      <c r="WKN107" s="897"/>
      <c r="WKO107" s="895"/>
      <c r="WKP107" s="895"/>
      <c r="WKQ107" s="896"/>
      <c r="WKR107" s="897"/>
      <c r="WKS107" s="897"/>
      <c r="WKT107" s="897"/>
      <c r="WKU107" s="897"/>
      <c r="WKV107" s="897"/>
      <c r="WKW107" s="897"/>
      <c r="WKX107" s="897"/>
      <c r="WKY107" s="897"/>
      <c r="WKZ107" s="895"/>
      <c r="WLA107" s="895"/>
      <c r="WLB107" s="896"/>
      <c r="WLC107" s="897"/>
      <c r="WLD107" s="897"/>
      <c r="WLE107" s="897"/>
      <c r="WLF107" s="897"/>
      <c r="WLG107" s="897"/>
      <c r="WLH107" s="897"/>
      <c r="WLI107" s="897"/>
      <c r="WLJ107" s="897"/>
      <c r="WLK107" s="895"/>
      <c r="WLL107" s="895"/>
      <c r="WLM107" s="896"/>
      <c r="WLN107" s="897"/>
      <c r="WLO107" s="897"/>
      <c r="WLP107" s="897"/>
      <c r="WLQ107" s="897"/>
      <c r="WLR107" s="897"/>
      <c r="WLS107" s="897"/>
      <c r="WLT107" s="897"/>
      <c r="WLU107" s="897"/>
      <c r="WLV107" s="895"/>
      <c r="WLW107" s="895"/>
      <c r="WLX107" s="896"/>
      <c r="WLY107" s="897"/>
      <c r="WLZ107" s="897"/>
      <c r="WMA107" s="897"/>
      <c r="WMB107" s="897"/>
      <c r="WMC107" s="897"/>
      <c r="WMD107" s="897"/>
      <c r="WME107" s="897"/>
      <c r="WMF107" s="897"/>
      <c r="WMG107" s="895"/>
      <c r="WMH107" s="895"/>
      <c r="WMI107" s="896"/>
      <c r="WMJ107" s="897"/>
      <c r="WMK107" s="897"/>
      <c r="WML107" s="897"/>
      <c r="WMM107" s="897"/>
      <c r="WMN107" s="897"/>
      <c r="WMO107" s="897"/>
      <c r="WMP107" s="897"/>
      <c r="WMQ107" s="897"/>
      <c r="WMR107" s="895"/>
      <c r="WMS107" s="895"/>
      <c r="WMT107" s="896"/>
      <c r="WMU107" s="897"/>
      <c r="WMV107" s="897"/>
      <c r="WMW107" s="897"/>
      <c r="WMX107" s="897"/>
      <c r="WMY107" s="897"/>
      <c r="WMZ107" s="897"/>
      <c r="WNA107" s="897"/>
      <c r="WNB107" s="897"/>
      <c r="WNC107" s="895"/>
      <c r="WND107" s="895"/>
      <c r="WNE107" s="896"/>
      <c r="WNF107" s="897"/>
      <c r="WNG107" s="897"/>
      <c r="WNH107" s="897"/>
      <c r="WNI107" s="897"/>
      <c r="WNJ107" s="897"/>
      <c r="WNK107" s="897"/>
      <c r="WNL107" s="897"/>
      <c r="WNM107" s="897"/>
      <c r="WNN107" s="895"/>
      <c r="WNO107" s="895"/>
      <c r="WNP107" s="896"/>
      <c r="WNQ107" s="897"/>
      <c r="WNR107" s="897"/>
      <c r="WNS107" s="897"/>
      <c r="WNT107" s="897"/>
      <c r="WNU107" s="897"/>
      <c r="WNV107" s="897"/>
      <c r="WNW107" s="897"/>
      <c r="WNX107" s="897"/>
      <c r="WNY107" s="895"/>
      <c r="WNZ107" s="895"/>
      <c r="WOA107" s="896"/>
      <c r="WOB107" s="897"/>
      <c r="WOC107" s="897"/>
      <c r="WOD107" s="897"/>
      <c r="WOE107" s="897"/>
      <c r="WOF107" s="897"/>
      <c r="WOG107" s="897"/>
      <c r="WOH107" s="897"/>
      <c r="WOI107" s="897"/>
      <c r="WOJ107" s="895"/>
      <c r="WOK107" s="895"/>
      <c r="WOL107" s="896"/>
      <c r="WOM107" s="897"/>
      <c r="WON107" s="897"/>
      <c r="WOO107" s="897"/>
      <c r="WOP107" s="897"/>
      <c r="WOQ107" s="897"/>
      <c r="WOR107" s="897"/>
      <c r="WOS107" s="897"/>
      <c r="WOT107" s="897"/>
      <c r="WOU107" s="895"/>
      <c r="WOV107" s="895"/>
      <c r="WOW107" s="896"/>
      <c r="WOX107" s="897"/>
      <c r="WOY107" s="897"/>
      <c r="WOZ107" s="897"/>
      <c r="WPA107" s="897"/>
      <c r="WPB107" s="897"/>
      <c r="WPC107" s="897"/>
      <c r="WPD107" s="897"/>
      <c r="WPE107" s="897"/>
      <c r="WPF107" s="895"/>
      <c r="WPG107" s="895"/>
      <c r="WPH107" s="896"/>
      <c r="WPI107" s="897"/>
      <c r="WPJ107" s="897"/>
      <c r="WPK107" s="897"/>
      <c r="WPL107" s="897"/>
      <c r="WPM107" s="897"/>
      <c r="WPN107" s="897"/>
      <c r="WPO107" s="897"/>
      <c r="WPP107" s="897"/>
      <c r="WPQ107" s="895"/>
      <c r="WPR107" s="895"/>
      <c r="WPS107" s="896"/>
      <c r="WPT107" s="897"/>
      <c r="WPU107" s="897"/>
      <c r="WPV107" s="897"/>
      <c r="WPW107" s="897"/>
      <c r="WPX107" s="897"/>
      <c r="WPY107" s="897"/>
      <c r="WPZ107" s="897"/>
      <c r="WQA107" s="897"/>
      <c r="WQB107" s="895"/>
      <c r="WQC107" s="895"/>
      <c r="WQD107" s="896"/>
      <c r="WQE107" s="897"/>
      <c r="WQF107" s="897"/>
      <c r="WQG107" s="897"/>
      <c r="WQH107" s="897"/>
      <c r="WQI107" s="897"/>
      <c r="WQJ107" s="897"/>
      <c r="WQK107" s="897"/>
      <c r="WQL107" s="897"/>
      <c r="WQM107" s="895"/>
      <c r="WQN107" s="895"/>
      <c r="WQO107" s="896"/>
      <c r="WQP107" s="897"/>
      <c r="WQQ107" s="897"/>
      <c r="WQR107" s="897"/>
      <c r="WQS107" s="897"/>
      <c r="WQT107" s="897"/>
      <c r="WQU107" s="897"/>
      <c r="WQV107" s="897"/>
      <c r="WQW107" s="897"/>
      <c r="WQX107" s="895"/>
      <c r="WQY107" s="895"/>
      <c r="WQZ107" s="896"/>
      <c r="WRA107" s="897"/>
      <c r="WRB107" s="897"/>
      <c r="WRC107" s="897"/>
      <c r="WRD107" s="897"/>
      <c r="WRE107" s="897"/>
      <c r="WRF107" s="897"/>
      <c r="WRG107" s="897"/>
      <c r="WRH107" s="897"/>
      <c r="WRI107" s="895"/>
      <c r="WRJ107" s="895"/>
      <c r="WRK107" s="896"/>
      <c r="WRL107" s="897"/>
      <c r="WRM107" s="897"/>
      <c r="WRN107" s="897"/>
      <c r="WRO107" s="897"/>
      <c r="WRP107" s="897"/>
      <c r="WRQ107" s="897"/>
      <c r="WRR107" s="897"/>
      <c r="WRS107" s="897"/>
      <c r="WRT107" s="895"/>
      <c r="WRU107" s="895"/>
      <c r="WRV107" s="896"/>
      <c r="WRW107" s="897"/>
      <c r="WRX107" s="897"/>
      <c r="WRY107" s="897"/>
      <c r="WRZ107" s="897"/>
      <c r="WSA107" s="897"/>
      <c r="WSB107" s="897"/>
      <c r="WSC107" s="897"/>
      <c r="WSD107" s="897"/>
      <c r="WSE107" s="895"/>
      <c r="WSF107" s="895"/>
      <c r="WSG107" s="896"/>
      <c r="WSH107" s="897"/>
      <c r="WSI107" s="897"/>
      <c r="WSJ107" s="897"/>
      <c r="WSK107" s="897"/>
      <c r="WSL107" s="897"/>
      <c r="WSM107" s="897"/>
      <c r="WSN107" s="897"/>
      <c r="WSO107" s="897"/>
      <c r="WSP107" s="895"/>
      <c r="WSQ107" s="895"/>
      <c r="WSR107" s="896"/>
      <c r="WSS107" s="897"/>
      <c r="WST107" s="897"/>
      <c r="WSU107" s="897"/>
      <c r="WSV107" s="897"/>
      <c r="WSW107" s="897"/>
      <c r="WSX107" s="897"/>
      <c r="WSY107" s="897"/>
      <c r="WSZ107" s="897"/>
      <c r="WTA107" s="895"/>
      <c r="WTB107" s="895"/>
      <c r="WTC107" s="896"/>
      <c r="WTD107" s="897"/>
      <c r="WTE107" s="897"/>
      <c r="WTF107" s="897"/>
      <c r="WTG107" s="897"/>
      <c r="WTH107" s="897"/>
      <c r="WTI107" s="897"/>
      <c r="WTJ107" s="897"/>
      <c r="WTK107" s="897"/>
      <c r="WTL107" s="895"/>
      <c r="WTM107" s="895"/>
      <c r="WTN107" s="896"/>
      <c r="WTO107" s="897"/>
      <c r="WTP107" s="897"/>
      <c r="WTQ107" s="897"/>
      <c r="WTR107" s="897"/>
      <c r="WTS107" s="897"/>
      <c r="WTT107" s="897"/>
      <c r="WTU107" s="897"/>
      <c r="WTV107" s="897"/>
      <c r="WTW107" s="895"/>
      <c r="WTX107" s="895"/>
      <c r="WTY107" s="896"/>
      <c r="WTZ107" s="897"/>
      <c r="WUA107" s="897"/>
      <c r="WUB107" s="897"/>
      <c r="WUC107" s="897"/>
      <c r="WUD107" s="897"/>
      <c r="WUE107" s="897"/>
      <c r="WUF107" s="897"/>
      <c r="WUG107" s="897"/>
      <c r="WUH107" s="895"/>
      <c r="WUI107" s="895"/>
      <c r="WUJ107" s="896"/>
      <c r="WUK107" s="897"/>
      <c r="WUL107" s="897"/>
      <c r="WUM107" s="897"/>
      <c r="WUN107" s="897"/>
      <c r="WUO107" s="897"/>
      <c r="WUP107" s="897"/>
      <c r="WUQ107" s="897"/>
      <c r="WUR107" s="897"/>
      <c r="WUS107" s="895"/>
      <c r="WUT107" s="895"/>
      <c r="WUU107" s="896"/>
      <c r="WUV107" s="897"/>
      <c r="WUW107" s="897"/>
      <c r="WUX107" s="897"/>
      <c r="WUY107" s="897"/>
      <c r="WUZ107" s="897"/>
      <c r="WVA107" s="897"/>
      <c r="WVB107" s="897"/>
      <c r="WVC107" s="897"/>
      <c r="WVD107" s="895"/>
      <c r="WVE107" s="895"/>
      <c r="WVF107" s="896"/>
      <c r="WVG107" s="897"/>
      <c r="WVH107" s="897"/>
      <c r="WVI107" s="897"/>
      <c r="WVJ107" s="897"/>
      <c r="WVK107" s="897"/>
      <c r="WVL107" s="897"/>
      <c r="WVM107" s="897"/>
      <c r="WVN107" s="897"/>
      <c r="WVO107" s="895"/>
      <c r="WVP107" s="895"/>
      <c r="WVQ107" s="896"/>
      <c r="WVR107" s="897"/>
      <c r="WVS107" s="897"/>
      <c r="WVT107" s="897"/>
      <c r="WVU107" s="897"/>
      <c r="WVV107" s="897"/>
      <c r="WVW107" s="897"/>
      <c r="WVX107" s="897"/>
      <c r="WVY107" s="897"/>
      <c r="WVZ107" s="895"/>
      <c r="WWA107" s="895"/>
      <c r="WWB107" s="896"/>
      <c r="WWC107" s="897"/>
      <c r="WWD107" s="897"/>
      <c r="WWE107" s="897"/>
      <c r="WWF107" s="897"/>
      <c r="WWG107" s="897"/>
      <c r="WWH107" s="897"/>
      <c r="WWI107" s="897"/>
      <c r="WWJ107" s="897"/>
      <c r="WWK107" s="895"/>
      <c r="WWL107" s="895"/>
      <c r="WWM107" s="896"/>
      <c r="WWN107" s="897"/>
      <c r="WWO107" s="897"/>
      <c r="WWP107" s="897"/>
      <c r="WWQ107" s="897"/>
      <c r="WWR107" s="897"/>
      <c r="WWS107" s="897"/>
      <c r="WWT107" s="897"/>
      <c r="WWU107" s="897"/>
      <c r="WWV107" s="895"/>
      <c r="WWW107" s="895"/>
      <c r="WWX107" s="896"/>
      <c r="WWY107" s="897"/>
      <c r="WWZ107" s="897"/>
      <c r="WXA107" s="897"/>
      <c r="WXB107" s="897"/>
      <c r="WXC107" s="897"/>
      <c r="WXD107" s="897"/>
      <c r="WXE107" s="897"/>
      <c r="WXF107" s="897"/>
      <c r="WXG107" s="895"/>
      <c r="WXH107" s="895"/>
      <c r="WXI107" s="896"/>
      <c r="WXJ107" s="897"/>
      <c r="WXK107" s="897"/>
      <c r="WXL107" s="897"/>
      <c r="WXM107" s="897"/>
      <c r="WXN107" s="897"/>
      <c r="WXO107" s="897"/>
      <c r="WXP107" s="897"/>
      <c r="WXQ107" s="897"/>
      <c r="WXR107" s="895"/>
      <c r="WXS107" s="895"/>
      <c r="WXT107" s="896"/>
      <c r="WXU107" s="897"/>
      <c r="WXV107" s="897"/>
      <c r="WXW107" s="897"/>
      <c r="WXX107" s="897"/>
      <c r="WXY107" s="897"/>
      <c r="WXZ107" s="897"/>
      <c r="WYA107" s="897"/>
      <c r="WYB107" s="897"/>
      <c r="WYC107" s="895"/>
      <c r="WYD107" s="895"/>
      <c r="WYE107" s="896"/>
      <c r="WYF107" s="897"/>
      <c r="WYG107" s="897"/>
      <c r="WYH107" s="897"/>
      <c r="WYI107" s="897"/>
      <c r="WYJ107" s="897"/>
      <c r="WYK107" s="897"/>
      <c r="WYL107" s="897"/>
      <c r="WYM107" s="897"/>
      <c r="WYN107" s="895"/>
      <c r="WYO107" s="895"/>
      <c r="WYP107" s="896"/>
      <c r="WYQ107" s="897"/>
      <c r="WYR107" s="897"/>
      <c r="WYS107" s="897"/>
      <c r="WYT107" s="897"/>
      <c r="WYU107" s="897"/>
      <c r="WYV107" s="897"/>
      <c r="WYW107" s="897"/>
      <c r="WYX107" s="897"/>
      <c r="WYY107" s="895"/>
      <c r="WYZ107" s="895"/>
      <c r="WZA107" s="896"/>
      <c r="WZB107" s="897"/>
      <c r="WZC107" s="897"/>
      <c r="WZD107" s="897"/>
      <c r="WZE107" s="897"/>
      <c r="WZF107" s="897"/>
      <c r="WZG107" s="897"/>
      <c r="WZH107" s="897"/>
      <c r="WZI107" s="897"/>
      <c r="WZJ107" s="895"/>
      <c r="WZK107" s="895"/>
      <c r="WZL107" s="896"/>
      <c r="WZM107" s="897"/>
      <c r="WZN107" s="897"/>
      <c r="WZO107" s="897"/>
      <c r="WZP107" s="897"/>
      <c r="WZQ107" s="897"/>
      <c r="WZR107" s="897"/>
      <c r="WZS107" s="897"/>
      <c r="WZT107" s="897"/>
      <c r="WZU107" s="895"/>
      <c r="WZV107" s="895"/>
      <c r="WZW107" s="896"/>
      <c r="WZX107" s="897"/>
      <c r="WZY107" s="897"/>
      <c r="WZZ107" s="897"/>
      <c r="XAA107" s="897"/>
      <c r="XAB107" s="897"/>
      <c r="XAC107" s="897"/>
      <c r="XAD107" s="897"/>
      <c r="XAE107" s="897"/>
      <c r="XAF107" s="895"/>
      <c r="XAG107" s="895"/>
      <c r="XAH107" s="896"/>
      <c r="XAI107" s="897"/>
      <c r="XAJ107" s="897"/>
      <c r="XAK107" s="897"/>
      <c r="XAL107" s="897"/>
      <c r="XAM107" s="897"/>
      <c r="XAN107" s="897"/>
      <c r="XAO107" s="897"/>
      <c r="XAP107" s="897"/>
      <c r="XAQ107" s="895"/>
      <c r="XAR107" s="895"/>
      <c r="XAS107" s="896"/>
      <c r="XAT107" s="897"/>
      <c r="XAU107" s="897"/>
      <c r="XAV107" s="897"/>
      <c r="XAW107" s="897"/>
      <c r="XAX107" s="897"/>
      <c r="XAY107" s="897"/>
      <c r="XAZ107" s="897"/>
      <c r="XBA107" s="897"/>
      <c r="XBB107" s="895"/>
      <c r="XBC107" s="895"/>
      <c r="XBD107" s="896"/>
      <c r="XBE107" s="897"/>
      <c r="XBF107" s="897"/>
      <c r="XBG107" s="897"/>
      <c r="XBH107" s="897"/>
      <c r="XBI107" s="897"/>
      <c r="XBJ107" s="897"/>
      <c r="XBK107" s="897"/>
      <c r="XBL107" s="897"/>
      <c r="XBM107" s="895"/>
      <c r="XBN107" s="895"/>
      <c r="XBO107" s="896"/>
      <c r="XBP107" s="897"/>
      <c r="XBQ107" s="897"/>
      <c r="XBR107" s="897"/>
      <c r="XBS107" s="897"/>
      <c r="XBT107" s="897"/>
      <c r="XBU107" s="897"/>
      <c r="XBV107" s="897"/>
      <c r="XBW107" s="897"/>
      <c r="XBX107" s="895"/>
      <c r="XBY107" s="895"/>
      <c r="XBZ107" s="896"/>
      <c r="XCA107" s="897"/>
      <c r="XCB107" s="897"/>
      <c r="XCC107" s="897"/>
      <c r="XCD107" s="897"/>
      <c r="XCE107" s="897"/>
      <c r="XCF107" s="897"/>
      <c r="XCG107" s="897"/>
      <c r="XCH107" s="897"/>
      <c r="XCI107" s="895"/>
      <c r="XCJ107" s="895"/>
      <c r="XCK107" s="896"/>
      <c r="XCL107" s="897"/>
      <c r="XCM107" s="897"/>
      <c r="XCN107" s="897"/>
      <c r="XCO107" s="897"/>
      <c r="XCP107" s="897"/>
      <c r="XCQ107" s="897"/>
      <c r="XCR107" s="897"/>
      <c r="XCS107" s="897"/>
      <c r="XCT107" s="895"/>
      <c r="XCU107" s="895"/>
      <c r="XCV107" s="896"/>
      <c r="XCW107" s="897"/>
      <c r="XCX107" s="897"/>
      <c r="XCY107" s="897"/>
      <c r="XCZ107" s="897"/>
      <c r="XDA107" s="897"/>
      <c r="XDB107" s="897"/>
      <c r="XDC107" s="897"/>
      <c r="XDD107" s="897"/>
      <c r="XDE107" s="895"/>
      <c r="XDF107" s="895"/>
      <c r="XDG107" s="896"/>
      <c r="XDH107" s="897"/>
      <c r="XDI107" s="897"/>
      <c r="XDJ107" s="897"/>
      <c r="XDK107" s="897"/>
      <c r="XDL107" s="897"/>
      <c r="XDM107" s="897"/>
      <c r="XDN107" s="897"/>
      <c r="XDO107" s="897"/>
      <c r="XDP107" s="895"/>
      <c r="XDQ107" s="895"/>
      <c r="XDR107" s="896"/>
      <c r="XDS107" s="897"/>
      <c r="XDT107" s="897"/>
      <c r="XDU107" s="897"/>
      <c r="XDV107" s="897"/>
      <c r="XDW107" s="897"/>
      <c r="XDX107" s="897"/>
      <c r="XDY107" s="897"/>
      <c r="XDZ107" s="897"/>
      <c r="XEA107" s="895"/>
      <c r="XEB107" s="895"/>
      <c r="XEC107" s="896"/>
      <c r="XED107" s="897"/>
      <c r="XEE107" s="897"/>
      <c r="XEF107" s="897"/>
      <c r="XEG107" s="897"/>
      <c r="XEH107" s="897"/>
      <c r="XEI107" s="897"/>
      <c r="XEJ107" s="897"/>
      <c r="XEK107" s="897"/>
      <c r="XEL107" s="895"/>
      <c r="XEM107" s="895"/>
      <c r="XEN107" s="896"/>
      <c r="XEO107" s="897"/>
      <c r="XEP107" s="897"/>
      <c r="XEQ107" s="897"/>
      <c r="XER107" s="897"/>
      <c r="XES107" s="897"/>
      <c r="XET107" s="897"/>
      <c r="XEU107" s="897"/>
      <c r="XEV107" s="897"/>
      <c r="XEW107" s="895"/>
      <c r="XEX107" s="895"/>
      <c r="XEY107" s="896"/>
      <c r="XEZ107" s="897"/>
      <c r="XFA107" s="897"/>
    </row>
    <row r="108" spans="1:16381" s="894" customFormat="1" ht="126" customHeight="1" thickBot="1">
      <c r="A108" s="901"/>
      <c r="B108" s="902"/>
      <c r="C108" s="903"/>
      <c r="D108" s="912">
        <f>D99+D89+D81+D45+D40+D25+D12</f>
        <v>1.0000000000000002</v>
      </c>
      <c r="E108" s="912">
        <f t="shared" ref="E108:K108" si="2">E99+E89+E81+E45+E40+E25+E12</f>
        <v>0.99999999999999978</v>
      </c>
      <c r="F108" s="912">
        <f t="shared" si="2"/>
        <v>1</v>
      </c>
      <c r="G108" s="912">
        <f t="shared" si="2"/>
        <v>1</v>
      </c>
      <c r="H108" s="912">
        <f t="shared" si="2"/>
        <v>1</v>
      </c>
      <c r="I108" s="912">
        <f t="shared" si="2"/>
        <v>1</v>
      </c>
      <c r="J108" s="912">
        <f t="shared" si="2"/>
        <v>1</v>
      </c>
      <c r="K108" s="913">
        <f t="shared" si="2"/>
        <v>0.99999999999999989</v>
      </c>
      <c r="L108" s="913">
        <f t="shared" ref="L108:N108" si="3">L99+L89+L81+L45+L40+L25+L12</f>
        <v>1</v>
      </c>
      <c r="M108" s="913">
        <f t="shared" si="3"/>
        <v>1</v>
      </c>
      <c r="N108" s="913">
        <f t="shared" si="3"/>
        <v>1</v>
      </c>
      <c r="O108" s="1023">
        <f t="shared" ref="O108:P108" si="4">O99+O89+O81+O45+O40+O25+O12</f>
        <v>1</v>
      </c>
      <c r="P108" s="1231">
        <f t="shared" si="4"/>
        <v>1</v>
      </c>
      <c r="Q108" s="897"/>
      <c r="R108" s="897"/>
      <c r="S108" s="897"/>
      <c r="T108" s="895"/>
      <c r="U108" s="895"/>
      <c r="V108" s="896"/>
      <c r="W108" s="897"/>
      <c r="X108" s="897"/>
      <c r="Y108" s="897"/>
      <c r="Z108" s="897"/>
      <c r="AA108" s="897"/>
      <c r="AB108" s="897"/>
      <c r="AC108" s="897"/>
      <c r="AD108" s="897"/>
      <c r="AE108" s="895"/>
      <c r="AF108" s="895"/>
      <c r="AG108" s="896"/>
      <c r="AH108" s="897"/>
      <c r="AI108" s="897"/>
      <c r="AJ108" s="897"/>
      <c r="AK108" s="897"/>
      <c r="AL108" s="897"/>
      <c r="AM108" s="897"/>
      <c r="AN108" s="897"/>
      <c r="AO108" s="897"/>
      <c r="AP108" s="895"/>
      <c r="AQ108" s="895"/>
      <c r="AR108" s="896"/>
      <c r="AS108" s="897"/>
      <c r="AT108" s="897"/>
      <c r="AU108" s="897"/>
      <c r="AV108" s="897"/>
      <c r="AW108" s="897"/>
      <c r="AX108" s="897"/>
      <c r="AY108" s="897"/>
      <c r="AZ108" s="897"/>
      <c r="BA108" s="895"/>
      <c r="BB108" s="895"/>
      <c r="BC108" s="896"/>
      <c r="BD108" s="897"/>
      <c r="BE108" s="897"/>
      <c r="BF108" s="897"/>
      <c r="BG108" s="897"/>
      <c r="BH108" s="897"/>
      <c r="BI108" s="897"/>
      <c r="BJ108" s="897"/>
      <c r="BK108" s="897"/>
      <c r="BL108" s="895"/>
      <c r="BM108" s="895"/>
      <c r="BN108" s="896"/>
      <c r="BO108" s="897"/>
      <c r="BP108" s="897"/>
      <c r="BQ108" s="897"/>
      <c r="BR108" s="897"/>
      <c r="BS108" s="897"/>
      <c r="BT108" s="897"/>
      <c r="BU108" s="897"/>
      <c r="BV108" s="897"/>
      <c r="BW108" s="895"/>
      <c r="BX108" s="895"/>
      <c r="BY108" s="896"/>
      <c r="BZ108" s="897"/>
      <c r="CA108" s="897"/>
      <c r="CB108" s="897"/>
      <c r="CC108" s="897"/>
      <c r="CD108" s="897"/>
      <c r="CE108" s="897"/>
      <c r="CF108" s="897"/>
      <c r="CG108" s="897"/>
      <c r="CH108" s="895"/>
      <c r="CI108" s="895"/>
      <c r="CJ108" s="896"/>
      <c r="CK108" s="897"/>
      <c r="CL108" s="897"/>
      <c r="CM108" s="897"/>
      <c r="CN108" s="897"/>
      <c r="CO108" s="897"/>
      <c r="CP108" s="897"/>
      <c r="CQ108" s="897"/>
      <c r="CR108" s="897"/>
      <c r="CS108" s="895"/>
      <c r="CT108" s="895"/>
      <c r="CU108" s="896"/>
      <c r="CV108" s="897"/>
      <c r="CW108" s="897"/>
      <c r="CX108" s="897"/>
      <c r="CY108" s="897"/>
      <c r="CZ108" s="897"/>
      <c r="DA108" s="897"/>
      <c r="DB108" s="897"/>
      <c r="DC108" s="897"/>
      <c r="DD108" s="895"/>
      <c r="DE108" s="895"/>
      <c r="DF108" s="896"/>
      <c r="DG108" s="897"/>
      <c r="DH108" s="897"/>
      <c r="DI108" s="897"/>
      <c r="DJ108" s="897"/>
      <c r="DK108" s="897"/>
      <c r="DL108" s="897"/>
      <c r="DM108" s="897"/>
      <c r="DN108" s="897"/>
      <c r="DO108" s="895"/>
      <c r="DP108" s="895"/>
      <c r="DQ108" s="896"/>
      <c r="DR108" s="897"/>
      <c r="DS108" s="897"/>
      <c r="DT108" s="897"/>
      <c r="DU108" s="897"/>
      <c r="DV108" s="897"/>
      <c r="DW108" s="897"/>
      <c r="DX108" s="897"/>
      <c r="DY108" s="897"/>
      <c r="DZ108" s="895"/>
      <c r="EA108" s="895"/>
      <c r="EB108" s="896"/>
      <c r="EC108" s="897"/>
      <c r="ED108" s="897"/>
      <c r="EE108" s="897"/>
      <c r="EF108" s="897"/>
      <c r="EG108" s="897"/>
      <c r="EH108" s="897"/>
      <c r="EI108" s="897"/>
      <c r="EJ108" s="897"/>
      <c r="EK108" s="895"/>
      <c r="EL108" s="895"/>
      <c r="EM108" s="896"/>
      <c r="EN108" s="897"/>
      <c r="EO108" s="897"/>
      <c r="EP108" s="897"/>
      <c r="EQ108" s="897"/>
      <c r="ER108" s="897"/>
      <c r="ES108" s="897"/>
      <c r="ET108" s="897"/>
      <c r="EU108" s="897"/>
      <c r="EV108" s="895"/>
      <c r="EW108" s="895"/>
      <c r="EX108" s="896"/>
      <c r="EY108" s="897"/>
      <c r="EZ108" s="897"/>
      <c r="FA108" s="897"/>
      <c r="FB108" s="897"/>
      <c r="FC108" s="897"/>
      <c r="FD108" s="897"/>
      <c r="FE108" s="897"/>
      <c r="FF108" s="897"/>
      <c r="FG108" s="895"/>
      <c r="FH108" s="895"/>
      <c r="FI108" s="896"/>
      <c r="FJ108" s="897"/>
      <c r="FK108" s="897"/>
      <c r="FL108" s="897"/>
      <c r="FM108" s="897"/>
      <c r="FN108" s="897"/>
      <c r="FO108" s="897"/>
      <c r="FP108" s="897"/>
      <c r="FQ108" s="897"/>
      <c r="FR108" s="895"/>
      <c r="FS108" s="895"/>
      <c r="FT108" s="896"/>
      <c r="FU108" s="897"/>
      <c r="FV108" s="897"/>
      <c r="FW108" s="897"/>
      <c r="FX108" s="897"/>
      <c r="FY108" s="897"/>
      <c r="FZ108" s="897"/>
      <c r="GA108" s="897"/>
      <c r="GB108" s="897"/>
      <c r="GC108" s="895"/>
      <c r="GD108" s="895"/>
      <c r="GE108" s="896"/>
      <c r="GF108" s="897"/>
      <c r="GG108" s="897"/>
      <c r="GH108" s="897"/>
      <c r="GI108" s="897"/>
      <c r="GJ108" s="897"/>
      <c r="GK108" s="897"/>
      <c r="GL108" s="897"/>
      <c r="GM108" s="897"/>
      <c r="GN108" s="895"/>
      <c r="GO108" s="895"/>
      <c r="GP108" s="896"/>
      <c r="GQ108" s="897"/>
      <c r="GR108" s="897"/>
      <c r="GS108" s="897"/>
      <c r="GT108" s="897"/>
      <c r="GU108" s="897"/>
      <c r="GV108" s="897"/>
      <c r="GW108" s="897"/>
      <c r="GX108" s="897"/>
      <c r="GY108" s="895"/>
      <c r="GZ108" s="895"/>
      <c r="HA108" s="896"/>
      <c r="HB108" s="897"/>
      <c r="HC108" s="897"/>
      <c r="HD108" s="897"/>
      <c r="HE108" s="897"/>
      <c r="HF108" s="897"/>
      <c r="HG108" s="897"/>
      <c r="HH108" s="897"/>
      <c r="HI108" s="897"/>
      <c r="HJ108" s="895"/>
      <c r="HK108" s="895"/>
      <c r="HL108" s="896"/>
      <c r="HM108" s="897"/>
      <c r="HN108" s="897"/>
      <c r="HO108" s="897"/>
      <c r="HP108" s="897"/>
      <c r="HQ108" s="897"/>
      <c r="HR108" s="897"/>
      <c r="HS108" s="897"/>
      <c r="HT108" s="897"/>
      <c r="HU108" s="895"/>
      <c r="HV108" s="895"/>
      <c r="HW108" s="896"/>
      <c r="HX108" s="897"/>
      <c r="HY108" s="897"/>
      <c r="HZ108" s="897"/>
      <c r="IA108" s="897"/>
      <c r="IB108" s="897"/>
      <c r="IC108" s="897"/>
      <c r="ID108" s="897"/>
      <c r="IE108" s="897"/>
      <c r="IF108" s="895"/>
      <c r="IG108" s="895"/>
      <c r="IH108" s="896"/>
      <c r="II108" s="897"/>
      <c r="IJ108" s="897"/>
      <c r="IK108" s="897"/>
      <c r="IL108" s="897"/>
      <c r="IM108" s="897"/>
      <c r="IN108" s="897"/>
      <c r="IO108" s="897"/>
      <c r="IP108" s="897"/>
      <c r="IQ108" s="895"/>
      <c r="IR108" s="895"/>
      <c r="IS108" s="896"/>
      <c r="IT108" s="897"/>
      <c r="IU108" s="897"/>
      <c r="IV108" s="897"/>
      <c r="IW108" s="897"/>
      <c r="IX108" s="897"/>
      <c r="IY108" s="897"/>
      <c r="IZ108" s="897"/>
      <c r="JA108" s="897"/>
      <c r="JB108" s="895"/>
      <c r="JC108" s="895"/>
      <c r="JD108" s="896"/>
      <c r="JE108" s="897"/>
      <c r="JF108" s="897"/>
      <c r="JG108" s="897"/>
      <c r="JH108" s="897"/>
      <c r="JI108" s="897"/>
      <c r="JJ108" s="897"/>
      <c r="JK108" s="897"/>
      <c r="JL108" s="897"/>
      <c r="JM108" s="895"/>
      <c r="JN108" s="895"/>
      <c r="JO108" s="896"/>
      <c r="JP108" s="897"/>
      <c r="JQ108" s="897"/>
      <c r="JR108" s="897"/>
      <c r="JS108" s="897"/>
      <c r="JT108" s="897"/>
      <c r="JU108" s="897"/>
      <c r="JV108" s="897"/>
      <c r="JW108" s="897"/>
      <c r="JX108" s="895"/>
      <c r="JY108" s="895"/>
      <c r="JZ108" s="896"/>
      <c r="KA108" s="897"/>
      <c r="KB108" s="897"/>
      <c r="KC108" s="897"/>
      <c r="KD108" s="897"/>
      <c r="KE108" s="897"/>
      <c r="KF108" s="897"/>
      <c r="KG108" s="897"/>
      <c r="KH108" s="897"/>
      <c r="KI108" s="895"/>
      <c r="KJ108" s="895"/>
      <c r="KK108" s="896"/>
      <c r="KL108" s="897"/>
      <c r="KM108" s="897"/>
      <c r="KN108" s="897"/>
      <c r="KO108" s="897"/>
      <c r="KP108" s="897"/>
      <c r="KQ108" s="897"/>
      <c r="KR108" s="897"/>
      <c r="KS108" s="897"/>
      <c r="KT108" s="895"/>
      <c r="KU108" s="895"/>
      <c r="KV108" s="896"/>
      <c r="KW108" s="897"/>
      <c r="KX108" s="897"/>
      <c r="KY108" s="897"/>
      <c r="KZ108" s="897"/>
      <c r="LA108" s="897"/>
      <c r="LB108" s="897"/>
      <c r="LC108" s="897"/>
      <c r="LD108" s="897"/>
      <c r="LE108" s="895"/>
      <c r="LF108" s="895"/>
      <c r="LG108" s="896"/>
      <c r="LH108" s="897"/>
      <c r="LI108" s="897"/>
      <c r="LJ108" s="897"/>
      <c r="LK108" s="897"/>
      <c r="LL108" s="897"/>
      <c r="LM108" s="897"/>
      <c r="LN108" s="897"/>
      <c r="LO108" s="897"/>
      <c r="LP108" s="895"/>
      <c r="LQ108" s="895"/>
      <c r="LR108" s="896"/>
      <c r="LS108" s="897"/>
      <c r="LT108" s="897"/>
      <c r="LU108" s="897"/>
      <c r="LV108" s="897"/>
      <c r="LW108" s="897"/>
      <c r="LX108" s="897"/>
      <c r="LY108" s="897"/>
      <c r="LZ108" s="897"/>
      <c r="MA108" s="895"/>
      <c r="MB108" s="895"/>
      <c r="MC108" s="896"/>
      <c r="MD108" s="897"/>
      <c r="ME108" s="897"/>
      <c r="MF108" s="897"/>
      <c r="MG108" s="897"/>
      <c r="MH108" s="897"/>
      <c r="MI108" s="897"/>
      <c r="MJ108" s="897"/>
      <c r="MK108" s="897"/>
      <c r="ML108" s="895"/>
      <c r="MM108" s="895"/>
      <c r="MN108" s="896"/>
      <c r="MO108" s="897"/>
      <c r="MP108" s="897"/>
      <c r="MQ108" s="897"/>
      <c r="MR108" s="897"/>
      <c r="MS108" s="897"/>
      <c r="MT108" s="897"/>
      <c r="MU108" s="897"/>
      <c r="MV108" s="897"/>
      <c r="MW108" s="895"/>
      <c r="MX108" s="895"/>
      <c r="MY108" s="896"/>
      <c r="MZ108" s="897"/>
      <c r="NA108" s="897"/>
      <c r="NB108" s="897"/>
      <c r="NC108" s="897"/>
      <c r="ND108" s="897"/>
      <c r="NE108" s="897"/>
      <c r="NF108" s="897"/>
      <c r="NG108" s="897"/>
      <c r="NH108" s="895"/>
      <c r="NI108" s="895"/>
      <c r="NJ108" s="896"/>
      <c r="NK108" s="897"/>
      <c r="NL108" s="897"/>
      <c r="NM108" s="897"/>
      <c r="NN108" s="897"/>
      <c r="NO108" s="897"/>
      <c r="NP108" s="897"/>
      <c r="NQ108" s="897"/>
      <c r="NR108" s="897"/>
      <c r="NS108" s="895"/>
      <c r="NT108" s="895"/>
      <c r="NU108" s="896"/>
      <c r="NV108" s="897"/>
      <c r="NW108" s="897"/>
      <c r="NX108" s="897"/>
      <c r="NY108" s="897"/>
      <c r="NZ108" s="897"/>
      <c r="OA108" s="897"/>
      <c r="OB108" s="897"/>
      <c r="OC108" s="897"/>
      <c r="OD108" s="895"/>
      <c r="OE108" s="895"/>
      <c r="OF108" s="896"/>
      <c r="OG108" s="897"/>
      <c r="OH108" s="897"/>
      <c r="OI108" s="897"/>
      <c r="OJ108" s="897"/>
      <c r="OK108" s="897"/>
      <c r="OL108" s="897"/>
      <c r="OM108" s="897"/>
      <c r="ON108" s="897"/>
      <c r="OO108" s="895"/>
      <c r="OP108" s="895"/>
      <c r="OQ108" s="896"/>
      <c r="OR108" s="897"/>
      <c r="OS108" s="897"/>
      <c r="OT108" s="897"/>
      <c r="OU108" s="897"/>
      <c r="OV108" s="897"/>
      <c r="OW108" s="897"/>
      <c r="OX108" s="897"/>
      <c r="OY108" s="897"/>
      <c r="OZ108" s="895"/>
      <c r="PA108" s="895"/>
      <c r="PB108" s="896"/>
      <c r="PC108" s="897"/>
      <c r="PD108" s="897"/>
      <c r="PE108" s="897"/>
      <c r="PF108" s="897"/>
      <c r="PG108" s="897"/>
      <c r="PH108" s="897"/>
      <c r="PI108" s="897"/>
      <c r="PJ108" s="897"/>
      <c r="PK108" s="895"/>
      <c r="PL108" s="895"/>
      <c r="PM108" s="896"/>
      <c r="PN108" s="897"/>
      <c r="PO108" s="897"/>
      <c r="PP108" s="897"/>
      <c r="PQ108" s="897"/>
      <c r="PR108" s="897"/>
      <c r="PS108" s="897"/>
      <c r="PT108" s="897"/>
      <c r="PU108" s="897"/>
      <c r="PV108" s="895"/>
      <c r="PW108" s="895"/>
      <c r="PX108" s="896"/>
      <c r="PY108" s="897"/>
      <c r="PZ108" s="897"/>
      <c r="QA108" s="897"/>
      <c r="QB108" s="897"/>
      <c r="QC108" s="897"/>
      <c r="QD108" s="897"/>
      <c r="QE108" s="897"/>
      <c r="QF108" s="897"/>
      <c r="QG108" s="895"/>
      <c r="QH108" s="895"/>
      <c r="QI108" s="896"/>
      <c r="QJ108" s="897"/>
      <c r="QK108" s="897"/>
      <c r="QL108" s="897"/>
      <c r="QM108" s="897"/>
      <c r="QN108" s="897"/>
      <c r="QO108" s="897"/>
      <c r="QP108" s="897"/>
      <c r="QQ108" s="897"/>
      <c r="QR108" s="895"/>
      <c r="QS108" s="895"/>
      <c r="QT108" s="896"/>
      <c r="QU108" s="897"/>
      <c r="QV108" s="897"/>
      <c r="QW108" s="897"/>
      <c r="QX108" s="897"/>
      <c r="QY108" s="897"/>
      <c r="QZ108" s="897"/>
      <c r="RA108" s="897"/>
      <c r="RB108" s="897"/>
      <c r="RC108" s="895"/>
      <c r="RD108" s="895"/>
      <c r="RE108" s="896"/>
      <c r="RF108" s="897"/>
      <c r="RG108" s="897"/>
      <c r="RH108" s="897"/>
      <c r="RI108" s="897"/>
      <c r="RJ108" s="897"/>
      <c r="RK108" s="897"/>
      <c r="RL108" s="897"/>
      <c r="RM108" s="897"/>
      <c r="RN108" s="895"/>
      <c r="RO108" s="895"/>
      <c r="RP108" s="896"/>
      <c r="RQ108" s="897"/>
      <c r="RR108" s="897"/>
      <c r="RS108" s="897"/>
      <c r="RT108" s="897"/>
      <c r="RU108" s="897"/>
      <c r="RV108" s="897"/>
      <c r="RW108" s="897"/>
      <c r="RX108" s="897"/>
      <c r="RY108" s="895"/>
      <c r="RZ108" s="895"/>
      <c r="SA108" s="896"/>
      <c r="SB108" s="897"/>
      <c r="SC108" s="897"/>
      <c r="SD108" s="897"/>
      <c r="SE108" s="897"/>
      <c r="SF108" s="897"/>
      <c r="SG108" s="897"/>
      <c r="SH108" s="897"/>
      <c r="SI108" s="897"/>
      <c r="SJ108" s="895"/>
      <c r="SK108" s="895"/>
      <c r="SL108" s="896"/>
      <c r="SM108" s="897"/>
      <c r="SN108" s="897"/>
      <c r="SO108" s="897"/>
      <c r="SP108" s="897"/>
      <c r="SQ108" s="897"/>
      <c r="SR108" s="897"/>
      <c r="SS108" s="897"/>
      <c r="ST108" s="897"/>
      <c r="SU108" s="895"/>
      <c r="SV108" s="895"/>
      <c r="SW108" s="896"/>
      <c r="SX108" s="897"/>
      <c r="SY108" s="897"/>
      <c r="SZ108" s="897"/>
      <c r="TA108" s="897"/>
      <c r="TB108" s="897"/>
      <c r="TC108" s="897"/>
      <c r="TD108" s="897"/>
      <c r="TE108" s="897"/>
      <c r="TF108" s="895"/>
      <c r="TG108" s="895"/>
      <c r="TH108" s="896"/>
      <c r="TI108" s="897"/>
      <c r="TJ108" s="897"/>
      <c r="TK108" s="897"/>
      <c r="TL108" s="897"/>
      <c r="TM108" s="897"/>
      <c r="TN108" s="897"/>
      <c r="TO108" s="897"/>
      <c r="TP108" s="897"/>
      <c r="TQ108" s="895"/>
      <c r="TR108" s="895"/>
      <c r="TS108" s="896"/>
      <c r="TT108" s="897"/>
      <c r="TU108" s="897"/>
      <c r="TV108" s="897"/>
      <c r="TW108" s="897"/>
      <c r="TX108" s="897"/>
      <c r="TY108" s="897"/>
      <c r="TZ108" s="897"/>
      <c r="UA108" s="897"/>
      <c r="UB108" s="895"/>
      <c r="UC108" s="895"/>
      <c r="UD108" s="896"/>
      <c r="UE108" s="897"/>
      <c r="UF108" s="897"/>
      <c r="UG108" s="897"/>
      <c r="UH108" s="897"/>
      <c r="UI108" s="897"/>
      <c r="UJ108" s="897"/>
      <c r="UK108" s="897"/>
      <c r="UL108" s="897"/>
      <c r="UM108" s="895"/>
      <c r="UN108" s="895"/>
      <c r="UO108" s="896"/>
      <c r="UP108" s="897"/>
      <c r="UQ108" s="897"/>
      <c r="UR108" s="897"/>
      <c r="US108" s="897"/>
      <c r="UT108" s="897"/>
      <c r="UU108" s="897"/>
      <c r="UV108" s="897"/>
      <c r="UW108" s="897"/>
      <c r="UX108" s="895"/>
      <c r="UY108" s="895"/>
      <c r="UZ108" s="896"/>
      <c r="VA108" s="897"/>
      <c r="VB108" s="897"/>
      <c r="VC108" s="897"/>
      <c r="VD108" s="897"/>
      <c r="VE108" s="897"/>
      <c r="VF108" s="897"/>
      <c r="VG108" s="897"/>
      <c r="VH108" s="897"/>
      <c r="VI108" s="895"/>
      <c r="VJ108" s="895"/>
      <c r="VK108" s="896"/>
      <c r="VL108" s="897"/>
      <c r="VM108" s="897"/>
      <c r="VN108" s="897"/>
      <c r="VO108" s="897"/>
      <c r="VP108" s="897"/>
      <c r="VQ108" s="897"/>
      <c r="VR108" s="897"/>
      <c r="VS108" s="897"/>
      <c r="VT108" s="895"/>
      <c r="VU108" s="895"/>
      <c r="VV108" s="896"/>
      <c r="VW108" s="897"/>
      <c r="VX108" s="897"/>
      <c r="VY108" s="897"/>
      <c r="VZ108" s="897"/>
      <c r="WA108" s="897"/>
      <c r="WB108" s="897"/>
      <c r="WC108" s="897"/>
      <c r="WD108" s="897"/>
      <c r="WE108" s="895"/>
      <c r="WF108" s="895"/>
      <c r="WG108" s="896"/>
      <c r="WH108" s="897"/>
      <c r="WI108" s="897"/>
      <c r="WJ108" s="897"/>
      <c r="WK108" s="897"/>
      <c r="WL108" s="897"/>
      <c r="WM108" s="897"/>
      <c r="WN108" s="897"/>
      <c r="WO108" s="897"/>
      <c r="WP108" s="895"/>
      <c r="WQ108" s="895"/>
      <c r="WR108" s="896"/>
      <c r="WS108" s="897"/>
      <c r="WT108" s="897"/>
      <c r="WU108" s="897"/>
      <c r="WV108" s="897"/>
      <c r="WW108" s="897"/>
      <c r="WX108" s="897"/>
      <c r="WY108" s="897"/>
      <c r="WZ108" s="897"/>
      <c r="XA108" s="895"/>
      <c r="XB108" s="895"/>
      <c r="XC108" s="896"/>
      <c r="XD108" s="897"/>
      <c r="XE108" s="897"/>
      <c r="XF108" s="897"/>
      <c r="XG108" s="897"/>
      <c r="XH108" s="897"/>
      <c r="XI108" s="897"/>
      <c r="XJ108" s="897"/>
      <c r="XK108" s="897"/>
      <c r="XL108" s="895"/>
      <c r="XM108" s="895"/>
      <c r="XN108" s="896"/>
      <c r="XO108" s="897"/>
      <c r="XP108" s="897"/>
      <c r="XQ108" s="897"/>
      <c r="XR108" s="897"/>
      <c r="XS108" s="897"/>
      <c r="XT108" s="897"/>
      <c r="XU108" s="897"/>
      <c r="XV108" s="897"/>
      <c r="XW108" s="895"/>
      <c r="XX108" s="895"/>
      <c r="XY108" s="896"/>
      <c r="XZ108" s="897"/>
      <c r="YA108" s="897"/>
      <c r="YB108" s="897"/>
      <c r="YC108" s="897"/>
      <c r="YD108" s="897"/>
      <c r="YE108" s="897"/>
      <c r="YF108" s="897"/>
      <c r="YG108" s="897"/>
      <c r="YH108" s="895"/>
      <c r="YI108" s="895"/>
      <c r="YJ108" s="896"/>
      <c r="YK108" s="897"/>
      <c r="YL108" s="897"/>
      <c r="YM108" s="897"/>
      <c r="YN108" s="897"/>
      <c r="YO108" s="897"/>
      <c r="YP108" s="897"/>
      <c r="YQ108" s="897"/>
      <c r="YR108" s="897"/>
      <c r="YS108" s="895"/>
      <c r="YT108" s="895"/>
      <c r="YU108" s="896"/>
      <c r="YV108" s="897"/>
      <c r="YW108" s="897"/>
      <c r="YX108" s="897"/>
      <c r="YY108" s="897"/>
      <c r="YZ108" s="897"/>
      <c r="ZA108" s="897"/>
      <c r="ZB108" s="897"/>
      <c r="ZC108" s="897"/>
      <c r="ZD108" s="895"/>
      <c r="ZE108" s="895"/>
      <c r="ZF108" s="896"/>
      <c r="ZG108" s="897"/>
      <c r="ZH108" s="897"/>
      <c r="ZI108" s="897"/>
      <c r="ZJ108" s="897"/>
      <c r="ZK108" s="897"/>
      <c r="ZL108" s="897"/>
      <c r="ZM108" s="897"/>
      <c r="ZN108" s="897"/>
      <c r="ZO108" s="895"/>
      <c r="ZP108" s="895"/>
      <c r="ZQ108" s="896"/>
      <c r="ZR108" s="897"/>
      <c r="ZS108" s="897"/>
      <c r="ZT108" s="897"/>
      <c r="ZU108" s="897"/>
      <c r="ZV108" s="897"/>
      <c r="ZW108" s="897"/>
      <c r="ZX108" s="897"/>
      <c r="ZY108" s="897"/>
      <c r="ZZ108" s="895"/>
      <c r="AAA108" s="895"/>
      <c r="AAB108" s="896"/>
      <c r="AAC108" s="897"/>
      <c r="AAD108" s="897"/>
      <c r="AAE108" s="897"/>
      <c r="AAF108" s="897"/>
      <c r="AAG108" s="897"/>
      <c r="AAH108" s="897"/>
      <c r="AAI108" s="897"/>
      <c r="AAJ108" s="897"/>
      <c r="AAK108" s="895"/>
      <c r="AAL108" s="895"/>
      <c r="AAM108" s="896"/>
      <c r="AAN108" s="897"/>
      <c r="AAO108" s="897"/>
      <c r="AAP108" s="897"/>
      <c r="AAQ108" s="897"/>
      <c r="AAR108" s="897"/>
      <c r="AAS108" s="897"/>
      <c r="AAT108" s="897"/>
      <c r="AAU108" s="897"/>
      <c r="AAV108" s="895"/>
      <c r="AAW108" s="895"/>
      <c r="AAX108" s="896"/>
      <c r="AAY108" s="897"/>
      <c r="AAZ108" s="897"/>
      <c r="ABA108" s="897"/>
      <c r="ABB108" s="897"/>
      <c r="ABC108" s="897"/>
      <c r="ABD108" s="897"/>
      <c r="ABE108" s="897"/>
      <c r="ABF108" s="897"/>
      <c r="ABG108" s="895"/>
      <c r="ABH108" s="895"/>
      <c r="ABI108" s="896"/>
      <c r="ABJ108" s="897"/>
      <c r="ABK108" s="897"/>
      <c r="ABL108" s="897"/>
      <c r="ABM108" s="897"/>
      <c r="ABN108" s="897"/>
      <c r="ABO108" s="897"/>
      <c r="ABP108" s="897"/>
      <c r="ABQ108" s="897"/>
      <c r="ABR108" s="895"/>
      <c r="ABS108" s="895"/>
      <c r="ABT108" s="896"/>
      <c r="ABU108" s="897"/>
      <c r="ABV108" s="897"/>
      <c r="ABW108" s="897"/>
      <c r="ABX108" s="897"/>
      <c r="ABY108" s="897"/>
      <c r="ABZ108" s="897"/>
      <c r="ACA108" s="897"/>
      <c r="ACB108" s="897"/>
      <c r="ACC108" s="895"/>
      <c r="ACD108" s="895"/>
      <c r="ACE108" s="896"/>
      <c r="ACF108" s="897"/>
      <c r="ACG108" s="897"/>
      <c r="ACH108" s="897"/>
      <c r="ACI108" s="897"/>
      <c r="ACJ108" s="897"/>
      <c r="ACK108" s="897"/>
      <c r="ACL108" s="897"/>
      <c r="ACM108" s="897"/>
      <c r="ACN108" s="895"/>
      <c r="ACO108" s="895"/>
      <c r="ACP108" s="896"/>
      <c r="ACQ108" s="897"/>
      <c r="ACR108" s="897"/>
      <c r="ACS108" s="897"/>
      <c r="ACT108" s="897"/>
      <c r="ACU108" s="897"/>
      <c r="ACV108" s="897"/>
      <c r="ACW108" s="897"/>
      <c r="ACX108" s="897"/>
      <c r="ACY108" s="895"/>
      <c r="ACZ108" s="895"/>
      <c r="ADA108" s="896"/>
      <c r="ADB108" s="897"/>
      <c r="ADC108" s="897"/>
      <c r="ADD108" s="897"/>
      <c r="ADE108" s="897"/>
      <c r="ADF108" s="897"/>
      <c r="ADG108" s="897"/>
      <c r="ADH108" s="897"/>
      <c r="ADI108" s="897"/>
      <c r="ADJ108" s="895"/>
      <c r="ADK108" s="895"/>
      <c r="ADL108" s="896"/>
      <c r="ADM108" s="897"/>
      <c r="ADN108" s="897"/>
      <c r="ADO108" s="897"/>
      <c r="ADP108" s="897"/>
      <c r="ADQ108" s="897"/>
      <c r="ADR108" s="897"/>
      <c r="ADS108" s="897"/>
      <c r="ADT108" s="897"/>
      <c r="ADU108" s="895"/>
      <c r="ADV108" s="895"/>
      <c r="ADW108" s="896"/>
      <c r="ADX108" s="897"/>
      <c r="ADY108" s="897"/>
      <c r="ADZ108" s="897"/>
      <c r="AEA108" s="897"/>
      <c r="AEB108" s="897"/>
      <c r="AEC108" s="897"/>
      <c r="AED108" s="897"/>
      <c r="AEE108" s="897"/>
      <c r="AEF108" s="895"/>
      <c r="AEG108" s="895"/>
      <c r="AEH108" s="896"/>
      <c r="AEI108" s="897"/>
      <c r="AEJ108" s="897"/>
      <c r="AEK108" s="897"/>
      <c r="AEL108" s="897"/>
      <c r="AEM108" s="897"/>
      <c r="AEN108" s="897"/>
      <c r="AEO108" s="897"/>
      <c r="AEP108" s="897"/>
      <c r="AEQ108" s="895"/>
      <c r="AER108" s="895"/>
      <c r="AES108" s="896"/>
      <c r="AET108" s="897"/>
      <c r="AEU108" s="897"/>
      <c r="AEV108" s="897"/>
      <c r="AEW108" s="897"/>
      <c r="AEX108" s="897"/>
      <c r="AEY108" s="897"/>
      <c r="AEZ108" s="897"/>
      <c r="AFA108" s="897"/>
      <c r="AFB108" s="895"/>
      <c r="AFC108" s="895"/>
      <c r="AFD108" s="896"/>
      <c r="AFE108" s="897"/>
      <c r="AFF108" s="897"/>
      <c r="AFG108" s="897"/>
      <c r="AFH108" s="897"/>
      <c r="AFI108" s="897"/>
      <c r="AFJ108" s="897"/>
      <c r="AFK108" s="897"/>
      <c r="AFL108" s="897"/>
      <c r="AFM108" s="895"/>
      <c r="AFN108" s="895"/>
      <c r="AFO108" s="896"/>
      <c r="AFP108" s="897"/>
      <c r="AFQ108" s="897"/>
      <c r="AFR108" s="897"/>
      <c r="AFS108" s="897"/>
      <c r="AFT108" s="897"/>
      <c r="AFU108" s="897"/>
      <c r="AFV108" s="897"/>
      <c r="AFW108" s="897"/>
      <c r="AFX108" s="895"/>
      <c r="AFY108" s="895"/>
      <c r="AFZ108" s="896"/>
      <c r="AGA108" s="897"/>
      <c r="AGB108" s="897"/>
      <c r="AGC108" s="897"/>
      <c r="AGD108" s="897"/>
      <c r="AGE108" s="897"/>
      <c r="AGF108" s="897"/>
      <c r="AGG108" s="897"/>
      <c r="AGH108" s="897"/>
      <c r="AGI108" s="895"/>
      <c r="AGJ108" s="895"/>
      <c r="AGK108" s="896"/>
      <c r="AGL108" s="897"/>
      <c r="AGM108" s="897"/>
      <c r="AGN108" s="897"/>
      <c r="AGO108" s="897"/>
      <c r="AGP108" s="897"/>
      <c r="AGQ108" s="897"/>
      <c r="AGR108" s="897"/>
      <c r="AGS108" s="897"/>
      <c r="AGT108" s="895"/>
      <c r="AGU108" s="895"/>
      <c r="AGV108" s="896"/>
      <c r="AGW108" s="897"/>
      <c r="AGX108" s="897"/>
      <c r="AGY108" s="897"/>
      <c r="AGZ108" s="897"/>
      <c r="AHA108" s="897"/>
      <c r="AHB108" s="897"/>
      <c r="AHC108" s="897"/>
      <c r="AHD108" s="897"/>
      <c r="AHE108" s="895"/>
      <c r="AHF108" s="895"/>
      <c r="AHG108" s="896"/>
      <c r="AHH108" s="897"/>
      <c r="AHI108" s="897"/>
      <c r="AHJ108" s="897"/>
      <c r="AHK108" s="897"/>
      <c r="AHL108" s="897"/>
      <c r="AHM108" s="897"/>
      <c r="AHN108" s="897"/>
      <c r="AHO108" s="897"/>
      <c r="AHP108" s="895"/>
      <c r="AHQ108" s="895"/>
      <c r="AHR108" s="896"/>
      <c r="AHS108" s="897"/>
      <c r="AHT108" s="897"/>
      <c r="AHU108" s="897"/>
      <c r="AHV108" s="897"/>
      <c r="AHW108" s="897"/>
      <c r="AHX108" s="897"/>
      <c r="AHY108" s="897"/>
      <c r="AHZ108" s="897"/>
      <c r="AIA108" s="895"/>
      <c r="AIB108" s="895"/>
      <c r="AIC108" s="896"/>
      <c r="AID108" s="897"/>
      <c r="AIE108" s="897"/>
      <c r="AIF108" s="897"/>
      <c r="AIG108" s="897"/>
      <c r="AIH108" s="897"/>
      <c r="AII108" s="897"/>
      <c r="AIJ108" s="897"/>
      <c r="AIK108" s="897"/>
      <c r="AIL108" s="895"/>
      <c r="AIM108" s="895"/>
      <c r="AIN108" s="896"/>
      <c r="AIO108" s="897"/>
      <c r="AIP108" s="897"/>
      <c r="AIQ108" s="897"/>
      <c r="AIR108" s="897"/>
      <c r="AIS108" s="897"/>
      <c r="AIT108" s="897"/>
      <c r="AIU108" s="897"/>
      <c r="AIV108" s="897"/>
      <c r="AIW108" s="895"/>
      <c r="AIX108" s="895"/>
      <c r="AIY108" s="896"/>
      <c r="AIZ108" s="897"/>
      <c r="AJA108" s="897"/>
      <c r="AJB108" s="897"/>
      <c r="AJC108" s="897"/>
      <c r="AJD108" s="897"/>
      <c r="AJE108" s="897"/>
      <c r="AJF108" s="897"/>
      <c r="AJG108" s="897"/>
      <c r="AJH108" s="895"/>
      <c r="AJI108" s="895"/>
      <c r="AJJ108" s="896"/>
      <c r="AJK108" s="897"/>
      <c r="AJL108" s="897"/>
      <c r="AJM108" s="897"/>
      <c r="AJN108" s="897"/>
      <c r="AJO108" s="897"/>
      <c r="AJP108" s="897"/>
      <c r="AJQ108" s="897"/>
      <c r="AJR108" s="897"/>
      <c r="AJS108" s="895"/>
      <c r="AJT108" s="895"/>
      <c r="AJU108" s="896"/>
      <c r="AJV108" s="897"/>
      <c r="AJW108" s="897"/>
      <c r="AJX108" s="897"/>
      <c r="AJY108" s="897"/>
      <c r="AJZ108" s="897"/>
      <c r="AKA108" s="897"/>
      <c r="AKB108" s="897"/>
      <c r="AKC108" s="897"/>
      <c r="AKD108" s="895"/>
      <c r="AKE108" s="895"/>
      <c r="AKF108" s="896"/>
      <c r="AKG108" s="897"/>
      <c r="AKH108" s="897"/>
      <c r="AKI108" s="897"/>
      <c r="AKJ108" s="897"/>
      <c r="AKK108" s="897"/>
      <c r="AKL108" s="897"/>
      <c r="AKM108" s="897"/>
      <c r="AKN108" s="897"/>
      <c r="AKO108" s="895"/>
      <c r="AKP108" s="895"/>
      <c r="AKQ108" s="896"/>
      <c r="AKR108" s="897"/>
      <c r="AKS108" s="897"/>
      <c r="AKT108" s="897"/>
      <c r="AKU108" s="897"/>
      <c r="AKV108" s="897"/>
      <c r="AKW108" s="897"/>
      <c r="AKX108" s="897"/>
      <c r="AKY108" s="897"/>
      <c r="AKZ108" s="895"/>
      <c r="ALA108" s="895"/>
      <c r="ALB108" s="896"/>
      <c r="ALC108" s="897"/>
      <c r="ALD108" s="897"/>
      <c r="ALE108" s="897"/>
      <c r="ALF108" s="897"/>
      <c r="ALG108" s="897"/>
      <c r="ALH108" s="897"/>
      <c r="ALI108" s="897"/>
      <c r="ALJ108" s="897"/>
      <c r="ALK108" s="895"/>
      <c r="ALL108" s="895"/>
      <c r="ALM108" s="896"/>
      <c r="ALN108" s="897"/>
      <c r="ALO108" s="897"/>
      <c r="ALP108" s="897"/>
      <c r="ALQ108" s="897"/>
      <c r="ALR108" s="897"/>
      <c r="ALS108" s="897"/>
      <c r="ALT108" s="897"/>
      <c r="ALU108" s="897"/>
      <c r="ALV108" s="895"/>
      <c r="ALW108" s="895"/>
      <c r="ALX108" s="896"/>
      <c r="ALY108" s="897"/>
      <c r="ALZ108" s="897"/>
      <c r="AMA108" s="897"/>
      <c r="AMB108" s="897"/>
      <c r="AMC108" s="897"/>
      <c r="AMD108" s="897"/>
      <c r="AME108" s="897"/>
      <c r="AMF108" s="897"/>
      <c r="AMG108" s="895"/>
      <c r="AMH108" s="895"/>
      <c r="AMI108" s="896"/>
      <c r="AMJ108" s="897"/>
      <c r="AMK108" s="897"/>
      <c r="AML108" s="897"/>
      <c r="AMM108" s="897"/>
      <c r="AMN108" s="897"/>
      <c r="AMO108" s="897"/>
      <c r="AMP108" s="897"/>
      <c r="AMQ108" s="897"/>
      <c r="AMR108" s="895"/>
      <c r="AMS108" s="895"/>
      <c r="AMT108" s="896"/>
      <c r="AMU108" s="897"/>
      <c r="AMV108" s="897"/>
      <c r="AMW108" s="897"/>
      <c r="AMX108" s="897"/>
      <c r="AMY108" s="897"/>
      <c r="AMZ108" s="897"/>
      <c r="ANA108" s="897"/>
      <c r="ANB108" s="897"/>
      <c r="ANC108" s="895"/>
      <c r="AND108" s="895"/>
      <c r="ANE108" s="896"/>
      <c r="ANF108" s="897"/>
      <c r="ANG108" s="897"/>
      <c r="ANH108" s="897"/>
      <c r="ANI108" s="897"/>
      <c r="ANJ108" s="897"/>
      <c r="ANK108" s="897"/>
      <c r="ANL108" s="897"/>
      <c r="ANM108" s="897"/>
      <c r="ANN108" s="895"/>
      <c r="ANO108" s="895"/>
      <c r="ANP108" s="896"/>
      <c r="ANQ108" s="897"/>
      <c r="ANR108" s="897"/>
      <c r="ANS108" s="897"/>
      <c r="ANT108" s="897"/>
      <c r="ANU108" s="897"/>
      <c r="ANV108" s="897"/>
      <c r="ANW108" s="897"/>
      <c r="ANX108" s="897"/>
      <c r="ANY108" s="895"/>
      <c r="ANZ108" s="895"/>
      <c r="AOA108" s="896"/>
      <c r="AOB108" s="897"/>
      <c r="AOC108" s="897"/>
      <c r="AOD108" s="897"/>
      <c r="AOE108" s="897"/>
      <c r="AOF108" s="897"/>
      <c r="AOG108" s="897"/>
      <c r="AOH108" s="897"/>
      <c r="AOI108" s="897"/>
      <c r="AOJ108" s="895"/>
      <c r="AOK108" s="895"/>
      <c r="AOL108" s="896"/>
      <c r="AOM108" s="897"/>
      <c r="AON108" s="897"/>
      <c r="AOO108" s="897"/>
      <c r="AOP108" s="897"/>
      <c r="AOQ108" s="897"/>
      <c r="AOR108" s="897"/>
      <c r="AOS108" s="897"/>
      <c r="AOT108" s="897"/>
      <c r="AOU108" s="895"/>
      <c r="AOV108" s="895"/>
      <c r="AOW108" s="896"/>
      <c r="AOX108" s="897"/>
      <c r="AOY108" s="897"/>
      <c r="AOZ108" s="897"/>
      <c r="APA108" s="897"/>
      <c r="APB108" s="897"/>
      <c r="APC108" s="897"/>
      <c r="APD108" s="897"/>
      <c r="APE108" s="897"/>
      <c r="APF108" s="895"/>
      <c r="APG108" s="895"/>
      <c r="APH108" s="896"/>
      <c r="API108" s="897"/>
      <c r="APJ108" s="897"/>
      <c r="APK108" s="897"/>
      <c r="APL108" s="897"/>
      <c r="APM108" s="897"/>
      <c r="APN108" s="897"/>
      <c r="APO108" s="897"/>
      <c r="APP108" s="897"/>
      <c r="APQ108" s="895"/>
      <c r="APR108" s="895"/>
      <c r="APS108" s="896"/>
      <c r="APT108" s="897"/>
      <c r="APU108" s="897"/>
      <c r="APV108" s="897"/>
      <c r="APW108" s="897"/>
      <c r="APX108" s="897"/>
      <c r="APY108" s="897"/>
      <c r="APZ108" s="897"/>
      <c r="AQA108" s="897"/>
      <c r="AQB108" s="895"/>
      <c r="AQC108" s="895"/>
      <c r="AQD108" s="896"/>
      <c r="AQE108" s="897"/>
      <c r="AQF108" s="897"/>
      <c r="AQG108" s="897"/>
      <c r="AQH108" s="897"/>
      <c r="AQI108" s="897"/>
      <c r="AQJ108" s="897"/>
      <c r="AQK108" s="897"/>
      <c r="AQL108" s="897"/>
      <c r="AQM108" s="895"/>
      <c r="AQN108" s="895"/>
      <c r="AQO108" s="896"/>
      <c r="AQP108" s="897"/>
      <c r="AQQ108" s="897"/>
      <c r="AQR108" s="897"/>
      <c r="AQS108" s="897"/>
      <c r="AQT108" s="897"/>
      <c r="AQU108" s="897"/>
      <c r="AQV108" s="897"/>
      <c r="AQW108" s="897"/>
      <c r="AQX108" s="895"/>
      <c r="AQY108" s="895"/>
      <c r="AQZ108" s="896"/>
      <c r="ARA108" s="897"/>
      <c r="ARB108" s="897"/>
      <c r="ARC108" s="897"/>
      <c r="ARD108" s="897"/>
      <c r="ARE108" s="897"/>
      <c r="ARF108" s="897"/>
      <c r="ARG108" s="897"/>
      <c r="ARH108" s="897"/>
      <c r="ARI108" s="895"/>
      <c r="ARJ108" s="895"/>
      <c r="ARK108" s="896"/>
      <c r="ARL108" s="897"/>
      <c r="ARM108" s="897"/>
      <c r="ARN108" s="897"/>
      <c r="ARO108" s="897"/>
      <c r="ARP108" s="897"/>
      <c r="ARQ108" s="897"/>
      <c r="ARR108" s="897"/>
      <c r="ARS108" s="897"/>
      <c r="ART108" s="895"/>
      <c r="ARU108" s="895"/>
      <c r="ARV108" s="896"/>
      <c r="ARW108" s="897"/>
      <c r="ARX108" s="897"/>
      <c r="ARY108" s="897"/>
      <c r="ARZ108" s="897"/>
      <c r="ASA108" s="897"/>
      <c r="ASB108" s="897"/>
      <c r="ASC108" s="897"/>
      <c r="ASD108" s="897"/>
      <c r="ASE108" s="895"/>
      <c r="ASF108" s="895"/>
      <c r="ASG108" s="896"/>
      <c r="ASH108" s="897"/>
      <c r="ASI108" s="897"/>
      <c r="ASJ108" s="897"/>
      <c r="ASK108" s="897"/>
      <c r="ASL108" s="897"/>
      <c r="ASM108" s="897"/>
      <c r="ASN108" s="897"/>
      <c r="ASO108" s="897"/>
      <c r="ASP108" s="895"/>
      <c r="ASQ108" s="895"/>
      <c r="ASR108" s="896"/>
      <c r="ASS108" s="897"/>
      <c r="AST108" s="897"/>
      <c r="ASU108" s="897"/>
      <c r="ASV108" s="897"/>
      <c r="ASW108" s="897"/>
      <c r="ASX108" s="897"/>
      <c r="ASY108" s="897"/>
      <c r="ASZ108" s="897"/>
      <c r="ATA108" s="895"/>
      <c r="ATB108" s="895"/>
      <c r="ATC108" s="896"/>
      <c r="ATD108" s="897"/>
      <c r="ATE108" s="897"/>
      <c r="ATF108" s="897"/>
      <c r="ATG108" s="897"/>
      <c r="ATH108" s="897"/>
      <c r="ATI108" s="897"/>
      <c r="ATJ108" s="897"/>
      <c r="ATK108" s="897"/>
      <c r="ATL108" s="895"/>
      <c r="ATM108" s="895"/>
      <c r="ATN108" s="896"/>
      <c r="ATO108" s="897"/>
      <c r="ATP108" s="897"/>
      <c r="ATQ108" s="897"/>
      <c r="ATR108" s="897"/>
      <c r="ATS108" s="897"/>
      <c r="ATT108" s="897"/>
      <c r="ATU108" s="897"/>
      <c r="ATV108" s="897"/>
      <c r="ATW108" s="895"/>
      <c r="ATX108" s="895"/>
      <c r="ATY108" s="896"/>
      <c r="ATZ108" s="897"/>
      <c r="AUA108" s="897"/>
      <c r="AUB108" s="897"/>
      <c r="AUC108" s="897"/>
      <c r="AUD108" s="897"/>
      <c r="AUE108" s="897"/>
      <c r="AUF108" s="897"/>
      <c r="AUG108" s="897"/>
      <c r="AUH108" s="895"/>
      <c r="AUI108" s="895"/>
      <c r="AUJ108" s="896"/>
      <c r="AUK108" s="897"/>
      <c r="AUL108" s="897"/>
      <c r="AUM108" s="897"/>
      <c r="AUN108" s="897"/>
      <c r="AUO108" s="897"/>
      <c r="AUP108" s="897"/>
      <c r="AUQ108" s="897"/>
      <c r="AUR108" s="897"/>
      <c r="AUS108" s="895"/>
      <c r="AUT108" s="895"/>
      <c r="AUU108" s="896"/>
      <c r="AUV108" s="897"/>
      <c r="AUW108" s="897"/>
      <c r="AUX108" s="897"/>
      <c r="AUY108" s="897"/>
      <c r="AUZ108" s="897"/>
      <c r="AVA108" s="897"/>
      <c r="AVB108" s="897"/>
      <c r="AVC108" s="897"/>
      <c r="AVD108" s="895"/>
      <c r="AVE108" s="895"/>
      <c r="AVF108" s="896"/>
      <c r="AVG108" s="897"/>
      <c r="AVH108" s="897"/>
      <c r="AVI108" s="897"/>
      <c r="AVJ108" s="897"/>
      <c r="AVK108" s="897"/>
      <c r="AVL108" s="897"/>
      <c r="AVM108" s="897"/>
      <c r="AVN108" s="897"/>
      <c r="AVO108" s="895"/>
      <c r="AVP108" s="895"/>
      <c r="AVQ108" s="896"/>
      <c r="AVR108" s="897"/>
      <c r="AVS108" s="897"/>
      <c r="AVT108" s="897"/>
      <c r="AVU108" s="897"/>
      <c r="AVV108" s="897"/>
      <c r="AVW108" s="897"/>
      <c r="AVX108" s="897"/>
      <c r="AVY108" s="897"/>
      <c r="AVZ108" s="895"/>
      <c r="AWA108" s="895"/>
      <c r="AWB108" s="896"/>
      <c r="AWC108" s="897"/>
      <c r="AWD108" s="897"/>
      <c r="AWE108" s="897"/>
      <c r="AWF108" s="897"/>
      <c r="AWG108" s="897"/>
      <c r="AWH108" s="897"/>
      <c r="AWI108" s="897"/>
      <c r="AWJ108" s="897"/>
      <c r="AWK108" s="895"/>
      <c r="AWL108" s="895"/>
      <c r="AWM108" s="896"/>
      <c r="AWN108" s="897"/>
      <c r="AWO108" s="897"/>
      <c r="AWP108" s="897"/>
      <c r="AWQ108" s="897"/>
      <c r="AWR108" s="897"/>
      <c r="AWS108" s="897"/>
      <c r="AWT108" s="897"/>
      <c r="AWU108" s="897"/>
      <c r="AWV108" s="895"/>
      <c r="AWW108" s="895"/>
      <c r="AWX108" s="896"/>
      <c r="AWY108" s="897"/>
      <c r="AWZ108" s="897"/>
      <c r="AXA108" s="897"/>
      <c r="AXB108" s="897"/>
      <c r="AXC108" s="897"/>
      <c r="AXD108" s="897"/>
      <c r="AXE108" s="897"/>
      <c r="AXF108" s="897"/>
      <c r="AXG108" s="895"/>
      <c r="AXH108" s="895"/>
      <c r="AXI108" s="896"/>
      <c r="AXJ108" s="897"/>
      <c r="AXK108" s="897"/>
      <c r="AXL108" s="897"/>
      <c r="AXM108" s="897"/>
      <c r="AXN108" s="897"/>
      <c r="AXO108" s="897"/>
      <c r="AXP108" s="897"/>
      <c r="AXQ108" s="897"/>
      <c r="AXR108" s="895"/>
      <c r="AXS108" s="895"/>
      <c r="AXT108" s="896"/>
      <c r="AXU108" s="897"/>
      <c r="AXV108" s="897"/>
      <c r="AXW108" s="897"/>
      <c r="AXX108" s="897"/>
      <c r="AXY108" s="897"/>
      <c r="AXZ108" s="897"/>
      <c r="AYA108" s="897"/>
      <c r="AYB108" s="897"/>
      <c r="AYC108" s="895"/>
      <c r="AYD108" s="895"/>
      <c r="AYE108" s="896"/>
      <c r="AYF108" s="897"/>
      <c r="AYG108" s="897"/>
      <c r="AYH108" s="897"/>
      <c r="AYI108" s="897"/>
      <c r="AYJ108" s="897"/>
      <c r="AYK108" s="897"/>
      <c r="AYL108" s="897"/>
      <c r="AYM108" s="897"/>
      <c r="AYN108" s="895"/>
      <c r="AYO108" s="895"/>
      <c r="AYP108" s="896"/>
      <c r="AYQ108" s="897"/>
      <c r="AYR108" s="897"/>
      <c r="AYS108" s="897"/>
      <c r="AYT108" s="897"/>
      <c r="AYU108" s="897"/>
      <c r="AYV108" s="897"/>
      <c r="AYW108" s="897"/>
      <c r="AYX108" s="897"/>
      <c r="AYY108" s="895"/>
      <c r="AYZ108" s="895"/>
      <c r="AZA108" s="896"/>
      <c r="AZB108" s="897"/>
      <c r="AZC108" s="897"/>
      <c r="AZD108" s="897"/>
      <c r="AZE108" s="897"/>
      <c r="AZF108" s="897"/>
      <c r="AZG108" s="897"/>
      <c r="AZH108" s="897"/>
      <c r="AZI108" s="897"/>
      <c r="AZJ108" s="895"/>
      <c r="AZK108" s="895"/>
      <c r="AZL108" s="896"/>
      <c r="AZM108" s="897"/>
      <c r="AZN108" s="897"/>
      <c r="AZO108" s="897"/>
      <c r="AZP108" s="897"/>
      <c r="AZQ108" s="897"/>
      <c r="AZR108" s="897"/>
      <c r="AZS108" s="897"/>
      <c r="AZT108" s="897"/>
      <c r="AZU108" s="895"/>
      <c r="AZV108" s="895"/>
      <c r="AZW108" s="896"/>
      <c r="AZX108" s="897"/>
      <c r="AZY108" s="897"/>
      <c r="AZZ108" s="897"/>
      <c r="BAA108" s="897"/>
      <c r="BAB108" s="897"/>
      <c r="BAC108" s="897"/>
      <c r="BAD108" s="897"/>
      <c r="BAE108" s="897"/>
      <c r="BAF108" s="895"/>
      <c r="BAG108" s="895"/>
      <c r="BAH108" s="896"/>
      <c r="BAI108" s="897"/>
      <c r="BAJ108" s="897"/>
      <c r="BAK108" s="897"/>
      <c r="BAL108" s="897"/>
      <c r="BAM108" s="897"/>
      <c r="BAN108" s="897"/>
      <c r="BAO108" s="897"/>
      <c r="BAP108" s="897"/>
      <c r="BAQ108" s="895"/>
      <c r="BAR108" s="895"/>
      <c r="BAS108" s="896"/>
      <c r="BAT108" s="897"/>
      <c r="BAU108" s="897"/>
      <c r="BAV108" s="897"/>
      <c r="BAW108" s="897"/>
      <c r="BAX108" s="897"/>
      <c r="BAY108" s="897"/>
      <c r="BAZ108" s="897"/>
      <c r="BBA108" s="897"/>
      <c r="BBB108" s="895"/>
      <c r="BBC108" s="895"/>
      <c r="BBD108" s="896"/>
      <c r="BBE108" s="897"/>
      <c r="BBF108" s="897"/>
      <c r="BBG108" s="897"/>
      <c r="BBH108" s="897"/>
      <c r="BBI108" s="897"/>
      <c r="BBJ108" s="897"/>
      <c r="BBK108" s="897"/>
      <c r="BBL108" s="897"/>
      <c r="BBM108" s="895"/>
      <c r="BBN108" s="895"/>
      <c r="BBO108" s="896"/>
      <c r="BBP108" s="897"/>
      <c r="BBQ108" s="897"/>
      <c r="BBR108" s="897"/>
      <c r="BBS108" s="897"/>
      <c r="BBT108" s="897"/>
      <c r="BBU108" s="897"/>
      <c r="BBV108" s="897"/>
      <c r="BBW108" s="897"/>
      <c r="BBX108" s="895"/>
      <c r="BBY108" s="895"/>
      <c r="BBZ108" s="896"/>
      <c r="BCA108" s="897"/>
      <c r="BCB108" s="897"/>
      <c r="BCC108" s="897"/>
      <c r="BCD108" s="897"/>
      <c r="BCE108" s="897"/>
      <c r="BCF108" s="897"/>
      <c r="BCG108" s="897"/>
      <c r="BCH108" s="897"/>
      <c r="BCI108" s="895"/>
      <c r="BCJ108" s="895"/>
      <c r="BCK108" s="896"/>
      <c r="BCL108" s="897"/>
      <c r="BCM108" s="897"/>
      <c r="BCN108" s="897"/>
      <c r="BCO108" s="897"/>
      <c r="BCP108" s="897"/>
      <c r="BCQ108" s="897"/>
      <c r="BCR108" s="897"/>
      <c r="BCS108" s="897"/>
      <c r="BCT108" s="895"/>
      <c r="BCU108" s="895"/>
      <c r="BCV108" s="896"/>
      <c r="BCW108" s="897"/>
      <c r="BCX108" s="897"/>
      <c r="BCY108" s="897"/>
      <c r="BCZ108" s="897"/>
      <c r="BDA108" s="897"/>
      <c r="BDB108" s="897"/>
      <c r="BDC108" s="897"/>
      <c r="BDD108" s="897"/>
      <c r="BDE108" s="895"/>
      <c r="BDF108" s="895"/>
      <c r="BDG108" s="896"/>
      <c r="BDH108" s="897"/>
      <c r="BDI108" s="897"/>
      <c r="BDJ108" s="897"/>
      <c r="BDK108" s="897"/>
      <c r="BDL108" s="897"/>
      <c r="BDM108" s="897"/>
      <c r="BDN108" s="897"/>
      <c r="BDO108" s="897"/>
      <c r="BDP108" s="895"/>
      <c r="BDQ108" s="895"/>
      <c r="BDR108" s="896"/>
      <c r="BDS108" s="897"/>
      <c r="BDT108" s="897"/>
      <c r="BDU108" s="897"/>
      <c r="BDV108" s="897"/>
      <c r="BDW108" s="897"/>
      <c r="BDX108" s="897"/>
      <c r="BDY108" s="897"/>
      <c r="BDZ108" s="897"/>
      <c r="BEA108" s="895"/>
      <c r="BEB108" s="895"/>
      <c r="BEC108" s="896"/>
      <c r="BED108" s="897"/>
      <c r="BEE108" s="897"/>
      <c r="BEF108" s="897"/>
      <c r="BEG108" s="897"/>
      <c r="BEH108" s="897"/>
      <c r="BEI108" s="897"/>
      <c r="BEJ108" s="897"/>
      <c r="BEK108" s="897"/>
      <c r="BEL108" s="895"/>
      <c r="BEM108" s="895"/>
      <c r="BEN108" s="896"/>
      <c r="BEO108" s="897"/>
      <c r="BEP108" s="897"/>
      <c r="BEQ108" s="897"/>
      <c r="BER108" s="897"/>
      <c r="BES108" s="897"/>
      <c r="BET108" s="897"/>
      <c r="BEU108" s="897"/>
      <c r="BEV108" s="897"/>
      <c r="BEW108" s="895"/>
      <c r="BEX108" s="895"/>
      <c r="BEY108" s="896"/>
      <c r="BEZ108" s="897"/>
      <c r="BFA108" s="897"/>
      <c r="BFB108" s="897"/>
      <c r="BFC108" s="897"/>
      <c r="BFD108" s="897"/>
      <c r="BFE108" s="897"/>
      <c r="BFF108" s="897"/>
      <c r="BFG108" s="897"/>
      <c r="BFH108" s="895"/>
      <c r="BFI108" s="895"/>
      <c r="BFJ108" s="896"/>
      <c r="BFK108" s="897"/>
      <c r="BFL108" s="897"/>
      <c r="BFM108" s="897"/>
      <c r="BFN108" s="897"/>
      <c r="BFO108" s="897"/>
      <c r="BFP108" s="897"/>
      <c r="BFQ108" s="897"/>
      <c r="BFR108" s="897"/>
      <c r="BFS108" s="895"/>
      <c r="BFT108" s="895"/>
      <c r="BFU108" s="896"/>
      <c r="BFV108" s="897"/>
      <c r="BFW108" s="897"/>
      <c r="BFX108" s="897"/>
      <c r="BFY108" s="897"/>
      <c r="BFZ108" s="897"/>
      <c r="BGA108" s="897"/>
      <c r="BGB108" s="897"/>
      <c r="BGC108" s="897"/>
      <c r="BGD108" s="895"/>
      <c r="BGE108" s="895"/>
      <c r="BGF108" s="896"/>
      <c r="BGG108" s="897"/>
      <c r="BGH108" s="897"/>
      <c r="BGI108" s="897"/>
      <c r="BGJ108" s="897"/>
      <c r="BGK108" s="897"/>
      <c r="BGL108" s="897"/>
      <c r="BGM108" s="897"/>
      <c r="BGN108" s="897"/>
      <c r="BGO108" s="895"/>
      <c r="BGP108" s="895"/>
      <c r="BGQ108" s="896"/>
      <c r="BGR108" s="897"/>
      <c r="BGS108" s="897"/>
      <c r="BGT108" s="897"/>
      <c r="BGU108" s="897"/>
      <c r="BGV108" s="897"/>
      <c r="BGW108" s="897"/>
      <c r="BGX108" s="897"/>
      <c r="BGY108" s="897"/>
      <c r="BGZ108" s="895"/>
      <c r="BHA108" s="895"/>
      <c r="BHB108" s="896"/>
      <c r="BHC108" s="897"/>
      <c r="BHD108" s="897"/>
      <c r="BHE108" s="897"/>
      <c r="BHF108" s="897"/>
      <c r="BHG108" s="897"/>
      <c r="BHH108" s="897"/>
      <c r="BHI108" s="897"/>
      <c r="BHJ108" s="897"/>
      <c r="BHK108" s="895"/>
      <c r="BHL108" s="895"/>
      <c r="BHM108" s="896"/>
      <c r="BHN108" s="897"/>
      <c r="BHO108" s="897"/>
      <c r="BHP108" s="897"/>
      <c r="BHQ108" s="897"/>
      <c r="BHR108" s="897"/>
      <c r="BHS108" s="897"/>
      <c r="BHT108" s="897"/>
      <c r="BHU108" s="897"/>
      <c r="BHV108" s="895"/>
      <c r="BHW108" s="895"/>
      <c r="BHX108" s="896"/>
      <c r="BHY108" s="897"/>
      <c r="BHZ108" s="897"/>
      <c r="BIA108" s="897"/>
      <c r="BIB108" s="897"/>
      <c r="BIC108" s="897"/>
      <c r="BID108" s="897"/>
      <c r="BIE108" s="897"/>
      <c r="BIF108" s="897"/>
      <c r="BIG108" s="895"/>
      <c r="BIH108" s="895"/>
      <c r="BII108" s="896"/>
      <c r="BIJ108" s="897"/>
      <c r="BIK108" s="897"/>
      <c r="BIL108" s="897"/>
      <c r="BIM108" s="897"/>
      <c r="BIN108" s="897"/>
      <c r="BIO108" s="897"/>
      <c r="BIP108" s="897"/>
      <c r="BIQ108" s="897"/>
      <c r="BIR108" s="895"/>
      <c r="BIS108" s="895"/>
      <c r="BIT108" s="896"/>
      <c r="BIU108" s="897"/>
      <c r="BIV108" s="897"/>
      <c r="BIW108" s="897"/>
      <c r="BIX108" s="897"/>
      <c r="BIY108" s="897"/>
      <c r="BIZ108" s="897"/>
      <c r="BJA108" s="897"/>
      <c r="BJB108" s="897"/>
      <c r="BJC108" s="895"/>
      <c r="BJD108" s="895"/>
      <c r="BJE108" s="896"/>
      <c r="BJF108" s="897"/>
      <c r="BJG108" s="897"/>
      <c r="BJH108" s="897"/>
      <c r="BJI108" s="897"/>
      <c r="BJJ108" s="897"/>
      <c r="BJK108" s="897"/>
      <c r="BJL108" s="897"/>
      <c r="BJM108" s="897"/>
      <c r="BJN108" s="895"/>
      <c r="BJO108" s="895"/>
      <c r="BJP108" s="896"/>
      <c r="BJQ108" s="897"/>
      <c r="BJR108" s="897"/>
      <c r="BJS108" s="897"/>
      <c r="BJT108" s="897"/>
      <c r="BJU108" s="897"/>
      <c r="BJV108" s="897"/>
      <c r="BJW108" s="897"/>
      <c r="BJX108" s="897"/>
      <c r="BJY108" s="895"/>
      <c r="BJZ108" s="895"/>
      <c r="BKA108" s="896"/>
      <c r="BKB108" s="897"/>
      <c r="BKC108" s="897"/>
      <c r="BKD108" s="897"/>
      <c r="BKE108" s="897"/>
      <c r="BKF108" s="897"/>
      <c r="BKG108" s="897"/>
      <c r="BKH108" s="897"/>
      <c r="BKI108" s="897"/>
      <c r="BKJ108" s="895"/>
      <c r="BKK108" s="895"/>
      <c r="BKL108" s="896"/>
      <c r="BKM108" s="897"/>
      <c r="BKN108" s="897"/>
      <c r="BKO108" s="897"/>
      <c r="BKP108" s="897"/>
      <c r="BKQ108" s="897"/>
      <c r="BKR108" s="897"/>
      <c r="BKS108" s="897"/>
      <c r="BKT108" s="897"/>
      <c r="BKU108" s="895"/>
      <c r="BKV108" s="895"/>
      <c r="BKW108" s="896"/>
      <c r="BKX108" s="897"/>
      <c r="BKY108" s="897"/>
      <c r="BKZ108" s="897"/>
      <c r="BLA108" s="897"/>
      <c r="BLB108" s="897"/>
      <c r="BLC108" s="897"/>
      <c r="BLD108" s="897"/>
      <c r="BLE108" s="897"/>
      <c r="BLF108" s="895"/>
      <c r="BLG108" s="895"/>
      <c r="BLH108" s="896"/>
      <c r="BLI108" s="897"/>
      <c r="BLJ108" s="897"/>
      <c r="BLK108" s="897"/>
      <c r="BLL108" s="897"/>
      <c r="BLM108" s="897"/>
      <c r="BLN108" s="897"/>
      <c r="BLO108" s="897"/>
      <c r="BLP108" s="897"/>
      <c r="BLQ108" s="895"/>
      <c r="BLR108" s="895"/>
      <c r="BLS108" s="896"/>
      <c r="BLT108" s="897"/>
      <c r="BLU108" s="897"/>
      <c r="BLV108" s="897"/>
      <c r="BLW108" s="897"/>
      <c r="BLX108" s="897"/>
      <c r="BLY108" s="897"/>
      <c r="BLZ108" s="897"/>
      <c r="BMA108" s="897"/>
      <c r="BMB108" s="895"/>
      <c r="BMC108" s="895"/>
      <c r="BMD108" s="896"/>
      <c r="BME108" s="897"/>
      <c r="BMF108" s="897"/>
      <c r="BMG108" s="897"/>
      <c r="BMH108" s="897"/>
      <c r="BMI108" s="897"/>
      <c r="BMJ108" s="897"/>
      <c r="BMK108" s="897"/>
      <c r="BML108" s="897"/>
      <c r="BMM108" s="895"/>
      <c r="BMN108" s="895"/>
      <c r="BMO108" s="896"/>
      <c r="BMP108" s="897"/>
      <c r="BMQ108" s="897"/>
      <c r="BMR108" s="897"/>
      <c r="BMS108" s="897"/>
      <c r="BMT108" s="897"/>
      <c r="BMU108" s="897"/>
      <c r="BMV108" s="897"/>
      <c r="BMW108" s="897"/>
      <c r="BMX108" s="895"/>
      <c r="BMY108" s="895"/>
      <c r="BMZ108" s="896"/>
      <c r="BNA108" s="897"/>
      <c r="BNB108" s="897"/>
      <c r="BNC108" s="897"/>
      <c r="BND108" s="897"/>
      <c r="BNE108" s="897"/>
      <c r="BNF108" s="897"/>
      <c r="BNG108" s="897"/>
      <c r="BNH108" s="897"/>
      <c r="BNI108" s="895"/>
      <c r="BNJ108" s="895"/>
      <c r="BNK108" s="896"/>
      <c r="BNL108" s="897"/>
      <c r="BNM108" s="897"/>
      <c r="BNN108" s="897"/>
      <c r="BNO108" s="897"/>
      <c r="BNP108" s="897"/>
      <c r="BNQ108" s="897"/>
      <c r="BNR108" s="897"/>
      <c r="BNS108" s="897"/>
      <c r="BNT108" s="895"/>
      <c r="BNU108" s="895"/>
      <c r="BNV108" s="896"/>
      <c r="BNW108" s="897"/>
      <c r="BNX108" s="897"/>
      <c r="BNY108" s="897"/>
      <c r="BNZ108" s="897"/>
      <c r="BOA108" s="897"/>
      <c r="BOB108" s="897"/>
      <c r="BOC108" s="897"/>
      <c r="BOD108" s="897"/>
      <c r="BOE108" s="895"/>
      <c r="BOF108" s="895"/>
      <c r="BOG108" s="896"/>
      <c r="BOH108" s="897"/>
      <c r="BOI108" s="897"/>
      <c r="BOJ108" s="897"/>
      <c r="BOK108" s="897"/>
      <c r="BOL108" s="897"/>
      <c r="BOM108" s="897"/>
      <c r="BON108" s="897"/>
      <c r="BOO108" s="897"/>
      <c r="BOP108" s="895"/>
      <c r="BOQ108" s="895"/>
      <c r="BOR108" s="896"/>
      <c r="BOS108" s="897"/>
      <c r="BOT108" s="897"/>
      <c r="BOU108" s="897"/>
      <c r="BOV108" s="897"/>
      <c r="BOW108" s="897"/>
      <c r="BOX108" s="897"/>
      <c r="BOY108" s="897"/>
      <c r="BOZ108" s="897"/>
      <c r="BPA108" s="895"/>
      <c r="BPB108" s="895"/>
      <c r="BPC108" s="896"/>
      <c r="BPD108" s="897"/>
      <c r="BPE108" s="897"/>
      <c r="BPF108" s="897"/>
      <c r="BPG108" s="897"/>
      <c r="BPH108" s="897"/>
      <c r="BPI108" s="897"/>
      <c r="BPJ108" s="897"/>
      <c r="BPK108" s="897"/>
      <c r="BPL108" s="895"/>
      <c r="BPM108" s="895"/>
      <c r="BPN108" s="896"/>
      <c r="BPO108" s="897"/>
      <c r="BPP108" s="897"/>
      <c r="BPQ108" s="897"/>
      <c r="BPR108" s="897"/>
      <c r="BPS108" s="897"/>
      <c r="BPT108" s="897"/>
      <c r="BPU108" s="897"/>
      <c r="BPV108" s="897"/>
      <c r="BPW108" s="895"/>
      <c r="BPX108" s="895"/>
      <c r="BPY108" s="896"/>
      <c r="BPZ108" s="897"/>
      <c r="BQA108" s="897"/>
      <c r="BQB108" s="897"/>
      <c r="BQC108" s="897"/>
      <c r="BQD108" s="897"/>
      <c r="BQE108" s="897"/>
      <c r="BQF108" s="897"/>
      <c r="BQG108" s="897"/>
      <c r="BQH108" s="895"/>
      <c r="BQI108" s="895"/>
      <c r="BQJ108" s="896"/>
      <c r="BQK108" s="897"/>
      <c r="BQL108" s="897"/>
      <c r="BQM108" s="897"/>
      <c r="BQN108" s="897"/>
      <c r="BQO108" s="897"/>
      <c r="BQP108" s="897"/>
      <c r="BQQ108" s="897"/>
      <c r="BQR108" s="897"/>
      <c r="BQS108" s="895"/>
      <c r="BQT108" s="895"/>
      <c r="BQU108" s="896"/>
      <c r="BQV108" s="897"/>
      <c r="BQW108" s="897"/>
      <c r="BQX108" s="897"/>
      <c r="BQY108" s="897"/>
      <c r="BQZ108" s="897"/>
      <c r="BRA108" s="897"/>
      <c r="BRB108" s="897"/>
      <c r="BRC108" s="897"/>
      <c r="BRD108" s="895"/>
      <c r="BRE108" s="895"/>
      <c r="BRF108" s="896"/>
      <c r="BRG108" s="897"/>
      <c r="BRH108" s="897"/>
      <c r="BRI108" s="897"/>
      <c r="BRJ108" s="897"/>
      <c r="BRK108" s="897"/>
      <c r="BRL108" s="897"/>
      <c r="BRM108" s="897"/>
      <c r="BRN108" s="897"/>
      <c r="BRO108" s="895"/>
      <c r="BRP108" s="895"/>
      <c r="BRQ108" s="896"/>
      <c r="BRR108" s="897"/>
      <c r="BRS108" s="897"/>
      <c r="BRT108" s="897"/>
      <c r="BRU108" s="897"/>
      <c r="BRV108" s="897"/>
      <c r="BRW108" s="897"/>
      <c r="BRX108" s="897"/>
      <c r="BRY108" s="897"/>
      <c r="BRZ108" s="895"/>
      <c r="BSA108" s="895"/>
      <c r="BSB108" s="896"/>
      <c r="BSC108" s="897"/>
      <c r="BSD108" s="897"/>
      <c r="BSE108" s="897"/>
      <c r="BSF108" s="897"/>
      <c r="BSG108" s="897"/>
      <c r="BSH108" s="897"/>
      <c r="BSI108" s="897"/>
      <c r="BSJ108" s="897"/>
      <c r="BSK108" s="895"/>
      <c r="BSL108" s="895"/>
      <c r="BSM108" s="896"/>
      <c r="BSN108" s="897"/>
      <c r="BSO108" s="897"/>
      <c r="BSP108" s="897"/>
      <c r="BSQ108" s="897"/>
      <c r="BSR108" s="897"/>
      <c r="BSS108" s="897"/>
      <c r="BST108" s="897"/>
      <c r="BSU108" s="897"/>
      <c r="BSV108" s="895"/>
      <c r="BSW108" s="895"/>
      <c r="BSX108" s="896"/>
      <c r="BSY108" s="897"/>
      <c r="BSZ108" s="897"/>
      <c r="BTA108" s="897"/>
      <c r="BTB108" s="897"/>
      <c r="BTC108" s="897"/>
      <c r="BTD108" s="897"/>
      <c r="BTE108" s="897"/>
      <c r="BTF108" s="897"/>
      <c r="BTG108" s="895"/>
      <c r="BTH108" s="895"/>
      <c r="BTI108" s="896"/>
      <c r="BTJ108" s="897"/>
      <c r="BTK108" s="897"/>
      <c r="BTL108" s="897"/>
      <c r="BTM108" s="897"/>
      <c r="BTN108" s="897"/>
      <c r="BTO108" s="897"/>
      <c r="BTP108" s="897"/>
      <c r="BTQ108" s="897"/>
      <c r="BTR108" s="895"/>
      <c r="BTS108" s="895"/>
      <c r="BTT108" s="896"/>
      <c r="BTU108" s="897"/>
      <c r="BTV108" s="897"/>
      <c r="BTW108" s="897"/>
      <c r="BTX108" s="897"/>
      <c r="BTY108" s="897"/>
      <c r="BTZ108" s="897"/>
      <c r="BUA108" s="897"/>
      <c r="BUB108" s="897"/>
      <c r="BUC108" s="895"/>
      <c r="BUD108" s="895"/>
      <c r="BUE108" s="896"/>
      <c r="BUF108" s="897"/>
      <c r="BUG108" s="897"/>
      <c r="BUH108" s="897"/>
      <c r="BUI108" s="897"/>
      <c r="BUJ108" s="897"/>
      <c r="BUK108" s="897"/>
      <c r="BUL108" s="897"/>
      <c r="BUM108" s="897"/>
      <c r="BUN108" s="895"/>
      <c r="BUO108" s="895"/>
      <c r="BUP108" s="896"/>
      <c r="BUQ108" s="897"/>
      <c r="BUR108" s="897"/>
      <c r="BUS108" s="897"/>
      <c r="BUT108" s="897"/>
      <c r="BUU108" s="897"/>
      <c r="BUV108" s="897"/>
      <c r="BUW108" s="897"/>
      <c r="BUX108" s="897"/>
      <c r="BUY108" s="895"/>
      <c r="BUZ108" s="895"/>
      <c r="BVA108" s="896"/>
      <c r="BVB108" s="897"/>
      <c r="BVC108" s="897"/>
      <c r="BVD108" s="897"/>
      <c r="BVE108" s="897"/>
      <c r="BVF108" s="897"/>
      <c r="BVG108" s="897"/>
      <c r="BVH108" s="897"/>
      <c r="BVI108" s="897"/>
      <c r="BVJ108" s="895"/>
      <c r="BVK108" s="895"/>
      <c r="BVL108" s="896"/>
      <c r="BVM108" s="897"/>
      <c r="BVN108" s="897"/>
      <c r="BVO108" s="897"/>
      <c r="BVP108" s="897"/>
      <c r="BVQ108" s="897"/>
      <c r="BVR108" s="897"/>
      <c r="BVS108" s="897"/>
      <c r="BVT108" s="897"/>
      <c r="BVU108" s="895"/>
      <c r="BVV108" s="895"/>
      <c r="BVW108" s="896"/>
      <c r="BVX108" s="897"/>
      <c r="BVY108" s="897"/>
      <c r="BVZ108" s="897"/>
      <c r="BWA108" s="897"/>
      <c r="BWB108" s="897"/>
      <c r="BWC108" s="897"/>
      <c r="BWD108" s="897"/>
      <c r="BWE108" s="897"/>
      <c r="BWF108" s="895"/>
      <c r="BWG108" s="895"/>
      <c r="BWH108" s="896"/>
      <c r="BWI108" s="897"/>
      <c r="BWJ108" s="897"/>
      <c r="BWK108" s="897"/>
      <c r="BWL108" s="897"/>
      <c r="BWM108" s="897"/>
      <c r="BWN108" s="897"/>
      <c r="BWO108" s="897"/>
      <c r="BWP108" s="897"/>
      <c r="BWQ108" s="895"/>
      <c r="BWR108" s="895"/>
      <c r="BWS108" s="896"/>
      <c r="BWT108" s="897"/>
      <c r="BWU108" s="897"/>
      <c r="BWV108" s="897"/>
      <c r="BWW108" s="897"/>
      <c r="BWX108" s="897"/>
      <c r="BWY108" s="897"/>
      <c r="BWZ108" s="897"/>
      <c r="BXA108" s="897"/>
      <c r="BXB108" s="895"/>
      <c r="BXC108" s="895"/>
      <c r="BXD108" s="896"/>
      <c r="BXE108" s="897"/>
      <c r="BXF108" s="897"/>
      <c r="BXG108" s="897"/>
      <c r="BXH108" s="897"/>
      <c r="BXI108" s="897"/>
      <c r="BXJ108" s="897"/>
      <c r="BXK108" s="897"/>
      <c r="BXL108" s="897"/>
      <c r="BXM108" s="895"/>
      <c r="BXN108" s="895"/>
      <c r="BXO108" s="896"/>
      <c r="BXP108" s="897"/>
      <c r="BXQ108" s="897"/>
      <c r="BXR108" s="897"/>
      <c r="BXS108" s="897"/>
      <c r="BXT108" s="897"/>
      <c r="BXU108" s="897"/>
      <c r="BXV108" s="897"/>
      <c r="BXW108" s="897"/>
      <c r="BXX108" s="895"/>
      <c r="BXY108" s="895"/>
      <c r="BXZ108" s="896"/>
      <c r="BYA108" s="897"/>
      <c r="BYB108" s="897"/>
      <c r="BYC108" s="897"/>
      <c r="BYD108" s="897"/>
      <c r="BYE108" s="897"/>
      <c r="BYF108" s="897"/>
      <c r="BYG108" s="897"/>
      <c r="BYH108" s="897"/>
      <c r="BYI108" s="895"/>
      <c r="BYJ108" s="895"/>
      <c r="BYK108" s="896"/>
      <c r="BYL108" s="897"/>
      <c r="BYM108" s="897"/>
      <c r="BYN108" s="897"/>
      <c r="BYO108" s="897"/>
      <c r="BYP108" s="897"/>
      <c r="BYQ108" s="897"/>
      <c r="BYR108" s="897"/>
      <c r="BYS108" s="897"/>
      <c r="BYT108" s="895"/>
      <c r="BYU108" s="895"/>
      <c r="BYV108" s="896"/>
      <c r="BYW108" s="897"/>
      <c r="BYX108" s="897"/>
      <c r="BYY108" s="897"/>
      <c r="BYZ108" s="897"/>
      <c r="BZA108" s="897"/>
      <c r="BZB108" s="897"/>
      <c r="BZC108" s="897"/>
      <c r="BZD108" s="897"/>
      <c r="BZE108" s="895"/>
      <c r="BZF108" s="895"/>
      <c r="BZG108" s="896"/>
      <c r="BZH108" s="897"/>
      <c r="BZI108" s="897"/>
      <c r="BZJ108" s="897"/>
      <c r="BZK108" s="897"/>
      <c r="BZL108" s="897"/>
      <c r="BZM108" s="897"/>
      <c r="BZN108" s="897"/>
      <c r="BZO108" s="897"/>
      <c r="BZP108" s="895"/>
      <c r="BZQ108" s="895"/>
      <c r="BZR108" s="896"/>
      <c r="BZS108" s="897"/>
      <c r="BZT108" s="897"/>
      <c r="BZU108" s="897"/>
      <c r="BZV108" s="897"/>
      <c r="BZW108" s="897"/>
      <c r="BZX108" s="897"/>
      <c r="BZY108" s="897"/>
      <c r="BZZ108" s="897"/>
      <c r="CAA108" s="895"/>
      <c r="CAB108" s="895"/>
      <c r="CAC108" s="896"/>
      <c r="CAD108" s="897"/>
      <c r="CAE108" s="897"/>
      <c r="CAF108" s="897"/>
      <c r="CAG108" s="897"/>
      <c r="CAH108" s="897"/>
      <c r="CAI108" s="897"/>
      <c r="CAJ108" s="897"/>
      <c r="CAK108" s="897"/>
      <c r="CAL108" s="895"/>
      <c r="CAM108" s="895"/>
      <c r="CAN108" s="896"/>
      <c r="CAO108" s="897"/>
      <c r="CAP108" s="897"/>
      <c r="CAQ108" s="897"/>
      <c r="CAR108" s="897"/>
      <c r="CAS108" s="897"/>
      <c r="CAT108" s="897"/>
      <c r="CAU108" s="897"/>
      <c r="CAV108" s="897"/>
      <c r="CAW108" s="895"/>
      <c r="CAX108" s="895"/>
      <c r="CAY108" s="896"/>
      <c r="CAZ108" s="897"/>
      <c r="CBA108" s="897"/>
      <c r="CBB108" s="897"/>
      <c r="CBC108" s="897"/>
      <c r="CBD108" s="897"/>
      <c r="CBE108" s="897"/>
      <c r="CBF108" s="897"/>
      <c r="CBG108" s="897"/>
      <c r="CBH108" s="895"/>
      <c r="CBI108" s="895"/>
      <c r="CBJ108" s="896"/>
      <c r="CBK108" s="897"/>
      <c r="CBL108" s="897"/>
      <c r="CBM108" s="897"/>
      <c r="CBN108" s="897"/>
      <c r="CBO108" s="897"/>
      <c r="CBP108" s="897"/>
      <c r="CBQ108" s="897"/>
      <c r="CBR108" s="897"/>
      <c r="CBS108" s="895"/>
      <c r="CBT108" s="895"/>
      <c r="CBU108" s="896"/>
      <c r="CBV108" s="897"/>
      <c r="CBW108" s="897"/>
      <c r="CBX108" s="897"/>
      <c r="CBY108" s="897"/>
      <c r="CBZ108" s="897"/>
      <c r="CCA108" s="897"/>
      <c r="CCB108" s="897"/>
      <c r="CCC108" s="897"/>
      <c r="CCD108" s="895"/>
      <c r="CCE108" s="895"/>
      <c r="CCF108" s="896"/>
      <c r="CCG108" s="897"/>
      <c r="CCH108" s="897"/>
      <c r="CCI108" s="897"/>
      <c r="CCJ108" s="897"/>
      <c r="CCK108" s="897"/>
      <c r="CCL108" s="897"/>
      <c r="CCM108" s="897"/>
      <c r="CCN108" s="897"/>
      <c r="CCO108" s="895"/>
      <c r="CCP108" s="895"/>
      <c r="CCQ108" s="896"/>
      <c r="CCR108" s="897"/>
      <c r="CCS108" s="897"/>
      <c r="CCT108" s="897"/>
      <c r="CCU108" s="897"/>
      <c r="CCV108" s="897"/>
      <c r="CCW108" s="897"/>
      <c r="CCX108" s="897"/>
      <c r="CCY108" s="897"/>
      <c r="CCZ108" s="895"/>
      <c r="CDA108" s="895"/>
      <c r="CDB108" s="896"/>
      <c r="CDC108" s="897"/>
      <c r="CDD108" s="897"/>
      <c r="CDE108" s="897"/>
      <c r="CDF108" s="897"/>
      <c r="CDG108" s="897"/>
      <c r="CDH108" s="897"/>
      <c r="CDI108" s="897"/>
      <c r="CDJ108" s="897"/>
      <c r="CDK108" s="895"/>
      <c r="CDL108" s="895"/>
      <c r="CDM108" s="896"/>
      <c r="CDN108" s="897"/>
      <c r="CDO108" s="897"/>
      <c r="CDP108" s="897"/>
      <c r="CDQ108" s="897"/>
      <c r="CDR108" s="897"/>
      <c r="CDS108" s="897"/>
      <c r="CDT108" s="897"/>
      <c r="CDU108" s="897"/>
      <c r="CDV108" s="895"/>
      <c r="CDW108" s="895"/>
      <c r="CDX108" s="896"/>
      <c r="CDY108" s="897"/>
      <c r="CDZ108" s="897"/>
      <c r="CEA108" s="897"/>
      <c r="CEB108" s="897"/>
      <c r="CEC108" s="897"/>
      <c r="CED108" s="897"/>
      <c r="CEE108" s="897"/>
      <c r="CEF108" s="897"/>
      <c r="CEG108" s="895"/>
      <c r="CEH108" s="895"/>
      <c r="CEI108" s="896"/>
      <c r="CEJ108" s="897"/>
      <c r="CEK108" s="897"/>
      <c r="CEL108" s="897"/>
      <c r="CEM108" s="897"/>
      <c r="CEN108" s="897"/>
      <c r="CEO108" s="897"/>
      <c r="CEP108" s="897"/>
      <c r="CEQ108" s="897"/>
      <c r="CER108" s="895"/>
      <c r="CES108" s="895"/>
      <c r="CET108" s="896"/>
      <c r="CEU108" s="897"/>
      <c r="CEV108" s="897"/>
      <c r="CEW108" s="897"/>
      <c r="CEX108" s="897"/>
      <c r="CEY108" s="897"/>
      <c r="CEZ108" s="897"/>
      <c r="CFA108" s="897"/>
      <c r="CFB108" s="897"/>
      <c r="CFC108" s="895"/>
      <c r="CFD108" s="895"/>
      <c r="CFE108" s="896"/>
      <c r="CFF108" s="897"/>
      <c r="CFG108" s="897"/>
      <c r="CFH108" s="897"/>
      <c r="CFI108" s="897"/>
      <c r="CFJ108" s="897"/>
      <c r="CFK108" s="897"/>
      <c r="CFL108" s="897"/>
      <c r="CFM108" s="897"/>
      <c r="CFN108" s="895"/>
      <c r="CFO108" s="895"/>
      <c r="CFP108" s="896"/>
      <c r="CFQ108" s="897"/>
      <c r="CFR108" s="897"/>
      <c r="CFS108" s="897"/>
      <c r="CFT108" s="897"/>
      <c r="CFU108" s="897"/>
      <c r="CFV108" s="897"/>
      <c r="CFW108" s="897"/>
      <c r="CFX108" s="897"/>
      <c r="CFY108" s="895"/>
      <c r="CFZ108" s="895"/>
      <c r="CGA108" s="896"/>
      <c r="CGB108" s="897"/>
      <c r="CGC108" s="897"/>
      <c r="CGD108" s="897"/>
      <c r="CGE108" s="897"/>
      <c r="CGF108" s="897"/>
      <c r="CGG108" s="897"/>
      <c r="CGH108" s="897"/>
      <c r="CGI108" s="897"/>
      <c r="CGJ108" s="895"/>
      <c r="CGK108" s="895"/>
      <c r="CGL108" s="896"/>
      <c r="CGM108" s="897"/>
      <c r="CGN108" s="897"/>
      <c r="CGO108" s="897"/>
      <c r="CGP108" s="897"/>
      <c r="CGQ108" s="897"/>
      <c r="CGR108" s="897"/>
      <c r="CGS108" s="897"/>
      <c r="CGT108" s="897"/>
      <c r="CGU108" s="895"/>
      <c r="CGV108" s="895"/>
      <c r="CGW108" s="896"/>
      <c r="CGX108" s="897"/>
      <c r="CGY108" s="897"/>
      <c r="CGZ108" s="897"/>
      <c r="CHA108" s="897"/>
      <c r="CHB108" s="897"/>
      <c r="CHC108" s="897"/>
      <c r="CHD108" s="897"/>
      <c r="CHE108" s="897"/>
      <c r="CHF108" s="895"/>
      <c r="CHG108" s="895"/>
      <c r="CHH108" s="896"/>
      <c r="CHI108" s="897"/>
      <c r="CHJ108" s="897"/>
      <c r="CHK108" s="897"/>
      <c r="CHL108" s="897"/>
      <c r="CHM108" s="897"/>
      <c r="CHN108" s="897"/>
      <c r="CHO108" s="897"/>
      <c r="CHP108" s="897"/>
      <c r="CHQ108" s="895"/>
      <c r="CHR108" s="895"/>
      <c r="CHS108" s="896"/>
      <c r="CHT108" s="897"/>
      <c r="CHU108" s="897"/>
      <c r="CHV108" s="897"/>
      <c r="CHW108" s="897"/>
      <c r="CHX108" s="897"/>
      <c r="CHY108" s="897"/>
      <c r="CHZ108" s="897"/>
      <c r="CIA108" s="897"/>
      <c r="CIB108" s="895"/>
      <c r="CIC108" s="895"/>
      <c r="CID108" s="896"/>
      <c r="CIE108" s="897"/>
      <c r="CIF108" s="897"/>
      <c r="CIG108" s="897"/>
      <c r="CIH108" s="897"/>
      <c r="CII108" s="897"/>
      <c r="CIJ108" s="897"/>
      <c r="CIK108" s="897"/>
      <c r="CIL108" s="897"/>
      <c r="CIM108" s="895"/>
      <c r="CIN108" s="895"/>
      <c r="CIO108" s="896"/>
      <c r="CIP108" s="897"/>
      <c r="CIQ108" s="897"/>
      <c r="CIR108" s="897"/>
      <c r="CIS108" s="897"/>
      <c r="CIT108" s="897"/>
      <c r="CIU108" s="897"/>
      <c r="CIV108" s="897"/>
      <c r="CIW108" s="897"/>
      <c r="CIX108" s="895"/>
      <c r="CIY108" s="895"/>
      <c r="CIZ108" s="896"/>
      <c r="CJA108" s="897"/>
      <c r="CJB108" s="897"/>
      <c r="CJC108" s="897"/>
      <c r="CJD108" s="897"/>
      <c r="CJE108" s="897"/>
      <c r="CJF108" s="897"/>
      <c r="CJG108" s="897"/>
      <c r="CJH108" s="897"/>
      <c r="CJI108" s="895"/>
      <c r="CJJ108" s="895"/>
      <c r="CJK108" s="896"/>
      <c r="CJL108" s="897"/>
      <c r="CJM108" s="897"/>
      <c r="CJN108" s="897"/>
      <c r="CJO108" s="897"/>
      <c r="CJP108" s="897"/>
      <c r="CJQ108" s="897"/>
      <c r="CJR108" s="897"/>
      <c r="CJS108" s="897"/>
      <c r="CJT108" s="895"/>
      <c r="CJU108" s="895"/>
      <c r="CJV108" s="896"/>
      <c r="CJW108" s="897"/>
      <c r="CJX108" s="897"/>
      <c r="CJY108" s="897"/>
      <c r="CJZ108" s="897"/>
      <c r="CKA108" s="897"/>
      <c r="CKB108" s="897"/>
      <c r="CKC108" s="897"/>
      <c r="CKD108" s="897"/>
      <c r="CKE108" s="895"/>
      <c r="CKF108" s="895"/>
      <c r="CKG108" s="896"/>
      <c r="CKH108" s="897"/>
      <c r="CKI108" s="897"/>
      <c r="CKJ108" s="897"/>
      <c r="CKK108" s="897"/>
      <c r="CKL108" s="897"/>
      <c r="CKM108" s="897"/>
      <c r="CKN108" s="897"/>
      <c r="CKO108" s="897"/>
      <c r="CKP108" s="895"/>
      <c r="CKQ108" s="895"/>
      <c r="CKR108" s="896"/>
      <c r="CKS108" s="897"/>
      <c r="CKT108" s="897"/>
      <c r="CKU108" s="897"/>
      <c r="CKV108" s="897"/>
      <c r="CKW108" s="897"/>
      <c r="CKX108" s="897"/>
      <c r="CKY108" s="897"/>
      <c r="CKZ108" s="897"/>
      <c r="CLA108" s="895"/>
      <c r="CLB108" s="895"/>
      <c r="CLC108" s="896"/>
      <c r="CLD108" s="897"/>
      <c r="CLE108" s="897"/>
      <c r="CLF108" s="897"/>
      <c r="CLG108" s="897"/>
      <c r="CLH108" s="897"/>
      <c r="CLI108" s="897"/>
      <c r="CLJ108" s="897"/>
      <c r="CLK108" s="897"/>
      <c r="CLL108" s="895"/>
      <c r="CLM108" s="895"/>
      <c r="CLN108" s="896"/>
      <c r="CLO108" s="897"/>
      <c r="CLP108" s="897"/>
      <c r="CLQ108" s="897"/>
      <c r="CLR108" s="897"/>
      <c r="CLS108" s="897"/>
      <c r="CLT108" s="897"/>
      <c r="CLU108" s="897"/>
      <c r="CLV108" s="897"/>
      <c r="CLW108" s="895"/>
      <c r="CLX108" s="895"/>
      <c r="CLY108" s="896"/>
      <c r="CLZ108" s="897"/>
      <c r="CMA108" s="897"/>
      <c r="CMB108" s="897"/>
      <c r="CMC108" s="897"/>
      <c r="CMD108" s="897"/>
      <c r="CME108" s="897"/>
      <c r="CMF108" s="897"/>
      <c r="CMG108" s="897"/>
      <c r="CMH108" s="895"/>
      <c r="CMI108" s="895"/>
      <c r="CMJ108" s="896"/>
      <c r="CMK108" s="897"/>
      <c r="CML108" s="897"/>
      <c r="CMM108" s="897"/>
      <c r="CMN108" s="897"/>
      <c r="CMO108" s="897"/>
      <c r="CMP108" s="897"/>
      <c r="CMQ108" s="897"/>
      <c r="CMR108" s="897"/>
      <c r="CMS108" s="895"/>
      <c r="CMT108" s="895"/>
      <c r="CMU108" s="896"/>
      <c r="CMV108" s="897"/>
      <c r="CMW108" s="897"/>
      <c r="CMX108" s="897"/>
      <c r="CMY108" s="897"/>
      <c r="CMZ108" s="897"/>
      <c r="CNA108" s="897"/>
      <c r="CNB108" s="897"/>
      <c r="CNC108" s="897"/>
      <c r="CND108" s="895"/>
      <c r="CNE108" s="895"/>
      <c r="CNF108" s="896"/>
      <c r="CNG108" s="897"/>
      <c r="CNH108" s="897"/>
      <c r="CNI108" s="897"/>
      <c r="CNJ108" s="897"/>
      <c r="CNK108" s="897"/>
      <c r="CNL108" s="897"/>
      <c r="CNM108" s="897"/>
      <c r="CNN108" s="897"/>
      <c r="CNO108" s="895"/>
      <c r="CNP108" s="895"/>
      <c r="CNQ108" s="896"/>
      <c r="CNR108" s="897"/>
      <c r="CNS108" s="897"/>
      <c r="CNT108" s="897"/>
      <c r="CNU108" s="897"/>
      <c r="CNV108" s="897"/>
      <c r="CNW108" s="897"/>
      <c r="CNX108" s="897"/>
      <c r="CNY108" s="897"/>
      <c r="CNZ108" s="895"/>
      <c r="COA108" s="895"/>
      <c r="COB108" s="896"/>
      <c r="COC108" s="897"/>
      <c r="COD108" s="897"/>
      <c r="COE108" s="897"/>
      <c r="COF108" s="897"/>
      <c r="COG108" s="897"/>
      <c r="COH108" s="897"/>
      <c r="COI108" s="897"/>
      <c r="COJ108" s="897"/>
      <c r="COK108" s="895"/>
      <c r="COL108" s="895"/>
      <c r="COM108" s="896"/>
      <c r="CON108" s="897"/>
      <c r="COO108" s="897"/>
      <c r="COP108" s="897"/>
      <c r="COQ108" s="897"/>
      <c r="COR108" s="897"/>
      <c r="COS108" s="897"/>
      <c r="COT108" s="897"/>
      <c r="COU108" s="897"/>
      <c r="COV108" s="895"/>
      <c r="COW108" s="895"/>
      <c r="COX108" s="896"/>
      <c r="COY108" s="897"/>
      <c r="COZ108" s="897"/>
      <c r="CPA108" s="897"/>
      <c r="CPB108" s="897"/>
      <c r="CPC108" s="897"/>
      <c r="CPD108" s="897"/>
      <c r="CPE108" s="897"/>
      <c r="CPF108" s="897"/>
      <c r="CPG108" s="895"/>
      <c r="CPH108" s="895"/>
      <c r="CPI108" s="896"/>
      <c r="CPJ108" s="897"/>
      <c r="CPK108" s="897"/>
      <c r="CPL108" s="897"/>
      <c r="CPM108" s="897"/>
      <c r="CPN108" s="897"/>
      <c r="CPO108" s="897"/>
      <c r="CPP108" s="897"/>
      <c r="CPQ108" s="897"/>
      <c r="CPR108" s="895"/>
      <c r="CPS108" s="895"/>
      <c r="CPT108" s="896"/>
      <c r="CPU108" s="897"/>
      <c r="CPV108" s="897"/>
      <c r="CPW108" s="897"/>
      <c r="CPX108" s="897"/>
      <c r="CPY108" s="897"/>
      <c r="CPZ108" s="897"/>
      <c r="CQA108" s="897"/>
      <c r="CQB108" s="897"/>
      <c r="CQC108" s="895"/>
      <c r="CQD108" s="895"/>
      <c r="CQE108" s="896"/>
      <c r="CQF108" s="897"/>
      <c r="CQG108" s="897"/>
      <c r="CQH108" s="897"/>
      <c r="CQI108" s="897"/>
      <c r="CQJ108" s="897"/>
      <c r="CQK108" s="897"/>
      <c r="CQL108" s="897"/>
      <c r="CQM108" s="897"/>
      <c r="CQN108" s="895"/>
      <c r="CQO108" s="895"/>
      <c r="CQP108" s="896"/>
      <c r="CQQ108" s="897"/>
      <c r="CQR108" s="897"/>
      <c r="CQS108" s="897"/>
      <c r="CQT108" s="897"/>
      <c r="CQU108" s="897"/>
      <c r="CQV108" s="897"/>
      <c r="CQW108" s="897"/>
      <c r="CQX108" s="897"/>
      <c r="CQY108" s="895"/>
      <c r="CQZ108" s="895"/>
      <c r="CRA108" s="896"/>
      <c r="CRB108" s="897"/>
      <c r="CRC108" s="897"/>
      <c r="CRD108" s="897"/>
      <c r="CRE108" s="897"/>
      <c r="CRF108" s="897"/>
      <c r="CRG108" s="897"/>
      <c r="CRH108" s="897"/>
      <c r="CRI108" s="897"/>
      <c r="CRJ108" s="895"/>
      <c r="CRK108" s="895"/>
      <c r="CRL108" s="896"/>
      <c r="CRM108" s="897"/>
      <c r="CRN108" s="897"/>
      <c r="CRO108" s="897"/>
      <c r="CRP108" s="897"/>
      <c r="CRQ108" s="897"/>
      <c r="CRR108" s="897"/>
      <c r="CRS108" s="897"/>
      <c r="CRT108" s="897"/>
      <c r="CRU108" s="895"/>
      <c r="CRV108" s="895"/>
      <c r="CRW108" s="896"/>
      <c r="CRX108" s="897"/>
      <c r="CRY108" s="897"/>
      <c r="CRZ108" s="897"/>
      <c r="CSA108" s="897"/>
      <c r="CSB108" s="897"/>
      <c r="CSC108" s="897"/>
      <c r="CSD108" s="897"/>
      <c r="CSE108" s="897"/>
      <c r="CSF108" s="895"/>
      <c r="CSG108" s="895"/>
      <c r="CSH108" s="896"/>
      <c r="CSI108" s="897"/>
      <c r="CSJ108" s="897"/>
      <c r="CSK108" s="897"/>
      <c r="CSL108" s="897"/>
      <c r="CSM108" s="897"/>
      <c r="CSN108" s="897"/>
      <c r="CSO108" s="897"/>
      <c r="CSP108" s="897"/>
      <c r="CSQ108" s="895"/>
      <c r="CSR108" s="895"/>
      <c r="CSS108" s="896"/>
      <c r="CST108" s="897"/>
      <c r="CSU108" s="897"/>
      <c r="CSV108" s="897"/>
      <c r="CSW108" s="897"/>
      <c r="CSX108" s="897"/>
      <c r="CSY108" s="897"/>
      <c r="CSZ108" s="897"/>
      <c r="CTA108" s="897"/>
      <c r="CTB108" s="895"/>
      <c r="CTC108" s="895"/>
      <c r="CTD108" s="896"/>
      <c r="CTE108" s="897"/>
      <c r="CTF108" s="897"/>
      <c r="CTG108" s="897"/>
      <c r="CTH108" s="897"/>
      <c r="CTI108" s="897"/>
      <c r="CTJ108" s="897"/>
      <c r="CTK108" s="897"/>
      <c r="CTL108" s="897"/>
      <c r="CTM108" s="895"/>
      <c r="CTN108" s="895"/>
      <c r="CTO108" s="896"/>
      <c r="CTP108" s="897"/>
      <c r="CTQ108" s="897"/>
      <c r="CTR108" s="897"/>
      <c r="CTS108" s="897"/>
      <c r="CTT108" s="897"/>
      <c r="CTU108" s="897"/>
      <c r="CTV108" s="897"/>
      <c r="CTW108" s="897"/>
      <c r="CTX108" s="895"/>
      <c r="CTY108" s="895"/>
      <c r="CTZ108" s="896"/>
      <c r="CUA108" s="897"/>
      <c r="CUB108" s="897"/>
      <c r="CUC108" s="897"/>
      <c r="CUD108" s="897"/>
      <c r="CUE108" s="897"/>
      <c r="CUF108" s="897"/>
      <c r="CUG108" s="897"/>
      <c r="CUH108" s="897"/>
      <c r="CUI108" s="895"/>
      <c r="CUJ108" s="895"/>
      <c r="CUK108" s="896"/>
      <c r="CUL108" s="897"/>
      <c r="CUM108" s="897"/>
      <c r="CUN108" s="897"/>
      <c r="CUO108" s="897"/>
      <c r="CUP108" s="897"/>
      <c r="CUQ108" s="897"/>
      <c r="CUR108" s="897"/>
      <c r="CUS108" s="897"/>
      <c r="CUT108" s="895"/>
      <c r="CUU108" s="895"/>
      <c r="CUV108" s="896"/>
      <c r="CUW108" s="897"/>
      <c r="CUX108" s="897"/>
      <c r="CUY108" s="897"/>
      <c r="CUZ108" s="897"/>
      <c r="CVA108" s="897"/>
      <c r="CVB108" s="897"/>
      <c r="CVC108" s="897"/>
      <c r="CVD108" s="897"/>
      <c r="CVE108" s="895"/>
      <c r="CVF108" s="895"/>
      <c r="CVG108" s="896"/>
      <c r="CVH108" s="897"/>
      <c r="CVI108" s="897"/>
      <c r="CVJ108" s="897"/>
      <c r="CVK108" s="897"/>
      <c r="CVL108" s="897"/>
      <c r="CVM108" s="897"/>
      <c r="CVN108" s="897"/>
      <c r="CVO108" s="897"/>
      <c r="CVP108" s="895"/>
      <c r="CVQ108" s="895"/>
      <c r="CVR108" s="896"/>
      <c r="CVS108" s="897"/>
      <c r="CVT108" s="897"/>
      <c r="CVU108" s="897"/>
      <c r="CVV108" s="897"/>
      <c r="CVW108" s="897"/>
      <c r="CVX108" s="897"/>
      <c r="CVY108" s="897"/>
      <c r="CVZ108" s="897"/>
      <c r="CWA108" s="895"/>
      <c r="CWB108" s="895"/>
      <c r="CWC108" s="896"/>
      <c r="CWD108" s="897"/>
      <c r="CWE108" s="897"/>
      <c r="CWF108" s="897"/>
      <c r="CWG108" s="897"/>
      <c r="CWH108" s="897"/>
      <c r="CWI108" s="897"/>
      <c r="CWJ108" s="897"/>
      <c r="CWK108" s="897"/>
      <c r="CWL108" s="895"/>
      <c r="CWM108" s="895"/>
      <c r="CWN108" s="896"/>
      <c r="CWO108" s="897"/>
      <c r="CWP108" s="897"/>
      <c r="CWQ108" s="897"/>
      <c r="CWR108" s="897"/>
      <c r="CWS108" s="897"/>
      <c r="CWT108" s="897"/>
      <c r="CWU108" s="897"/>
      <c r="CWV108" s="897"/>
      <c r="CWW108" s="895"/>
      <c r="CWX108" s="895"/>
      <c r="CWY108" s="896"/>
      <c r="CWZ108" s="897"/>
      <c r="CXA108" s="897"/>
      <c r="CXB108" s="897"/>
      <c r="CXC108" s="897"/>
      <c r="CXD108" s="897"/>
      <c r="CXE108" s="897"/>
      <c r="CXF108" s="897"/>
      <c r="CXG108" s="897"/>
      <c r="CXH108" s="895"/>
      <c r="CXI108" s="895"/>
      <c r="CXJ108" s="896"/>
      <c r="CXK108" s="897"/>
      <c r="CXL108" s="897"/>
      <c r="CXM108" s="897"/>
      <c r="CXN108" s="897"/>
      <c r="CXO108" s="897"/>
      <c r="CXP108" s="897"/>
      <c r="CXQ108" s="897"/>
      <c r="CXR108" s="897"/>
      <c r="CXS108" s="895"/>
      <c r="CXT108" s="895"/>
      <c r="CXU108" s="896"/>
      <c r="CXV108" s="897"/>
      <c r="CXW108" s="897"/>
      <c r="CXX108" s="897"/>
      <c r="CXY108" s="897"/>
      <c r="CXZ108" s="897"/>
      <c r="CYA108" s="897"/>
      <c r="CYB108" s="897"/>
      <c r="CYC108" s="897"/>
      <c r="CYD108" s="895"/>
      <c r="CYE108" s="895"/>
      <c r="CYF108" s="896"/>
      <c r="CYG108" s="897"/>
      <c r="CYH108" s="897"/>
      <c r="CYI108" s="897"/>
      <c r="CYJ108" s="897"/>
      <c r="CYK108" s="897"/>
      <c r="CYL108" s="897"/>
      <c r="CYM108" s="897"/>
      <c r="CYN108" s="897"/>
      <c r="CYO108" s="895"/>
      <c r="CYP108" s="895"/>
      <c r="CYQ108" s="896"/>
      <c r="CYR108" s="897"/>
      <c r="CYS108" s="897"/>
      <c r="CYT108" s="897"/>
      <c r="CYU108" s="897"/>
      <c r="CYV108" s="897"/>
      <c r="CYW108" s="897"/>
      <c r="CYX108" s="897"/>
      <c r="CYY108" s="897"/>
      <c r="CYZ108" s="895"/>
      <c r="CZA108" s="895"/>
      <c r="CZB108" s="896"/>
      <c r="CZC108" s="897"/>
      <c r="CZD108" s="897"/>
      <c r="CZE108" s="897"/>
      <c r="CZF108" s="897"/>
      <c r="CZG108" s="897"/>
      <c r="CZH108" s="897"/>
      <c r="CZI108" s="897"/>
      <c r="CZJ108" s="897"/>
      <c r="CZK108" s="895"/>
      <c r="CZL108" s="895"/>
      <c r="CZM108" s="896"/>
      <c r="CZN108" s="897"/>
      <c r="CZO108" s="897"/>
      <c r="CZP108" s="897"/>
      <c r="CZQ108" s="897"/>
      <c r="CZR108" s="897"/>
      <c r="CZS108" s="897"/>
      <c r="CZT108" s="897"/>
      <c r="CZU108" s="897"/>
      <c r="CZV108" s="895"/>
      <c r="CZW108" s="895"/>
      <c r="CZX108" s="896"/>
      <c r="CZY108" s="897"/>
      <c r="CZZ108" s="897"/>
      <c r="DAA108" s="897"/>
      <c r="DAB108" s="897"/>
      <c r="DAC108" s="897"/>
      <c r="DAD108" s="897"/>
      <c r="DAE108" s="897"/>
      <c r="DAF108" s="897"/>
      <c r="DAG108" s="895"/>
      <c r="DAH108" s="895"/>
      <c r="DAI108" s="896"/>
      <c r="DAJ108" s="897"/>
      <c r="DAK108" s="897"/>
      <c r="DAL108" s="897"/>
      <c r="DAM108" s="897"/>
      <c r="DAN108" s="897"/>
      <c r="DAO108" s="897"/>
      <c r="DAP108" s="897"/>
      <c r="DAQ108" s="897"/>
      <c r="DAR108" s="895"/>
      <c r="DAS108" s="895"/>
      <c r="DAT108" s="896"/>
      <c r="DAU108" s="897"/>
      <c r="DAV108" s="897"/>
      <c r="DAW108" s="897"/>
      <c r="DAX108" s="897"/>
      <c r="DAY108" s="897"/>
      <c r="DAZ108" s="897"/>
      <c r="DBA108" s="897"/>
      <c r="DBB108" s="897"/>
      <c r="DBC108" s="895"/>
      <c r="DBD108" s="895"/>
      <c r="DBE108" s="896"/>
      <c r="DBF108" s="897"/>
      <c r="DBG108" s="897"/>
      <c r="DBH108" s="897"/>
      <c r="DBI108" s="897"/>
      <c r="DBJ108" s="897"/>
      <c r="DBK108" s="897"/>
      <c r="DBL108" s="897"/>
      <c r="DBM108" s="897"/>
      <c r="DBN108" s="895"/>
      <c r="DBO108" s="895"/>
      <c r="DBP108" s="896"/>
      <c r="DBQ108" s="897"/>
      <c r="DBR108" s="897"/>
      <c r="DBS108" s="897"/>
      <c r="DBT108" s="897"/>
      <c r="DBU108" s="897"/>
      <c r="DBV108" s="897"/>
      <c r="DBW108" s="897"/>
      <c r="DBX108" s="897"/>
      <c r="DBY108" s="895"/>
      <c r="DBZ108" s="895"/>
      <c r="DCA108" s="896"/>
      <c r="DCB108" s="897"/>
      <c r="DCC108" s="897"/>
      <c r="DCD108" s="897"/>
      <c r="DCE108" s="897"/>
      <c r="DCF108" s="897"/>
      <c r="DCG108" s="897"/>
      <c r="DCH108" s="897"/>
      <c r="DCI108" s="897"/>
      <c r="DCJ108" s="895"/>
      <c r="DCK108" s="895"/>
      <c r="DCL108" s="896"/>
      <c r="DCM108" s="897"/>
      <c r="DCN108" s="897"/>
      <c r="DCO108" s="897"/>
      <c r="DCP108" s="897"/>
      <c r="DCQ108" s="897"/>
      <c r="DCR108" s="897"/>
      <c r="DCS108" s="897"/>
      <c r="DCT108" s="897"/>
      <c r="DCU108" s="895"/>
      <c r="DCV108" s="895"/>
      <c r="DCW108" s="896"/>
      <c r="DCX108" s="897"/>
      <c r="DCY108" s="897"/>
      <c r="DCZ108" s="897"/>
      <c r="DDA108" s="897"/>
      <c r="DDB108" s="897"/>
      <c r="DDC108" s="897"/>
      <c r="DDD108" s="897"/>
      <c r="DDE108" s="897"/>
      <c r="DDF108" s="895"/>
      <c r="DDG108" s="895"/>
      <c r="DDH108" s="896"/>
      <c r="DDI108" s="897"/>
      <c r="DDJ108" s="897"/>
      <c r="DDK108" s="897"/>
      <c r="DDL108" s="897"/>
      <c r="DDM108" s="897"/>
      <c r="DDN108" s="897"/>
      <c r="DDO108" s="897"/>
      <c r="DDP108" s="897"/>
      <c r="DDQ108" s="895"/>
      <c r="DDR108" s="895"/>
      <c r="DDS108" s="896"/>
      <c r="DDT108" s="897"/>
      <c r="DDU108" s="897"/>
      <c r="DDV108" s="897"/>
      <c r="DDW108" s="897"/>
      <c r="DDX108" s="897"/>
      <c r="DDY108" s="897"/>
      <c r="DDZ108" s="897"/>
      <c r="DEA108" s="897"/>
      <c r="DEB108" s="895"/>
      <c r="DEC108" s="895"/>
      <c r="DED108" s="896"/>
      <c r="DEE108" s="897"/>
      <c r="DEF108" s="897"/>
      <c r="DEG108" s="897"/>
      <c r="DEH108" s="897"/>
      <c r="DEI108" s="897"/>
      <c r="DEJ108" s="897"/>
      <c r="DEK108" s="897"/>
      <c r="DEL108" s="897"/>
      <c r="DEM108" s="895"/>
      <c r="DEN108" s="895"/>
      <c r="DEO108" s="896"/>
      <c r="DEP108" s="897"/>
      <c r="DEQ108" s="897"/>
      <c r="DER108" s="897"/>
      <c r="DES108" s="897"/>
      <c r="DET108" s="897"/>
      <c r="DEU108" s="897"/>
      <c r="DEV108" s="897"/>
      <c r="DEW108" s="897"/>
      <c r="DEX108" s="895"/>
      <c r="DEY108" s="895"/>
      <c r="DEZ108" s="896"/>
      <c r="DFA108" s="897"/>
      <c r="DFB108" s="897"/>
      <c r="DFC108" s="897"/>
      <c r="DFD108" s="897"/>
      <c r="DFE108" s="897"/>
      <c r="DFF108" s="897"/>
      <c r="DFG108" s="897"/>
      <c r="DFH108" s="897"/>
      <c r="DFI108" s="895"/>
      <c r="DFJ108" s="895"/>
      <c r="DFK108" s="896"/>
      <c r="DFL108" s="897"/>
      <c r="DFM108" s="897"/>
      <c r="DFN108" s="897"/>
      <c r="DFO108" s="897"/>
      <c r="DFP108" s="897"/>
      <c r="DFQ108" s="897"/>
      <c r="DFR108" s="897"/>
      <c r="DFS108" s="897"/>
      <c r="DFT108" s="895"/>
      <c r="DFU108" s="895"/>
      <c r="DFV108" s="896"/>
      <c r="DFW108" s="897"/>
      <c r="DFX108" s="897"/>
      <c r="DFY108" s="897"/>
      <c r="DFZ108" s="897"/>
      <c r="DGA108" s="897"/>
      <c r="DGB108" s="897"/>
      <c r="DGC108" s="897"/>
      <c r="DGD108" s="897"/>
      <c r="DGE108" s="895"/>
      <c r="DGF108" s="895"/>
      <c r="DGG108" s="896"/>
      <c r="DGH108" s="897"/>
      <c r="DGI108" s="897"/>
      <c r="DGJ108" s="897"/>
      <c r="DGK108" s="897"/>
      <c r="DGL108" s="897"/>
      <c r="DGM108" s="897"/>
      <c r="DGN108" s="897"/>
      <c r="DGO108" s="897"/>
      <c r="DGP108" s="895"/>
      <c r="DGQ108" s="895"/>
      <c r="DGR108" s="896"/>
      <c r="DGS108" s="897"/>
      <c r="DGT108" s="897"/>
      <c r="DGU108" s="897"/>
      <c r="DGV108" s="897"/>
      <c r="DGW108" s="897"/>
      <c r="DGX108" s="897"/>
      <c r="DGY108" s="897"/>
      <c r="DGZ108" s="897"/>
      <c r="DHA108" s="895"/>
      <c r="DHB108" s="895"/>
      <c r="DHC108" s="896"/>
      <c r="DHD108" s="897"/>
      <c r="DHE108" s="897"/>
      <c r="DHF108" s="897"/>
      <c r="DHG108" s="897"/>
      <c r="DHH108" s="897"/>
      <c r="DHI108" s="897"/>
      <c r="DHJ108" s="897"/>
      <c r="DHK108" s="897"/>
      <c r="DHL108" s="895"/>
      <c r="DHM108" s="895"/>
      <c r="DHN108" s="896"/>
      <c r="DHO108" s="897"/>
      <c r="DHP108" s="897"/>
      <c r="DHQ108" s="897"/>
      <c r="DHR108" s="897"/>
      <c r="DHS108" s="897"/>
      <c r="DHT108" s="897"/>
      <c r="DHU108" s="897"/>
      <c r="DHV108" s="897"/>
      <c r="DHW108" s="895"/>
      <c r="DHX108" s="895"/>
      <c r="DHY108" s="896"/>
      <c r="DHZ108" s="897"/>
      <c r="DIA108" s="897"/>
      <c r="DIB108" s="897"/>
      <c r="DIC108" s="897"/>
      <c r="DID108" s="897"/>
      <c r="DIE108" s="897"/>
      <c r="DIF108" s="897"/>
      <c r="DIG108" s="897"/>
      <c r="DIH108" s="895"/>
      <c r="DII108" s="895"/>
      <c r="DIJ108" s="896"/>
      <c r="DIK108" s="897"/>
      <c r="DIL108" s="897"/>
      <c r="DIM108" s="897"/>
      <c r="DIN108" s="897"/>
      <c r="DIO108" s="897"/>
      <c r="DIP108" s="897"/>
      <c r="DIQ108" s="897"/>
      <c r="DIR108" s="897"/>
      <c r="DIS108" s="895"/>
      <c r="DIT108" s="895"/>
      <c r="DIU108" s="896"/>
      <c r="DIV108" s="897"/>
      <c r="DIW108" s="897"/>
      <c r="DIX108" s="897"/>
      <c r="DIY108" s="897"/>
      <c r="DIZ108" s="897"/>
      <c r="DJA108" s="897"/>
      <c r="DJB108" s="897"/>
      <c r="DJC108" s="897"/>
      <c r="DJD108" s="895"/>
      <c r="DJE108" s="895"/>
      <c r="DJF108" s="896"/>
      <c r="DJG108" s="897"/>
      <c r="DJH108" s="897"/>
      <c r="DJI108" s="897"/>
      <c r="DJJ108" s="897"/>
      <c r="DJK108" s="897"/>
      <c r="DJL108" s="897"/>
      <c r="DJM108" s="897"/>
      <c r="DJN108" s="897"/>
      <c r="DJO108" s="895"/>
      <c r="DJP108" s="895"/>
      <c r="DJQ108" s="896"/>
      <c r="DJR108" s="897"/>
      <c r="DJS108" s="897"/>
      <c r="DJT108" s="897"/>
      <c r="DJU108" s="897"/>
      <c r="DJV108" s="897"/>
      <c r="DJW108" s="897"/>
      <c r="DJX108" s="897"/>
      <c r="DJY108" s="897"/>
      <c r="DJZ108" s="895"/>
      <c r="DKA108" s="895"/>
      <c r="DKB108" s="896"/>
      <c r="DKC108" s="897"/>
      <c r="DKD108" s="897"/>
      <c r="DKE108" s="897"/>
      <c r="DKF108" s="897"/>
      <c r="DKG108" s="897"/>
      <c r="DKH108" s="897"/>
      <c r="DKI108" s="897"/>
      <c r="DKJ108" s="897"/>
      <c r="DKK108" s="895"/>
      <c r="DKL108" s="895"/>
      <c r="DKM108" s="896"/>
      <c r="DKN108" s="897"/>
      <c r="DKO108" s="897"/>
      <c r="DKP108" s="897"/>
      <c r="DKQ108" s="897"/>
      <c r="DKR108" s="897"/>
      <c r="DKS108" s="897"/>
      <c r="DKT108" s="897"/>
      <c r="DKU108" s="897"/>
      <c r="DKV108" s="895"/>
      <c r="DKW108" s="895"/>
      <c r="DKX108" s="896"/>
      <c r="DKY108" s="897"/>
      <c r="DKZ108" s="897"/>
      <c r="DLA108" s="897"/>
      <c r="DLB108" s="897"/>
      <c r="DLC108" s="897"/>
      <c r="DLD108" s="897"/>
      <c r="DLE108" s="897"/>
      <c r="DLF108" s="897"/>
      <c r="DLG108" s="895"/>
      <c r="DLH108" s="895"/>
      <c r="DLI108" s="896"/>
      <c r="DLJ108" s="897"/>
      <c r="DLK108" s="897"/>
      <c r="DLL108" s="897"/>
      <c r="DLM108" s="897"/>
      <c r="DLN108" s="897"/>
      <c r="DLO108" s="897"/>
      <c r="DLP108" s="897"/>
      <c r="DLQ108" s="897"/>
      <c r="DLR108" s="895"/>
      <c r="DLS108" s="895"/>
      <c r="DLT108" s="896"/>
      <c r="DLU108" s="897"/>
      <c r="DLV108" s="897"/>
      <c r="DLW108" s="897"/>
      <c r="DLX108" s="897"/>
      <c r="DLY108" s="897"/>
      <c r="DLZ108" s="897"/>
      <c r="DMA108" s="897"/>
      <c r="DMB108" s="897"/>
      <c r="DMC108" s="895"/>
      <c r="DMD108" s="895"/>
      <c r="DME108" s="896"/>
      <c r="DMF108" s="897"/>
      <c r="DMG108" s="897"/>
      <c r="DMH108" s="897"/>
      <c r="DMI108" s="897"/>
      <c r="DMJ108" s="897"/>
      <c r="DMK108" s="897"/>
      <c r="DML108" s="897"/>
      <c r="DMM108" s="897"/>
      <c r="DMN108" s="895"/>
      <c r="DMO108" s="895"/>
      <c r="DMP108" s="896"/>
      <c r="DMQ108" s="897"/>
      <c r="DMR108" s="897"/>
      <c r="DMS108" s="897"/>
      <c r="DMT108" s="897"/>
      <c r="DMU108" s="897"/>
      <c r="DMV108" s="897"/>
      <c r="DMW108" s="897"/>
      <c r="DMX108" s="897"/>
      <c r="DMY108" s="895"/>
      <c r="DMZ108" s="895"/>
      <c r="DNA108" s="896"/>
      <c r="DNB108" s="897"/>
      <c r="DNC108" s="897"/>
      <c r="DND108" s="897"/>
      <c r="DNE108" s="897"/>
      <c r="DNF108" s="897"/>
      <c r="DNG108" s="897"/>
      <c r="DNH108" s="897"/>
      <c r="DNI108" s="897"/>
      <c r="DNJ108" s="895"/>
      <c r="DNK108" s="895"/>
      <c r="DNL108" s="896"/>
      <c r="DNM108" s="897"/>
      <c r="DNN108" s="897"/>
      <c r="DNO108" s="897"/>
      <c r="DNP108" s="897"/>
      <c r="DNQ108" s="897"/>
      <c r="DNR108" s="897"/>
      <c r="DNS108" s="897"/>
      <c r="DNT108" s="897"/>
      <c r="DNU108" s="895"/>
      <c r="DNV108" s="895"/>
      <c r="DNW108" s="896"/>
      <c r="DNX108" s="897"/>
      <c r="DNY108" s="897"/>
      <c r="DNZ108" s="897"/>
      <c r="DOA108" s="897"/>
      <c r="DOB108" s="897"/>
      <c r="DOC108" s="897"/>
      <c r="DOD108" s="897"/>
      <c r="DOE108" s="897"/>
      <c r="DOF108" s="895"/>
      <c r="DOG108" s="895"/>
      <c r="DOH108" s="896"/>
      <c r="DOI108" s="897"/>
      <c r="DOJ108" s="897"/>
      <c r="DOK108" s="897"/>
      <c r="DOL108" s="897"/>
      <c r="DOM108" s="897"/>
      <c r="DON108" s="897"/>
      <c r="DOO108" s="897"/>
      <c r="DOP108" s="897"/>
      <c r="DOQ108" s="895"/>
      <c r="DOR108" s="895"/>
      <c r="DOS108" s="896"/>
      <c r="DOT108" s="897"/>
      <c r="DOU108" s="897"/>
      <c r="DOV108" s="897"/>
      <c r="DOW108" s="897"/>
      <c r="DOX108" s="897"/>
      <c r="DOY108" s="897"/>
      <c r="DOZ108" s="897"/>
      <c r="DPA108" s="897"/>
      <c r="DPB108" s="895"/>
      <c r="DPC108" s="895"/>
      <c r="DPD108" s="896"/>
      <c r="DPE108" s="897"/>
      <c r="DPF108" s="897"/>
      <c r="DPG108" s="897"/>
      <c r="DPH108" s="897"/>
      <c r="DPI108" s="897"/>
      <c r="DPJ108" s="897"/>
      <c r="DPK108" s="897"/>
      <c r="DPL108" s="897"/>
      <c r="DPM108" s="895"/>
      <c r="DPN108" s="895"/>
      <c r="DPO108" s="896"/>
      <c r="DPP108" s="897"/>
      <c r="DPQ108" s="897"/>
      <c r="DPR108" s="897"/>
      <c r="DPS108" s="897"/>
      <c r="DPT108" s="897"/>
      <c r="DPU108" s="897"/>
      <c r="DPV108" s="897"/>
      <c r="DPW108" s="897"/>
      <c r="DPX108" s="895"/>
      <c r="DPY108" s="895"/>
      <c r="DPZ108" s="896"/>
      <c r="DQA108" s="897"/>
      <c r="DQB108" s="897"/>
      <c r="DQC108" s="897"/>
      <c r="DQD108" s="897"/>
      <c r="DQE108" s="897"/>
      <c r="DQF108" s="897"/>
      <c r="DQG108" s="897"/>
      <c r="DQH108" s="897"/>
      <c r="DQI108" s="895"/>
      <c r="DQJ108" s="895"/>
      <c r="DQK108" s="896"/>
      <c r="DQL108" s="897"/>
      <c r="DQM108" s="897"/>
      <c r="DQN108" s="897"/>
      <c r="DQO108" s="897"/>
      <c r="DQP108" s="897"/>
      <c r="DQQ108" s="897"/>
      <c r="DQR108" s="897"/>
      <c r="DQS108" s="897"/>
      <c r="DQT108" s="895"/>
      <c r="DQU108" s="895"/>
      <c r="DQV108" s="896"/>
      <c r="DQW108" s="897"/>
      <c r="DQX108" s="897"/>
      <c r="DQY108" s="897"/>
      <c r="DQZ108" s="897"/>
      <c r="DRA108" s="897"/>
      <c r="DRB108" s="897"/>
      <c r="DRC108" s="897"/>
      <c r="DRD108" s="897"/>
      <c r="DRE108" s="895"/>
      <c r="DRF108" s="895"/>
      <c r="DRG108" s="896"/>
      <c r="DRH108" s="897"/>
      <c r="DRI108" s="897"/>
      <c r="DRJ108" s="897"/>
      <c r="DRK108" s="897"/>
      <c r="DRL108" s="897"/>
      <c r="DRM108" s="897"/>
      <c r="DRN108" s="897"/>
      <c r="DRO108" s="897"/>
      <c r="DRP108" s="895"/>
      <c r="DRQ108" s="895"/>
      <c r="DRR108" s="896"/>
      <c r="DRS108" s="897"/>
      <c r="DRT108" s="897"/>
      <c r="DRU108" s="897"/>
      <c r="DRV108" s="897"/>
      <c r="DRW108" s="897"/>
      <c r="DRX108" s="897"/>
      <c r="DRY108" s="897"/>
      <c r="DRZ108" s="897"/>
      <c r="DSA108" s="895"/>
      <c r="DSB108" s="895"/>
      <c r="DSC108" s="896"/>
      <c r="DSD108" s="897"/>
      <c r="DSE108" s="897"/>
      <c r="DSF108" s="897"/>
      <c r="DSG108" s="897"/>
      <c r="DSH108" s="897"/>
      <c r="DSI108" s="897"/>
      <c r="DSJ108" s="897"/>
      <c r="DSK108" s="897"/>
      <c r="DSL108" s="895"/>
      <c r="DSM108" s="895"/>
      <c r="DSN108" s="896"/>
      <c r="DSO108" s="897"/>
      <c r="DSP108" s="897"/>
      <c r="DSQ108" s="897"/>
      <c r="DSR108" s="897"/>
      <c r="DSS108" s="897"/>
      <c r="DST108" s="897"/>
      <c r="DSU108" s="897"/>
      <c r="DSV108" s="897"/>
      <c r="DSW108" s="895"/>
      <c r="DSX108" s="895"/>
      <c r="DSY108" s="896"/>
      <c r="DSZ108" s="897"/>
      <c r="DTA108" s="897"/>
      <c r="DTB108" s="897"/>
      <c r="DTC108" s="897"/>
      <c r="DTD108" s="897"/>
      <c r="DTE108" s="897"/>
      <c r="DTF108" s="897"/>
      <c r="DTG108" s="897"/>
      <c r="DTH108" s="895"/>
      <c r="DTI108" s="895"/>
      <c r="DTJ108" s="896"/>
      <c r="DTK108" s="897"/>
      <c r="DTL108" s="897"/>
      <c r="DTM108" s="897"/>
      <c r="DTN108" s="897"/>
      <c r="DTO108" s="897"/>
      <c r="DTP108" s="897"/>
      <c r="DTQ108" s="897"/>
      <c r="DTR108" s="897"/>
      <c r="DTS108" s="895"/>
      <c r="DTT108" s="895"/>
      <c r="DTU108" s="896"/>
      <c r="DTV108" s="897"/>
      <c r="DTW108" s="897"/>
      <c r="DTX108" s="897"/>
      <c r="DTY108" s="897"/>
      <c r="DTZ108" s="897"/>
      <c r="DUA108" s="897"/>
      <c r="DUB108" s="897"/>
      <c r="DUC108" s="897"/>
      <c r="DUD108" s="895"/>
      <c r="DUE108" s="895"/>
      <c r="DUF108" s="896"/>
      <c r="DUG108" s="897"/>
      <c r="DUH108" s="897"/>
      <c r="DUI108" s="897"/>
      <c r="DUJ108" s="897"/>
      <c r="DUK108" s="897"/>
      <c r="DUL108" s="897"/>
      <c r="DUM108" s="897"/>
      <c r="DUN108" s="897"/>
      <c r="DUO108" s="895"/>
      <c r="DUP108" s="895"/>
      <c r="DUQ108" s="896"/>
      <c r="DUR108" s="897"/>
      <c r="DUS108" s="897"/>
      <c r="DUT108" s="897"/>
      <c r="DUU108" s="897"/>
      <c r="DUV108" s="897"/>
      <c r="DUW108" s="897"/>
      <c r="DUX108" s="897"/>
      <c r="DUY108" s="897"/>
      <c r="DUZ108" s="895"/>
      <c r="DVA108" s="895"/>
      <c r="DVB108" s="896"/>
      <c r="DVC108" s="897"/>
      <c r="DVD108" s="897"/>
      <c r="DVE108" s="897"/>
      <c r="DVF108" s="897"/>
      <c r="DVG108" s="897"/>
      <c r="DVH108" s="897"/>
      <c r="DVI108" s="897"/>
      <c r="DVJ108" s="897"/>
      <c r="DVK108" s="895"/>
      <c r="DVL108" s="895"/>
      <c r="DVM108" s="896"/>
      <c r="DVN108" s="897"/>
      <c r="DVO108" s="897"/>
      <c r="DVP108" s="897"/>
      <c r="DVQ108" s="897"/>
      <c r="DVR108" s="897"/>
      <c r="DVS108" s="897"/>
      <c r="DVT108" s="897"/>
      <c r="DVU108" s="897"/>
      <c r="DVV108" s="895"/>
      <c r="DVW108" s="895"/>
      <c r="DVX108" s="896"/>
      <c r="DVY108" s="897"/>
      <c r="DVZ108" s="897"/>
      <c r="DWA108" s="897"/>
      <c r="DWB108" s="897"/>
      <c r="DWC108" s="897"/>
      <c r="DWD108" s="897"/>
      <c r="DWE108" s="897"/>
      <c r="DWF108" s="897"/>
      <c r="DWG108" s="895"/>
      <c r="DWH108" s="895"/>
      <c r="DWI108" s="896"/>
      <c r="DWJ108" s="897"/>
      <c r="DWK108" s="897"/>
      <c r="DWL108" s="897"/>
      <c r="DWM108" s="897"/>
      <c r="DWN108" s="897"/>
      <c r="DWO108" s="897"/>
      <c r="DWP108" s="897"/>
      <c r="DWQ108" s="897"/>
      <c r="DWR108" s="895"/>
      <c r="DWS108" s="895"/>
      <c r="DWT108" s="896"/>
      <c r="DWU108" s="897"/>
      <c r="DWV108" s="897"/>
      <c r="DWW108" s="897"/>
      <c r="DWX108" s="897"/>
      <c r="DWY108" s="897"/>
      <c r="DWZ108" s="897"/>
      <c r="DXA108" s="897"/>
      <c r="DXB108" s="897"/>
      <c r="DXC108" s="895"/>
      <c r="DXD108" s="895"/>
      <c r="DXE108" s="896"/>
      <c r="DXF108" s="897"/>
      <c r="DXG108" s="897"/>
      <c r="DXH108" s="897"/>
      <c r="DXI108" s="897"/>
      <c r="DXJ108" s="897"/>
      <c r="DXK108" s="897"/>
      <c r="DXL108" s="897"/>
      <c r="DXM108" s="897"/>
      <c r="DXN108" s="895"/>
      <c r="DXO108" s="895"/>
      <c r="DXP108" s="896"/>
      <c r="DXQ108" s="897"/>
      <c r="DXR108" s="897"/>
      <c r="DXS108" s="897"/>
      <c r="DXT108" s="897"/>
      <c r="DXU108" s="897"/>
      <c r="DXV108" s="897"/>
      <c r="DXW108" s="897"/>
      <c r="DXX108" s="897"/>
      <c r="DXY108" s="895"/>
      <c r="DXZ108" s="895"/>
      <c r="DYA108" s="896"/>
      <c r="DYB108" s="897"/>
      <c r="DYC108" s="897"/>
      <c r="DYD108" s="897"/>
      <c r="DYE108" s="897"/>
      <c r="DYF108" s="897"/>
      <c r="DYG108" s="897"/>
      <c r="DYH108" s="897"/>
      <c r="DYI108" s="897"/>
      <c r="DYJ108" s="895"/>
      <c r="DYK108" s="895"/>
      <c r="DYL108" s="896"/>
      <c r="DYM108" s="897"/>
      <c r="DYN108" s="897"/>
      <c r="DYO108" s="897"/>
      <c r="DYP108" s="897"/>
      <c r="DYQ108" s="897"/>
      <c r="DYR108" s="897"/>
      <c r="DYS108" s="897"/>
      <c r="DYT108" s="897"/>
      <c r="DYU108" s="895"/>
      <c r="DYV108" s="895"/>
      <c r="DYW108" s="896"/>
      <c r="DYX108" s="897"/>
      <c r="DYY108" s="897"/>
      <c r="DYZ108" s="897"/>
      <c r="DZA108" s="897"/>
      <c r="DZB108" s="897"/>
      <c r="DZC108" s="897"/>
      <c r="DZD108" s="897"/>
      <c r="DZE108" s="897"/>
      <c r="DZF108" s="895"/>
      <c r="DZG108" s="895"/>
      <c r="DZH108" s="896"/>
      <c r="DZI108" s="897"/>
      <c r="DZJ108" s="897"/>
      <c r="DZK108" s="897"/>
      <c r="DZL108" s="897"/>
      <c r="DZM108" s="897"/>
      <c r="DZN108" s="897"/>
      <c r="DZO108" s="897"/>
      <c r="DZP108" s="897"/>
      <c r="DZQ108" s="895"/>
      <c r="DZR108" s="895"/>
      <c r="DZS108" s="896"/>
      <c r="DZT108" s="897"/>
      <c r="DZU108" s="897"/>
      <c r="DZV108" s="897"/>
      <c r="DZW108" s="897"/>
      <c r="DZX108" s="897"/>
      <c r="DZY108" s="897"/>
      <c r="DZZ108" s="897"/>
      <c r="EAA108" s="897"/>
      <c r="EAB108" s="895"/>
      <c r="EAC108" s="895"/>
      <c r="EAD108" s="896"/>
      <c r="EAE108" s="897"/>
      <c r="EAF108" s="897"/>
      <c r="EAG108" s="897"/>
      <c r="EAH108" s="897"/>
      <c r="EAI108" s="897"/>
      <c r="EAJ108" s="897"/>
      <c r="EAK108" s="897"/>
      <c r="EAL108" s="897"/>
      <c r="EAM108" s="895"/>
      <c r="EAN108" s="895"/>
      <c r="EAO108" s="896"/>
      <c r="EAP108" s="897"/>
      <c r="EAQ108" s="897"/>
      <c r="EAR108" s="897"/>
      <c r="EAS108" s="897"/>
      <c r="EAT108" s="897"/>
      <c r="EAU108" s="897"/>
      <c r="EAV108" s="897"/>
      <c r="EAW108" s="897"/>
      <c r="EAX108" s="895"/>
      <c r="EAY108" s="895"/>
      <c r="EAZ108" s="896"/>
      <c r="EBA108" s="897"/>
      <c r="EBB108" s="897"/>
      <c r="EBC108" s="897"/>
      <c r="EBD108" s="897"/>
      <c r="EBE108" s="897"/>
      <c r="EBF108" s="897"/>
      <c r="EBG108" s="897"/>
      <c r="EBH108" s="897"/>
      <c r="EBI108" s="895"/>
      <c r="EBJ108" s="895"/>
      <c r="EBK108" s="896"/>
      <c r="EBL108" s="897"/>
      <c r="EBM108" s="897"/>
      <c r="EBN108" s="897"/>
      <c r="EBO108" s="897"/>
      <c r="EBP108" s="897"/>
      <c r="EBQ108" s="897"/>
      <c r="EBR108" s="897"/>
      <c r="EBS108" s="897"/>
      <c r="EBT108" s="895"/>
      <c r="EBU108" s="895"/>
      <c r="EBV108" s="896"/>
      <c r="EBW108" s="897"/>
      <c r="EBX108" s="897"/>
      <c r="EBY108" s="897"/>
      <c r="EBZ108" s="897"/>
      <c r="ECA108" s="897"/>
      <c r="ECB108" s="897"/>
      <c r="ECC108" s="897"/>
      <c r="ECD108" s="897"/>
      <c r="ECE108" s="895"/>
      <c r="ECF108" s="895"/>
      <c r="ECG108" s="896"/>
      <c r="ECH108" s="897"/>
      <c r="ECI108" s="897"/>
      <c r="ECJ108" s="897"/>
      <c r="ECK108" s="897"/>
      <c r="ECL108" s="897"/>
      <c r="ECM108" s="897"/>
      <c r="ECN108" s="897"/>
      <c r="ECO108" s="897"/>
      <c r="ECP108" s="895"/>
      <c r="ECQ108" s="895"/>
      <c r="ECR108" s="896"/>
      <c r="ECS108" s="897"/>
      <c r="ECT108" s="897"/>
      <c r="ECU108" s="897"/>
      <c r="ECV108" s="897"/>
      <c r="ECW108" s="897"/>
      <c r="ECX108" s="897"/>
      <c r="ECY108" s="897"/>
      <c r="ECZ108" s="897"/>
      <c r="EDA108" s="895"/>
      <c r="EDB108" s="895"/>
      <c r="EDC108" s="896"/>
      <c r="EDD108" s="897"/>
      <c r="EDE108" s="897"/>
      <c r="EDF108" s="897"/>
      <c r="EDG108" s="897"/>
      <c r="EDH108" s="897"/>
      <c r="EDI108" s="897"/>
      <c r="EDJ108" s="897"/>
      <c r="EDK108" s="897"/>
      <c r="EDL108" s="895"/>
      <c r="EDM108" s="895"/>
      <c r="EDN108" s="896"/>
      <c r="EDO108" s="897"/>
      <c r="EDP108" s="897"/>
      <c r="EDQ108" s="897"/>
      <c r="EDR108" s="897"/>
      <c r="EDS108" s="897"/>
      <c r="EDT108" s="897"/>
      <c r="EDU108" s="897"/>
      <c r="EDV108" s="897"/>
      <c r="EDW108" s="895"/>
      <c r="EDX108" s="895"/>
      <c r="EDY108" s="896"/>
      <c r="EDZ108" s="897"/>
      <c r="EEA108" s="897"/>
      <c r="EEB108" s="897"/>
      <c r="EEC108" s="897"/>
      <c r="EED108" s="897"/>
      <c r="EEE108" s="897"/>
      <c r="EEF108" s="897"/>
      <c r="EEG108" s="897"/>
      <c r="EEH108" s="895"/>
      <c r="EEI108" s="895"/>
      <c r="EEJ108" s="896"/>
      <c r="EEK108" s="897"/>
      <c r="EEL108" s="897"/>
      <c r="EEM108" s="897"/>
      <c r="EEN108" s="897"/>
      <c r="EEO108" s="897"/>
      <c r="EEP108" s="897"/>
      <c r="EEQ108" s="897"/>
      <c r="EER108" s="897"/>
      <c r="EES108" s="895"/>
      <c r="EET108" s="895"/>
      <c r="EEU108" s="896"/>
      <c r="EEV108" s="897"/>
      <c r="EEW108" s="897"/>
      <c r="EEX108" s="897"/>
      <c r="EEY108" s="897"/>
      <c r="EEZ108" s="897"/>
      <c r="EFA108" s="897"/>
      <c r="EFB108" s="897"/>
      <c r="EFC108" s="897"/>
      <c r="EFD108" s="895"/>
      <c r="EFE108" s="895"/>
      <c r="EFF108" s="896"/>
      <c r="EFG108" s="897"/>
      <c r="EFH108" s="897"/>
      <c r="EFI108" s="897"/>
      <c r="EFJ108" s="897"/>
      <c r="EFK108" s="897"/>
      <c r="EFL108" s="897"/>
      <c r="EFM108" s="897"/>
      <c r="EFN108" s="897"/>
      <c r="EFO108" s="895"/>
      <c r="EFP108" s="895"/>
      <c r="EFQ108" s="896"/>
      <c r="EFR108" s="897"/>
      <c r="EFS108" s="897"/>
      <c r="EFT108" s="897"/>
      <c r="EFU108" s="897"/>
      <c r="EFV108" s="897"/>
      <c r="EFW108" s="897"/>
      <c r="EFX108" s="897"/>
      <c r="EFY108" s="897"/>
      <c r="EFZ108" s="895"/>
      <c r="EGA108" s="895"/>
      <c r="EGB108" s="896"/>
      <c r="EGC108" s="897"/>
      <c r="EGD108" s="897"/>
      <c r="EGE108" s="897"/>
      <c r="EGF108" s="897"/>
      <c r="EGG108" s="897"/>
      <c r="EGH108" s="897"/>
      <c r="EGI108" s="897"/>
      <c r="EGJ108" s="897"/>
      <c r="EGK108" s="895"/>
      <c r="EGL108" s="895"/>
      <c r="EGM108" s="896"/>
      <c r="EGN108" s="897"/>
      <c r="EGO108" s="897"/>
      <c r="EGP108" s="897"/>
      <c r="EGQ108" s="897"/>
      <c r="EGR108" s="897"/>
      <c r="EGS108" s="897"/>
      <c r="EGT108" s="897"/>
      <c r="EGU108" s="897"/>
      <c r="EGV108" s="895"/>
      <c r="EGW108" s="895"/>
      <c r="EGX108" s="896"/>
      <c r="EGY108" s="897"/>
      <c r="EGZ108" s="897"/>
      <c r="EHA108" s="897"/>
      <c r="EHB108" s="897"/>
      <c r="EHC108" s="897"/>
      <c r="EHD108" s="897"/>
      <c r="EHE108" s="897"/>
      <c r="EHF108" s="897"/>
      <c r="EHG108" s="895"/>
      <c r="EHH108" s="895"/>
      <c r="EHI108" s="896"/>
      <c r="EHJ108" s="897"/>
      <c r="EHK108" s="897"/>
      <c r="EHL108" s="897"/>
      <c r="EHM108" s="897"/>
      <c r="EHN108" s="897"/>
      <c r="EHO108" s="897"/>
      <c r="EHP108" s="897"/>
      <c r="EHQ108" s="897"/>
      <c r="EHR108" s="895"/>
      <c r="EHS108" s="895"/>
      <c r="EHT108" s="896"/>
      <c r="EHU108" s="897"/>
      <c r="EHV108" s="897"/>
      <c r="EHW108" s="897"/>
      <c r="EHX108" s="897"/>
      <c r="EHY108" s="897"/>
      <c r="EHZ108" s="897"/>
      <c r="EIA108" s="897"/>
      <c r="EIB108" s="897"/>
      <c r="EIC108" s="895"/>
      <c r="EID108" s="895"/>
      <c r="EIE108" s="896"/>
      <c r="EIF108" s="897"/>
      <c r="EIG108" s="897"/>
      <c r="EIH108" s="897"/>
      <c r="EII108" s="897"/>
      <c r="EIJ108" s="897"/>
      <c r="EIK108" s="897"/>
      <c r="EIL108" s="897"/>
      <c r="EIM108" s="897"/>
      <c r="EIN108" s="895"/>
      <c r="EIO108" s="895"/>
      <c r="EIP108" s="896"/>
      <c r="EIQ108" s="897"/>
      <c r="EIR108" s="897"/>
      <c r="EIS108" s="897"/>
      <c r="EIT108" s="897"/>
      <c r="EIU108" s="897"/>
      <c r="EIV108" s="897"/>
      <c r="EIW108" s="897"/>
      <c r="EIX108" s="897"/>
      <c r="EIY108" s="895"/>
      <c r="EIZ108" s="895"/>
      <c r="EJA108" s="896"/>
      <c r="EJB108" s="897"/>
      <c r="EJC108" s="897"/>
      <c r="EJD108" s="897"/>
      <c r="EJE108" s="897"/>
      <c r="EJF108" s="897"/>
      <c r="EJG108" s="897"/>
      <c r="EJH108" s="897"/>
      <c r="EJI108" s="897"/>
      <c r="EJJ108" s="895"/>
      <c r="EJK108" s="895"/>
      <c r="EJL108" s="896"/>
      <c r="EJM108" s="897"/>
      <c r="EJN108" s="897"/>
      <c r="EJO108" s="897"/>
      <c r="EJP108" s="897"/>
      <c r="EJQ108" s="897"/>
      <c r="EJR108" s="897"/>
      <c r="EJS108" s="897"/>
      <c r="EJT108" s="897"/>
      <c r="EJU108" s="895"/>
      <c r="EJV108" s="895"/>
      <c r="EJW108" s="896"/>
      <c r="EJX108" s="897"/>
      <c r="EJY108" s="897"/>
      <c r="EJZ108" s="897"/>
      <c r="EKA108" s="897"/>
      <c r="EKB108" s="897"/>
      <c r="EKC108" s="897"/>
      <c r="EKD108" s="897"/>
      <c r="EKE108" s="897"/>
      <c r="EKF108" s="895"/>
      <c r="EKG108" s="895"/>
      <c r="EKH108" s="896"/>
      <c r="EKI108" s="897"/>
      <c r="EKJ108" s="897"/>
      <c r="EKK108" s="897"/>
      <c r="EKL108" s="897"/>
      <c r="EKM108" s="897"/>
      <c r="EKN108" s="897"/>
      <c r="EKO108" s="897"/>
      <c r="EKP108" s="897"/>
      <c r="EKQ108" s="895"/>
      <c r="EKR108" s="895"/>
      <c r="EKS108" s="896"/>
      <c r="EKT108" s="897"/>
      <c r="EKU108" s="897"/>
      <c r="EKV108" s="897"/>
      <c r="EKW108" s="897"/>
      <c r="EKX108" s="897"/>
      <c r="EKY108" s="897"/>
      <c r="EKZ108" s="897"/>
      <c r="ELA108" s="897"/>
      <c r="ELB108" s="895"/>
      <c r="ELC108" s="895"/>
      <c r="ELD108" s="896"/>
      <c r="ELE108" s="897"/>
      <c r="ELF108" s="897"/>
      <c r="ELG108" s="897"/>
      <c r="ELH108" s="897"/>
      <c r="ELI108" s="897"/>
      <c r="ELJ108" s="897"/>
      <c r="ELK108" s="897"/>
      <c r="ELL108" s="897"/>
      <c r="ELM108" s="895"/>
      <c r="ELN108" s="895"/>
      <c r="ELO108" s="896"/>
      <c r="ELP108" s="897"/>
      <c r="ELQ108" s="897"/>
      <c r="ELR108" s="897"/>
      <c r="ELS108" s="897"/>
      <c r="ELT108" s="897"/>
      <c r="ELU108" s="897"/>
      <c r="ELV108" s="897"/>
      <c r="ELW108" s="897"/>
      <c r="ELX108" s="895"/>
      <c r="ELY108" s="895"/>
      <c r="ELZ108" s="896"/>
      <c r="EMA108" s="897"/>
      <c r="EMB108" s="897"/>
      <c r="EMC108" s="897"/>
      <c r="EMD108" s="897"/>
      <c r="EME108" s="897"/>
      <c r="EMF108" s="897"/>
      <c r="EMG108" s="897"/>
      <c r="EMH108" s="897"/>
      <c r="EMI108" s="895"/>
      <c r="EMJ108" s="895"/>
      <c r="EMK108" s="896"/>
      <c r="EML108" s="897"/>
      <c r="EMM108" s="897"/>
      <c r="EMN108" s="897"/>
      <c r="EMO108" s="897"/>
      <c r="EMP108" s="897"/>
      <c r="EMQ108" s="897"/>
      <c r="EMR108" s="897"/>
      <c r="EMS108" s="897"/>
      <c r="EMT108" s="895"/>
      <c r="EMU108" s="895"/>
      <c r="EMV108" s="896"/>
      <c r="EMW108" s="897"/>
      <c r="EMX108" s="897"/>
      <c r="EMY108" s="897"/>
      <c r="EMZ108" s="897"/>
      <c r="ENA108" s="897"/>
      <c r="ENB108" s="897"/>
      <c r="ENC108" s="897"/>
      <c r="END108" s="897"/>
      <c r="ENE108" s="895"/>
      <c r="ENF108" s="895"/>
      <c r="ENG108" s="896"/>
      <c r="ENH108" s="897"/>
      <c r="ENI108" s="897"/>
      <c r="ENJ108" s="897"/>
      <c r="ENK108" s="897"/>
      <c r="ENL108" s="897"/>
      <c r="ENM108" s="897"/>
      <c r="ENN108" s="897"/>
      <c r="ENO108" s="897"/>
      <c r="ENP108" s="895"/>
      <c r="ENQ108" s="895"/>
      <c r="ENR108" s="896"/>
      <c r="ENS108" s="897"/>
      <c r="ENT108" s="897"/>
      <c r="ENU108" s="897"/>
      <c r="ENV108" s="897"/>
      <c r="ENW108" s="897"/>
      <c r="ENX108" s="897"/>
      <c r="ENY108" s="897"/>
      <c r="ENZ108" s="897"/>
      <c r="EOA108" s="895"/>
      <c r="EOB108" s="895"/>
      <c r="EOC108" s="896"/>
      <c r="EOD108" s="897"/>
      <c r="EOE108" s="897"/>
      <c r="EOF108" s="897"/>
      <c r="EOG108" s="897"/>
      <c r="EOH108" s="897"/>
      <c r="EOI108" s="897"/>
      <c r="EOJ108" s="897"/>
      <c r="EOK108" s="897"/>
      <c r="EOL108" s="895"/>
      <c r="EOM108" s="895"/>
      <c r="EON108" s="896"/>
      <c r="EOO108" s="897"/>
      <c r="EOP108" s="897"/>
      <c r="EOQ108" s="897"/>
      <c r="EOR108" s="897"/>
      <c r="EOS108" s="897"/>
      <c r="EOT108" s="897"/>
      <c r="EOU108" s="897"/>
      <c r="EOV108" s="897"/>
      <c r="EOW108" s="895"/>
      <c r="EOX108" s="895"/>
      <c r="EOY108" s="896"/>
      <c r="EOZ108" s="897"/>
      <c r="EPA108" s="897"/>
      <c r="EPB108" s="897"/>
      <c r="EPC108" s="897"/>
      <c r="EPD108" s="897"/>
      <c r="EPE108" s="897"/>
      <c r="EPF108" s="897"/>
      <c r="EPG108" s="897"/>
      <c r="EPH108" s="895"/>
      <c r="EPI108" s="895"/>
      <c r="EPJ108" s="896"/>
      <c r="EPK108" s="897"/>
      <c r="EPL108" s="897"/>
      <c r="EPM108" s="897"/>
      <c r="EPN108" s="897"/>
      <c r="EPO108" s="897"/>
      <c r="EPP108" s="897"/>
      <c r="EPQ108" s="897"/>
      <c r="EPR108" s="897"/>
      <c r="EPS108" s="895"/>
      <c r="EPT108" s="895"/>
      <c r="EPU108" s="896"/>
      <c r="EPV108" s="897"/>
      <c r="EPW108" s="897"/>
      <c r="EPX108" s="897"/>
      <c r="EPY108" s="897"/>
      <c r="EPZ108" s="897"/>
      <c r="EQA108" s="897"/>
      <c r="EQB108" s="897"/>
      <c r="EQC108" s="897"/>
      <c r="EQD108" s="895"/>
      <c r="EQE108" s="895"/>
      <c r="EQF108" s="896"/>
      <c r="EQG108" s="897"/>
      <c r="EQH108" s="897"/>
      <c r="EQI108" s="897"/>
      <c r="EQJ108" s="897"/>
      <c r="EQK108" s="897"/>
      <c r="EQL108" s="897"/>
      <c r="EQM108" s="897"/>
      <c r="EQN108" s="897"/>
      <c r="EQO108" s="895"/>
      <c r="EQP108" s="895"/>
      <c r="EQQ108" s="896"/>
      <c r="EQR108" s="897"/>
      <c r="EQS108" s="897"/>
      <c r="EQT108" s="897"/>
      <c r="EQU108" s="897"/>
      <c r="EQV108" s="897"/>
      <c r="EQW108" s="897"/>
      <c r="EQX108" s="897"/>
      <c r="EQY108" s="897"/>
      <c r="EQZ108" s="895"/>
      <c r="ERA108" s="895"/>
      <c r="ERB108" s="896"/>
      <c r="ERC108" s="897"/>
      <c r="ERD108" s="897"/>
      <c r="ERE108" s="897"/>
      <c r="ERF108" s="897"/>
      <c r="ERG108" s="897"/>
      <c r="ERH108" s="897"/>
      <c r="ERI108" s="897"/>
      <c r="ERJ108" s="897"/>
      <c r="ERK108" s="895"/>
      <c r="ERL108" s="895"/>
      <c r="ERM108" s="896"/>
      <c r="ERN108" s="897"/>
      <c r="ERO108" s="897"/>
      <c r="ERP108" s="897"/>
      <c r="ERQ108" s="897"/>
      <c r="ERR108" s="897"/>
      <c r="ERS108" s="897"/>
      <c r="ERT108" s="897"/>
      <c r="ERU108" s="897"/>
      <c r="ERV108" s="895"/>
      <c r="ERW108" s="895"/>
      <c r="ERX108" s="896"/>
      <c r="ERY108" s="897"/>
      <c r="ERZ108" s="897"/>
      <c r="ESA108" s="897"/>
      <c r="ESB108" s="897"/>
      <c r="ESC108" s="897"/>
      <c r="ESD108" s="897"/>
      <c r="ESE108" s="897"/>
      <c r="ESF108" s="897"/>
      <c r="ESG108" s="895"/>
      <c r="ESH108" s="895"/>
      <c r="ESI108" s="896"/>
      <c r="ESJ108" s="897"/>
      <c r="ESK108" s="897"/>
      <c r="ESL108" s="897"/>
      <c r="ESM108" s="897"/>
      <c r="ESN108" s="897"/>
      <c r="ESO108" s="897"/>
      <c r="ESP108" s="897"/>
      <c r="ESQ108" s="897"/>
      <c r="ESR108" s="895"/>
      <c r="ESS108" s="895"/>
      <c r="EST108" s="896"/>
      <c r="ESU108" s="897"/>
      <c r="ESV108" s="897"/>
      <c r="ESW108" s="897"/>
      <c r="ESX108" s="897"/>
      <c r="ESY108" s="897"/>
      <c r="ESZ108" s="897"/>
      <c r="ETA108" s="897"/>
      <c r="ETB108" s="897"/>
      <c r="ETC108" s="895"/>
      <c r="ETD108" s="895"/>
      <c r="ETE108" s="896"/>
      <c r="ETF108" s="897"/>
      <c r="ETG108" s="897"/>
      <c r="ETH108" s="897"/>
      <c r="ETI108" s="897"/>
      <c r="ETJ108" s="897"/>
      <c r="ETK108" s="897"/>
      <c r="ETL108" s="897"/>
      <c r="ETM108" s="897"/>
      <c r="ETN108" s="895"/>
      <c r="ETO108" s="895"/>
      <c r="ETP108" s="896"/>
      <c r="ETQ108" s="897"/>
      <c r="ETR108" s="897"/>
      <c r="ETS108" s="897"/>
      <c r="ETT108" s="897"/>
      <c r="ETU108" s="897"/>
      <c r="ETV108" s="897"/>
      <c r="ETW108" s="897"/>
      <c r="ETX108" s="897"/>
      <c r="ETY108" s="895"/>
      <c r="ETZ108" s="895"/>
      <c r="EUA108" s="896"/>
      <c r="EUB108" s="897"/>
      <c r="EUC108" s="897"/>
      <c r="EUD108" s="897"/>
      <c r="EUE108" s="897"/>
      <c r="EUF108" s="897"/>
      <c r="EUG108" s="897"/>
      <c r="EUH108" s="897"/>
      <c r="EUI108" s="897"/>
      <c r="EUJ108" s="895"/>
      <c r="EUK108" s="895"/>
      <c r="EUL108" s="896"/>
      <c r="EUM108" s="897"/>
      <c r="EUN108" s="897"/>
      <c r="EUO108" s="897"/>
      <c r="EUP108" s="897"/>
      <c r="EUQ108" s="897"/>
      <c r="EUR108" s="897"/>
      <c r="EUS108" s="897"/>
      <c r="EUT108" s="897"/>
      <c r="EUU108" s="895"/>
      <c r="EUV108" s="895"/>
      <c r="EUW108" s="896"/>
      <c r="EUX108" s="897"/>
      <c r="EUY108" s="897"/>
      <c r="EUZ108" s="897"/>
      <c r="EVA108" s="897"/>
      <c r="EVB108" s="897"/>
      <c r="EVC108" s="897"/>
      <c r="EVD108" s="897"/>
      <c r="EVE108" s="897"/>
      <c r="EVF108" s="895"/>
      <c r="EVG108" s="895"/>
      <c r="EVH108" s="896"/>
      <c r="EVI108" s="897"/>
      <c r="EVJ108" s="897"/>
      <c r="EVK108" s="897"/>
      <c r="EVL108" s="897"/>
      <c r="EVM108" s="897"/>
      <c r="EVN108" s="897"/>
      <c r="EVO108" s="897"/>
      <c r="EVP108" s="897"/>
      <c r="EVQ108" s="895"/>
      <c r="EVR108" s="895"/>
      <c r="EVS108" s="896"/>
      <c r="EVT108" s="897"/>
      <c r="EVU108" s="897"/>
      <c r="EVV108" s="897"/>
      <c r="EVW108" s="897"/>
      <c r="EVX108" s="897"/>
      <c r="EVY108" s="897"/>
      <c r="EVZ108" s="897"/>
      <c r="EWA108" s="897"/>
      <c r="EWB108" s="895"/>
      <c r="EWC108" s="895"/>
      <c r="EWD108" s="896"/>
      <c r="EWE108" s="897"/>
      <c r="EWF108" s="897"/>
      <c r="EWG108" s="897"/>
      <c r="EWH108" s="897"/>
      <c r="EWI108" s="897"/>
      <c r="EWJ108" s="897"/>
      <c r="EWK108" s="897"/>
      <c r="EWL108" s="897"/>
      <c r="EWM108" s="895"/>
      <c r="EWN108" s="895"/>
      <c r="EWO108" s="896"/>
      <c r="EWP108" s="897"/>
      <c r="EWQ108" s="897"/>
      <c r="EWR108" s="897"/>
      <c r="EWS108" s="897"/>
      <c r="EWT108" s="897"/>
      <c r="EWU108" s="897"/>
      <c r="EWV108" s="897"/>
      <c r="EWW108" s="897"/>
      <c r="EWX108" s="895"/>
      <c r="EWY108" s="895"/>
      <c r="EWZ108" s="896"/>
      <c r="EXA108" s="897"/>
      <c r="EXB108" s="897"/>
      <c r="EXC108" s="897"/>
      <c r="EXD108" s="897"/>
      <c r="EXE108" s="897"/>
      <c r="EXF108" s="897"/>
      <c r="EXG108" s="897"/>
      <c r="EXH108" s="897"/>
      <c r="EXI108" s="895"/>
      <c r="EXJ108" s="895"/>
      <c r="EXK108" s="896"/>
      <c r="EXL108" s="897"/>
      <c r="EXM108" s="897"/>
      <c r="EXN108" s="897"/>
      <c r="EXO108" s="897"/>
      <c r="EXP108" s="897"/>
      <c r="EXQ108" s="897"/>
      <c r="EXR108" s="897"/>
      <c r="EXS108" s="897"/>
      <c r="EXT108" s="895"/>
      <c r="EXU108" s="895"/>
      <c r="EXV108" s="896"/>
      <c r="EXW108" s="897"/>
      <c r="EXX108" s="897"/>
      <c r="EXY108" s="897"/>
      <c r="EXZ108" s="897"/>
      <c r="EYA108" s="897"/>
      <c r="EYB108" s="897"/>
      <c r="EYC108" s="897"/>
      <c r="EYD108" s="897"/>
      <c r="EYE108" s="895"/>
      <c r="EYF108" s="895"/>
      <c r="EYG108" s="896"/>
      <c r="EYH108" s="897"/>
      <c r="EYI108" s="897"/>
      <c r="EYJ108" s="897"/>
      <c r="EYK108" s="897"/>
      <c r="EYL108" s="897"/>
      <c r="EYM108" s="897"/>
      <c r="EYN108" s="897"/>
      <c r="EYO108" s="897"/>
      <c r="EYP108" s="895"/>
      <c r="EYQ108" s="895"/>
      <c r="EYR108" s="896"/>
      <c r="EYS108" s="897"/>
      <c r="EYT108" s="897"/>
      <c r="EYU108" s="897"/>
      <c r="EYV108" s="897"/>
      <c r="EYW108" s="897"/>
      <c r="EYX108" s="897"/>
      <c r="EYY108" s="897"/>
      <c r="EYZ108" s="897"/>
      <c r="EZA108" s="895"/>
      <c r="EZB108" s="895"/>
      <c r="EZC108" s="896"/>
      <c r="EZD108" s="897"/>
      <c r="EZE108" s="897"/>
      <c r="EZF108" s="897"/>
      <c r="EZG108" s="897"/>
      <c r="EZH108" s="897"/>
      <c r="EZI108" s="897"/>
      <c r="EZJ108" s="897"/>
      <c r="EZK108" s="897"/>
      <c r="EZL108" s="895"/>
      <c r="EZM108" s="895"/>
      <c r="EZN108" s="896"/>
      <c r="EZO108" s="897"/>
      <c r="EZP108" s="897"/>
      <c r="EZQ108" s="897"/>
      <c r="EZR108" s="897"/>
      <c r="EZS108" s="897"/>
      <c r="EZT108" s="897"/>
      <c r="EZU108" s="897"/>
      <c r="EZV108" s="897"/>
      <c r="EZW108" s="895"/>
      <c r="EZX108" s="895"/>
      <c r="EZY108" s="896"/>
      <c r="EZZ108" s="897"/>
      <c r="FAA108" s="897"/>
      <c r="FAB108" s="897"/>
      <c r="FAC108" s="897"/>
      <c r="FAD108" s="897"/>
      <c r="FAE108" s="897"/>
      <c r="FAF108" s="897"/>
      <c r="FAG108" s="897"/>
      <c r="FAH108" s="895"/>
      <c r="FAI108" s="895"/>
      <c r="FAJ108" s="896"/>
      <c r="FAK108" s="897"/>
      <c r="FAL108" s="897"/>
      <c r="FAM108" s="897"/>
      <c r="FAN108" s="897"/>
      <c r="FAO108" s="897"/>
      <c r="FAP108" s="897"/>
      <c r="FAQ108" s="897"/>
      <c r="FAR108" s="897"/>
      <c r="FAS108" s="895"/>
      <c r="FAT108" s="895"/>
      <c r="FAU108" s="896"/>
      <c r="FAV108" s="897"/>
      <c r="FAW108" s="897"/>
      <c r="FAX108" s="897"/>
      <c r="FAY108" s="897"/>
      <c r="FAZ108" s="897"/>
      <c r="FBA108" s="897"/>
      <c r="FBB108" s="897"/>
      <c r="FBC108" s="897"/>
      <c r="FBD108" s="895"/>
      <c r="FBE108" s="895"/>
      <c r="FBF108" s="896"/>
      <c r="FBG108" s="897"/>
      <c r="FBH108" s="897"/>
      <c r="FBI108" s="897"/>
      <c r="FBJ108" s="897"/>
      <c r="FBK108" s="897"/>
      <c r="FBL108" s="897"/>
      <c r="FBM108" s="897"/>
      <c r="FBN108" s="897"/>
      <c r="FBO108" s="895"/>
      <c r="FBP108" s="895"/>
      <c r="FBQ108" s="896"/>
      <c r="FBR108" s="897"/>
      <c r="FBS108" s="897"/>
      <c r="FBT108" s="897"/>
      <c r="FBU108" s="897"/>
      <c r="FBV108" s="897"/>
      <c r="FBW108" s="897"/>
      <c r="FBX108" s="897"/>
      <c r="FBY108" s="897"/>
      <c r="FBZ108" s="895"/>
      <c r="FCA108" s="895"/>
      <c r="FCB108" s="896"/>
      <c r="FCC108" s="897"/>
      <c r="FCD108" s="897"/>
      <c r="FCE108" s="897"/>
      <c r="FCF108" s="897"/>
      <c r="FCG108" s="897"/>
      <c r="FCH108" s="897"/>
      <c r="FCI108" s="897"/>
      <c r="FCJ108" s="897"/>
      <c r="FCK108" s="895"/>
      <c r="FCL108" s="895"/>
      <c r="FCM108" s="896"/>
      <c r="FCN108" s="897"/>
      <c r="FCO108" s="897"/>
      <c r="FCP108" s="897"/>
      <c r="FCQ108" s="897"/>
      <c r="FCR108" s="897"/>
      <c r="FCS108" s="897"/>
      <c r="FCT108" s="897"/>
      <c r="FCU108" s="897"/>
      <c r="FCV108" s="895"/>
      <c r="FCW108" s="895"/>
      <c r="FCX108" s="896"/>
      <c r="FCY108" s="897"/>
      <c r="FCZ108" s="897"/>
      <c r="FDA108" s="897"/>
      <c r="FDB108" s="897"/>
      <c r="FDC108" s="897"/>
      <c r="FDD108" s="897"/>
      <c r="FDE108" s="897"/>
      <c r="FDF108" s="897"/>
      <c r="FDG108" s="895"/>
      <c r="FDH108" s="895"/>
      <c r="FDI108" s="896"/>
      <c r="FDJ108" s="897"/>
      <c r="FDK108" s="897"/>
      <c r="FDL108" s="897"/>
      <c r="FDM108" s="897"/>
      <c r="FDN108" s="897"/>
      <c r="FDO108" s="897"/>
      <c r="FDP108" s="897"/>
      <c r="FDQ108" s="897"/>
      <c r="FDR108" s="895"/>
      <c r="FDS108" s="895"/>
      <c r="FDT108" s="896"/>
      <c r="FDU108" s="897"/>
      <c r="FDV108" s="897"/>
      <c r="FDW108" s="897"/>
      <c r="FDX108" s="897"/>
      <c r="FDY108" s="897"/>
      <c r="FDZ108" s="897"/>
      <c r="FEA108" s="897"/>
      <c r="FEB108" s="897"/>
      <c r="FEC108" s="895"/>
      <c r="FED108" s="895"/>
      <c r="FEE108" s="896"/>
      <c r="FEF108" s="897"/>
      <c r="FEG108" s="897"/>
      <c r="FEH108" s="897"/>
      <c r="FEI108" s="897"/>
      <c r="FEJ108" s="897"/>
      <c r="FEK108" s="897"/>
      <c r="FEL108" s="897"/>
      <c r="FEM108" s="897"/>
      <c r="FEN108" s="895"/>
      <c r="FEO108" s="895"/>
      <c r="FEP108" s="896"/>
      <c r="FEQ108" s="897"/>
      <c r="FER108" s="897"/>
      <c r="FES108" s="897"/>
      <c r="FET108" s="897"/>
      <c r="FEU108" s="897"/>
      <c r="FEV108" s="897"/>
      <c r="FEW108" s="897"/>
      <c r="FEX108" s="897"/>
      <c r="FEY108" s="895"/>
      <c r="FEZ108" s="895"/>
      <c r="FFA108" s="896"/>
      <c r="FFB108" s="897"/>
      <c r="FFC108" s="897"/>
      <c r="FFD108" s="897"/>
      <c r="FFE108" s="897"/>
      <c r="FFF108" s="897"/>
      <c r="FFG108" s="897"/>
      <c r="FFH108" s="897"/>
      <c r="FFI108" s="897"/>
      <c r="FFJ108" s="895"/>
      <c r="FFK108" s="895"/>
      <c r="FFL108" s="896"/>
      <c r="FFM108" s="897"/>
      <c r="FFN108" s="897"/>
      <c r="FFO108" s="897"/>
      <c r="FFP108" s="897"/>
      <c r="FFQ108" s="897"/>
      <c r="FFR108" s="897"/>
      <c r="FFS108" s="897"/>
      <c r="FFT108" s="897"/>
      <c r="FFU108" s="895"/>
      <c r="FFV108" s="895"/>
      <c r="FFW108" s="896"/>
      <c r="FFX108" s="897"/>
      <c r="FFY108" s="897"/>
      <c r="FFZ108" s="897"/>
      <c r="FGA108" s="897"/>
      <c r="FGB108" s="897"/>
      <c r="FGC108" s="897"/>
      <c r="FGD108" s="897"/>
      <c r="FGE108" s="897"/>
      <c r="FGF108" s="895"/>
      <c r="FGG108" s="895"/>
      <c r="FGH108" s="896"/>
      <c r="FGI108" s="897"/>
      <c r="FGJ108" s="897"/>
      <c r="FGK108" s="897"/>
      <c r="FGL108" s="897"/>
      <c r="FGM108" s="897"/>
      <c r="FGN108" s="897"/>
      <c r="FGO108" s="897"/>
      <c r="FGP108" s="897"/>
      <c r="FGQ108" s="895"/>
      <c r="FGR108" s="895"/>
      <c r="FGS108" s="896"/>
      <c r="FGT108" s="897"/>
      <c r="FGU108" s="897"/>
      <c r="FGV108" s="897"/>
      <c r="FGW108" s="897"/>
      <c r="FGX108" s="897"/>
      <c r="FGY108" s="897"/>
      <c r="FGZ108" s="897"/>
      <c r="FHA108" s="897"/>
      <c r="FHB108" s="895"/>
      <c r="FHC108" s="895"/>
      <c r="FHD108" s="896"/>
      <c r="FHE108" s="897"/>
      <c r="FHF108" s="897"/>
      <c r="FHG108" s="897"/>
      <c r="FHH108" s="897"/>
      <c r="FHI108" s="897"/>
      <c r="FHJ108" s="897"/>
      <c r="FHK108" s="897"/>
      <c r="FHL108" s="897"/>
      <c r="FHM108" s="895"/>
      <c r="FHN108" s="895"/>
      <c r="FHO108" s="896"/>
      <c r="FHP108" s="897"/>
      <c r="FHQ108" s="897"/>
      <c r="FHR108" s="897"/>
      <c r="FHS108" s="897"/>
      <c r="FHT108" s="897"/>
      <c r="FHU108" s="897"/>
      <c r="FHV108" s="897"/>
      <c r="FHW108" s="897"/>
      <c r="FHX108" s="895"/>
      <c r="FHY108" s="895"/>
      <c r="FHZ108" s="896"/>
      <c r="FIA108" s="897"/>
      <c r="FIB108" s="897"/>
      <c r="FIC108" s="897"/>
      <c r="FID108" s="897"/>
      <c r="FIE108" s="897"/>
      <c r="FIF108" s="897"/>
      <c r="FIG108" s="897"/>
      <c r="FIH108" s="897"/>
      <c r="FII108" s="895"/>
      <c r="FIJ108" s="895"/>
      <c r="FIK108" s="896"/>
      <c r="FIL108" s="897"/>
      <c r="FIM108" s="897"/>
      <c r="FIN108" s="897"/>
      <c r="FIO108" s="897"/>
      <c r="FIP108" s="897"/>
      <c r="FIQ108" s="897"/>
      <c r="FIR108" s="897"/>
      <c r="FIS108" s="897"/>
      <c r="FIT108" s="895"/>
      <c r="FIU108" s="895"/>
      <c r="FIV108" s="896"/>
      <c r="FIW108" s="897"/>
      <c r="FIX108" s="897"/>
      <c r="FIY108" s="897"/>
      <c r="FIZ108" s="897"/>
      <c r="FJA108" s="897"/>
      <c r="FJB108" s="897"/>
      <c r="FJC108" s="897"/>
      <c r="FJD108" s="897"/>
      <c r="FJE108" s="895"/>
      <c r="FJF108" s="895"/>
      <c r="FJG108" s="896"/>
      <c r="FJH108" s="897"/>
      <c r="FJI108" s="897"/>
      <c r="FJJ108" s="897"/>
      <c r="FJK108" s="897"/>
      <c r="FJL108" s="897"/>
      <c r="FJM108" s="897"/>
      <c r="FJN108" s="897"/>
      <c r="FJO108" s="897"/>
      <c r="FJP108" s="895"/>
      <c r="FJQ108" s="895"/>
      <c r="FJR108" s="896"/>
      <c r="FJS108" s="897"/>
      <c r="FJT108" s="897"/>
      <c r="FJU108" s="897"/>
      <c r="FJV108" s="897"/>
      <c r="FJW108" s="897"/>
      <c r="FJX108" s="897"/>
      <c r="FJY108" s="897"/>
      <c r="FJZ108" s="897"/>
      <c r="FKA108" s="895"/>
      <c r="FKB108" s="895"/>
      <c r="FKC108" s="896"/>
      <c r="FKD108" s="897"/>
      <c r="FKE108" s="897"/>
      <c r="FKF108" s="897"/>
      <c r="FKG108" s="897"/>
      <c r="FKH108" s="897"/>
      <c r="FKI108" s="897"/>
      <c r="FKJ108" s="897"/>
      <c r="FKK108" s="897"/>
      <c r="FKL108" s="895"/>
      <c r="FKM108" s="895"/>
      <c r="FKN108" s="896"/>
      <c r="FKO108" s="897"/>
      <c r="FKP108" s="897"/>
      <c r="FKQ108" s="897"/>
      <c r="FKR108" s="897"/>
      <c r="FKS108" s="897"/>
      <c r="FKT108" s="897"/>
      <c r="FKU108" s="897"/>
      <c r="FKV108" s="897"/>
      <c r="FKW108" s="895"/>
      <c r="FKX108" s="895"/>
      <c r="FKY108" s="896"/>
      <c r="FKZ108" s="897"/>
      <c r="FLA108" s="897"/>
      <c r="FLB108" s="897"/>
      <c r="FLC108" s="897"/>
      <c r="FLD108" s="897"/>
      <c r="FLE108" s="897"/>
      <c r="FLF108" s="897"/>
      <c r="FLG108" s="897"/>
      <c r="FLH108" s="895"/>
      <c r="FLI108" s="895"/>
      <c r="FLJ108" s="896"/>
      <c r="FLK108" s="897"/>
      <c r="FLL108" s="897"/>
      <c r="FLM108" s="897"/>
      <c r="FLN108" s="897"/>
      <c r="FLO108" s="897"/>
      <c r="FLP108" s="897"/>
      <c r="FLQ108" s="897"/>
      <c r="FLR108" s="897"/>
      <c r="FLS108" s="895"/>
      <c r="FLT108" s="895"/>
      <c r="FLU108" s="896"/>
      <c r="FLV108" s="897"/>
      <c r="FLW108" s="897"/>
      <c r="FLX108" s="897"/>
      <c r="FLY108" s="897"/>
      <c r="FLZ108" s="897"/>
      <c r="FMA108" s="897"/>
      <c r="FMB108" s="897"/>
      <c r="FMC108" s="897"/>
      <c r="FMD108" s="895"/>
      <c r="FME108" s="895"/>
      <c r="FMF108" s="896"/>
      <c r="FMG108" s="897"/>
      <c r="FMH108" s="897"/>
      <c r="FMI108" s="897"/>
      <c r="FMJ108" s="897"/>
      <c r="FMK108" s="897"/>
      <c r="FML108" s="897"/>
      <c r="FMM108" s="897"/>
      <c r="FMN108" s="897"/>
      <c r="FMO108" s="895"/>
      <c r="FMP108" s="895"/>
      <c r="FMQ108" s="896"/>
      <c r="FMR108" s="897"/>
      <c r="FMS108" s="897"/>
      <c r="FMT108" s="897"/>
      <c r="FMU108" s="897"/>
      <c r="FMV108" s="897"/>
      <c r="FMW108" s="897"/>
      <c r="FMX108" s="897"/>
      <c r="FMY108" s="897"/>
      <c r="FMZ108" s="895"/>
      <c r="FNA108" s="895"/>
      <c r="FNB108" s="896"/>
      <c r="FNC108" s="897"/>
      <c r="FND108" s="897"/>
      <c r="FNE108" s="897"/>
      <c r="FNF108" s="897"/>
      <c r="FNG108" s="897"/>
      <c r="FNH108" s="897"/>
      <c r="FNI108" s="897"/>
      <c r="FNJ108" s="897"/>
      <c r="FNK108" s="895"/>
      <c r="FNL108" s="895"/>
      <c r="FNM108" s="896"/>
      <c r="FNN108" s="897"/>
      <c r="FNO108" s="897"/>
      <c r="FNP108" s="897"/>
      <c r="FNQ108" s="897"/>
      <c r="FNR108" s="897"/>
      <c r="FNS108" s="897"/>
      <c r="FNT108" s="897"/>
      <c r="FNU108" s="897"/>
      <c r="FNV108" s="895"/>
      <c r="FNW108" s="895"/>
      <c r="FNX108" s="896"/>
      <c r="FNY108" s="897"/>
      <c r="FNZ108" s="897"/>
      <c r="FOA108" s="897"/>
      <c r="FOB108" s="897"/>
      <c r="FOC108" s="897"/>
      <c r="FOD108" s="897"/>
      <c r="FOE108" s="897"/>
      <c r="FOF108" s="897"/>
      <c r="FOG108" s="895"/>
      <c r="FOH108" s="895"/>
      <c r="FOI108" s="896"/>
      <c r="FOJ108" s="897"/>
      <c r="FOK108" s="897"/>
      <c r="FOL108" s="897"/>
      <c r="FOM108" s="897"/>
      <c r="FON108" s="897"/>
      <c r="FOO108" s="897"/>
      <c r="FOP108" s="897"/>
      <c r="FOQ108" s="897"/>
      <c r="FOR108" s="895"/>
      <c r="FOS108" s="895"/>
      <c r="FOT108" s="896"/>
      <c r="FOU108" s="897"/>
      <c r="FOV108" s="897"/>
      <c r="FOW108" s="897"/>
      <c r="FOX108" s="897"/>
      <c r="FOY108" s="897"/>
      <c r="FOZ108" s="897"/>
      <c r="FPA108" s="897"/>
      <c r="FPB108" s="897"/>
      <c r="FPC108" s="895"/>
      <c r="FPD108" s="895"/>
      <c r="FPE108" s="896"/>
      <c r="FPF108" s="897"/>
      <c r="FPG108" s="897"/>
      <c r="FPH108" s="897"/>
      <c r="FPI108" s="897"/>
      <c r="FPJ108" s="897"/>
      <c r="FPK108" s="897"/>
      <c r="FPL108" s="897"/>
      <c r="FPM108" s="897"/>
      <c r="FPN108" s="895"/>
      <c r="FPO108" s="895"/>
      <c r="FPP108" s="896"/>
      <c r="FPQ108" s="897"/>
      <c r="FPR108" s="897"/>
      <c r="FPS108" s="897"/>
      <c r="FPT108" s="897"/>
      <c r="FPU108" s="897"/>
      <c r="FPV108" s="897"/>
      <c r="FPW108" s="897"/>
      <c r="FPX108" s="897"/>
      <c r="FPY108" s="895"/>
      <c r="FPZ108" s="895"/>
      <c r="FQA108" s="896"/>
      <c r="FQB108" s="897"/>
      <c r="FQC108" s="897"/>
      <c r="FQD108" s="897"/>
      <c r="FQE108" s="897"/>
      <c r="FQF108" s="897"/>
      <c r="FQG108" s="897"/>
      <c r="FQH108" s="897"/>
      <c r="FQI108" s="897"/>
      <c r="FQJ108" s="895"/>
      <c r="FQK108" s="895"/>
      <c r="FQL108" s="896"/>
      <c r="FQM108" s="897"/>
      <c r="FQN108" s="897"/>
      <c r="FQO108" s="897"/>
      <c r="FQP108" s="897"/>
      <c r="FQQ108" s="897"/>
      <c r="FQR108" s="897"/>
      <c r="FQS108" s="897"/>
      <c r="FQT108" s="897"/>
      <c r="FQU108" s="895"/>
      <c r="FQV108" s="895"/>
      <c r="FQW108" s="896"/>
      <c r="FQX108" s="897"/>
      <c r="FQY108" s="897"/>
      <c r="FQZ108" s="897"/>
      <c r="FRA108" s="897"/>
      <c r="FRB108" s="897"/>
      <c r="FRC108" s="897"/>
      <c r="FRD108" s="897"/>
      <c r="FRE108" s="897"/>
      <c r="FRF108" s="895"/>
      <c r="FRG108" s="895"/>
      <c r="FRH108" s="896"/>
      <c r="FRI108" s="897"/>
      <c r="FRJ108" s="897"/>
      <c r="FRK108" s="897"/>
      <c r="FRL108" s="897"/>
      <c r="FRM108" s="897"/>
      <c r="FRN108" s="897"/>
      <c r="FRO108" s="897"/>
      <c r="FRP108" s="897"/>
      <c r="FRQ108" s="895"/>
      <c r="FRR108" s="895"/>
      <c r="FRS108" s="896"/>
      <c r="FRT108" s="897"/>
      <c r="FRU108" s="897"/>
      <c r="FRV108" s="897"/>
      <c r="FRW108" s="897"/>
      <c r="FRX108" s="897"/>
      <c r="FRY108" s="897"/>
      <c r="FRZ108" s="897"/>
      <c r="FSA108" s="897"/>
      <c r="FSB108" s="895"/>
      <c r="FSC108" s="895"/>
      <c r="FSD108" s="896"/>
      <c r="FSE108" s="897"/>
      <c r="FSF108" s="897"/>
      <c r="FSG108" s="897"/>
      <c r="FSH108" s="897"/>
      <c r="FSI108" s="897"/>
      <c r="FSJ108" s="897"/>
      <c r="FSK108" s="897"/>
      <c r="FSL108" s="897"/>
      <c r="FSM108" s="895"/>
      <c r="FSN108" s="895"/>
      <c r="FSO108" s="896"/>
      <c r="FSP108" s="897"/>
      <c r="FSQ108" s="897"/>
      <c r="FSR108" s="897"/>
      <c r="FSS108" s="897"/>
      <c r="FST108" s="897"/>
      <c r="FSU108" s="897"/>
      <c r="FSV108" s="897"/>
      <c r="FSW108" s="897"/>
      <c r="FSX108" s="895"/>
      <c r="FSY108" s="895"/>
      <c r="FSZ108" s="896"/>
      <c r="FTA108" s="897"/>
      <c r="FTB108" s="897"/>
      <c r="FTC108" s="897"/>
      <c r="FTD108" s="897"/>
      <c r="FTE108" s="897"/>
      <c r="FTF108" s="897"/>
      <c r="FTG108" s="897"/>
      <c r="FTH108" s="897"/>
      <c r="FTI108" s="895"/>
      <c r="FTJ108" s="895"/>
      <c r="FTK108" s="896"/>
      <c r="FTL108" s="897"/>
      <c r="FTM108" s="897"/>
      <c r="FTN108" s="897"/>
      <c r="FTO108" s="897"/>
      <c r="FTP108" s="897"/>
      <c r="FTQ108" s="897"/>
      <c r="FTR108" s="897"/>
      <c r="FTS108" s="897"/>
      <c r="FTT108" s="895"/>
      <c r="FTU108" s="895"/>
      <c r="FTV108" s="896"/>
      <c r="FTW108" s="897"/>
      <c r="FTX108" s="897"/>
      <c r="FTY108" s="897"/>
      <c r="FTZ108" s="897"/>
      <c r="FUA108" s="897"/>
      <c r="FUB108" s="897"/>
      <c r="FUC108" s="897"/>
      <c r="FUD108" s="897"/>
      <c r="FUE108" s="895"/>
      <c r="FUF108" s="895"/>
      <c r="FUG108" s="896"/>
      <c r="FUH108" s="897"/>
      <c r="FUI108" s="897"/>
      <c r="FUJ108" s="897"/>
      <c r="FUK108" s="897"/>
      <c r="FUL108" s="897"/>
      <c r="FUM108" s="897"/>
      <c r="FUN108" s="897"/>
      <c r="FUO108" s="897"/>
      <c r="FUP108" s="895"/>
      <c r="FUQ108" s="895"/>
      <c r="FUR108" s="896"/>
      <c r="FUS108" s="897"/>
      <c r="FUT108" s="897"/>
      <c r="FUU108" s="897"/>
      <c r="FUV108" s="897"/>
      <c r="FUW108" s="897"/>
      <c r="FUX108" s="897"/>
      <c r="FUY108" s="897"/>
      <c r="FUZ108" s="897"/>
      <c r="FVA108" s="895"/>
      <c r="FVB108" s="895"/>
      <c r="FVC108" s="896"/>
      <c r="FVD108" s="897"/>
      <c r="FVE108" s="897"/>
      <c r="FVF108" s="897"/>
      <c r="FVG108" s="897"/>
      <c r="FVH108" s="897"/>
      <c r="FVI108" s="897"/>
      <c r="FVJ108" s="897"/>
      <c r="FVK108" s="897"/>
      <c r="FVL108" s="895"/>
      <c r="FVM108" s="895"/>
      <c r="FVN108" s="896"/>
      <c r="FVO108" s="897"/>
      <c r="FVP108" s="897"/>
      <c r="FVQ108" s="897"/>
      <c r="FVR108" s="897"/>
      <c r="FVS108" s="897"/>
      <c r="FVT108" s="897"/>
      <c r="FVU108" s="897"/>
      <c r="FVV108" s="897"/>
      <c r="FVW108" s="895"/>
      <c r="FVX108" s="895"/>
      <c r="FVY108" s="896"/>
      <c r="FVZ108" s="897"/>
      <c r="FWA108" s="897"/>
      <c r="FWB108" s="897"/>
      <c r="FWC108" s="897"/>
      <c r="FWD108" s="897"/>
      <c r="FWE108" s="897"/>
      <c r="FWF108" s="897"/>
      <c r="FWG108" s="897"/>
      <c r="FWH108" s="895"/>
      <c r="FWI108" s="895"/>
      <c r="FWJ108" s="896"/>
      <c r="FWK108" s="897"/>
      <c r="FWL108" s="897"/>
      <c r="FWM108" s="897"/>
      <c r="FWN108" s="897"/>
      <c r="FWO108" s="897"/>
      <c r="FWP108" s="897"/>
      <c r="FWQ108" s="897"/>
      <c r="FWR108" s="897"/>
      <c r="FWS108" s="895"/>
      <c r="FWT108" s="895"/>
      <c r="FWU108" s="896"/>
      <c r="FWV108" s="897"/>
      <c r="FWW108" s="897"/>
      <c r="FWX108" s="897"/>
      <c r="FWY108" s="897"/>
      <c r="FWZ108" s="897"/>
      <c r="FXA108" s="897"/>
      <c r="FXB108" s="897"/>
      <c r="FXC108" s="897"/>
      <c r="FXD108" s="895"/>
      <c r="FXE108" s="895"/>
      <c r="FXF108" s="896"/>
      <c r="FXG108" s="897"/>
      <c r="FXH108" s="897"/>
      <c r="FXI108" s="897"/>
      <c r="FXJ108" s="897"/>
      <c r="FXK108" s="897"/>
      <c r="FXL108" s="897"/>
      <c r="FXM108" s="897"/>
      <c r="FXN108" s="897"/>
      <c r="FXO108" s="895"/>
      <c r="FXP108" s="895"/>
      <c r="FXQ108" s="896"/>
      <c r="FXR108" s="897"/>
      <c r="FXS108" s="897"/>
      <c r="FXT108" s="897"/>
      <c r="FXU108" s="897"/>
      <c r="FXV108" s="897"/>
      <c r="FXW108" s="897"/>
      <c r="FXX108" s="897"/>
      <c r="FXY108" s="897"/>
      <c r="FXZ108" s="895"/>
      <c r="FYA108" s="895"/>
      <c r="FYB108" s="896"/>
      <c r="FYC108" s="897"/>
      <c r="FYD108" s="897"/>
      <c r="FYE108" s="897"/>
      <c r="FYF108" s="897"/>
      <c r="FYG108" s="897"/>
      <c r="FYH108" s="897"/>
      <c r="FYI108" s="897"/>
      <c r="FYJ108" s="897"/>
      <c r="FYK108" s="895"/>
      <c r="FYL108" s="895"/>
      <c r="FYM108" s="896"/>
      <c r="FYN108" s="897"/>
      <c r="FYO108" s="897"/>
      <c r="FYP108" s="897"/>
      <c r="FYQ108" s="897"/>
      <c r="FYR108" s="897"/>
      <c r="FYS108" s="897"/>
      <c r="FYT108" s="897"/>
      <c r="FYU108" s="897"/>
      <c r="FYV108" s="895"/>
      <c r="FYW108" s="895"/>
      <c r="FYX108" s="896"/>
      <c r="FYY108" s="897"/>
      <c r="FYZ108" s="897"/>
      <c r="FZA108" s="897"/>
      <c r="FZB108" s="897"/>
      <c r="FZC108" s="897"/>
      <c r="FZD108" s="897"/>
      <c r="FZE108" s="897"/>
      <c r="FZF108" s="897"/>
      <c r="FZG108" s="895"/>
      <c r="FZH108" s="895"/>
      <c r="FZI108" s="896"/>
      <c r="FZJ108" s="897"/>
      <c r="FZK108" s="897"/>
      <c r="FZL108" s="897"/>
      <c r="FZM108" s="897"/>
      <c r="FZN108" s="897"/>
      <c r="FZO108" s="897"/>
      <c r="FZP108" s="897"/>
      <c r="FZQ108" s="897"/>
      <c r="FZR108" s="895"/>
      <c r="FZS108" s="895"/>
      <c r="FZT108" s="896"/>
      <c r="FZU108" s="897"/>
      <c r="FZV108" s="897"/>
      <c r="FZW108" s="897"/>
      <c r="FZX108" s="897"/>
      <c r="FZY108" s="897"/>
      <c r="FZZ108" s="897"/>
      <c r="GAA108" s="897"/>
      <c r="GAB108" s="897"/>
      <c r="GAC108" s="895"/>
      <c r="GAD108" s="895"/>
      <c r="GAE108" s="896"/>
      <c r="GAF108" s="897"/>
      <c r="GAG108" s="897"/>
      <c r="GAH108" s="897"/>
      <c r="GAI108" s="897"/>
      <c r="GAJ108" s="897"/>
      <c r="GAK108" s="897"/>
      <c r="GAL108" s="897"/>
      <c r="GAM108" s="897"/>
      <c r="GAN108" s="895"/>
      <c r="GAO108" s="895"/>
      <c r="GAP108" s="896"/>
      <c r="GAQ108" s="897"/>
      <c r="GAR108" s="897"/>
      <c r="GAS108" s="897"/>
      <c r="GAT108" s="897"/>
      <c r="GAU108" s="897"/>
      <c r="GAV108" s="897"/>
      <c r="GAW108" s="897"/>
      <c r="GAX108" s="897"/>
      <c r="GAY108" s="895"/>
      <c r="GAZ108" s="895"/>
      <c r="GBA108" s="896"/>
      <c r="GBB108" s="897"/>
      <c r="GBC108" s="897"/>
      <c r="GBD108" s="897"/>
      <c r="GBE108" s="897"/>
      <c r="GBF108" s="897"/>
      <c r="GBG108" s="897"/>
      <c r="GBH108" s="897"/>
      <c r="GBI108" s="897"/>
      <c r="GBJ108" s="895"/>
      <c r="GBK108" s="895"/>
      <c r="GBL108" s="896"/>
      <c r="GBM108" s="897"/>
      <c r="GBN108" s="897"/>
      <c r="GBO108" s="897"/>
      <c r="GBP108" s="897"/>
      <c r="GBQ108" s="897"/>
      <c r="GBR108" s="897"/>
      <c r="GBS108" s="897"/>
      <c r="GBT108" s="897"/>
      <c r="GBU108" s="895"/>
      <c r="GBV108" s="895"/>
      <c r="GBW108" s="896"/>
      <c r="GBX108" s="897"/>
      <c r="GBY108" s="897"/>
      <c r="GBZ108" s="897"/>
      <c r="GCA108" s="897"/>
      <c r="GCB108" s="897"/>
      <c r="GCC108" s="897"/>
      <c r="GCD108" s="897"/>
      <c r="GCE108" s="897"/>
      <c r="GCF108" s="895"/>
      <c r="GCG108" s="895"/>
      <c r="GCH108" s="896"/>
      <c r="GCI108" s="897"/>
      <c r="GCJ108" s="897"/>
      <c r="GCK108" s="897"/>
      <c r="GCL108" s="897"/>
      <c r="GCM108" s="897"/>
      <c r="GCN108" s="897"/>
      <c r="GCO108" s="897"/>
      <c r="GCP108" s="897"/>
      <c r="GCQ108" s="895"/>
      <c r="GCR108" s="895"/>
      <c r="GCS108" s="896"/>
      <c r="GCT108" s="897"/>
      <c r="GCU108" s="897"/>
      <c r="GCV108" s="897"/>
      <c r="GCW108" s="897"/>
      <c r="GCX108" s="897"/>
      <c r="GCY108" s="897"/>
      <c r="GCZ108" s="897"/>
      <c r="GDA108" s="897"/>
      <c r="GDB108" s="895"/>
      <c r="GDC108" s="895"/>
      <c r="GDD108" s="896"/>
      <c r="GDE108" s="897"/>
      <c r="GDF108" s="897"/>
      <c r="GDG108" s="897"/>
      <c r="GDH108" s="897"/>
      <c r="GDI108" s="897"/>
      <c r="GDJ108" s="897"/>
      <c r="GDK108" s="897"/>
      <c r="GDL108" s="897"/>
      <c r="GDM108" s="895"/>
      <c r="GDN108" s="895"/>
      <c r="GDO108" s="896"/>
      <c r="GDP108" s="897"/>
      <c r="GDQ108" s="897"/>
      <c r="GDR108" s="897"/>
      <c r="GDS108" s="897"/>
      <c r="GDT108" s="897"/>
      <c r="GDU108" s="897"/>
      <c r="GDV108" s="897"/>
      <c r="GDW108" s="897"/>
      <c r="GDX108" s="895"/>
      <c r="GDY108" s="895"/>
      <c r="GDZ108" s="896"/>
      <c r="GEA108" s="897"/>
      <c r="GEB108" s="897"/>
      <c r="GEC108" s="897"/>
      <c r="GED108" s="897"/>
      <c r="GEE108" s="897"/>
      <c r="GEF108" s="897"/>
      <c r="GEG108" s="897"/>
      <c r="GEH108" s="897"/>
      <c r="GEI108" s="895"/>
      <c r="GEJ108" s="895"/>
      <c r="GEK108" s="896"/>
      <c r="GEL108" s="897"/>
      <c r="GEM108" s="897"/>
      <c r="GEN108" s="897"/>
      <c r="GEO108" s="897"/>
      <c r="GEP108" s="897"/>
      <c r="GEQ108" s="897"/>
      <c r="GER108" s="897"/>
      <c r="GES108" s="897"/>
      <c r="GET108" s="895"/>
      <c r="GEU108" s="895"/>
      <c r="GEV108" s="896"/>
      <c r="GEW108" s="897"/>
      <c r="GEX108" s="897"/>
      <c r="GEY108" s="897"/>
      <c r="GEZ108" s="897"/>
      <c r="GFA108" s="897"/>
      <c r="GFB108" s="897"/>
      <c r="GFC108" s="897"/>
      <c r="GFD108" s="897"/>
      <c r="GFE108" s="895"/>
      <c r="GFF108" s="895"/>
      <c r="GFG108" s="896"/>
      <c r="GFH108" s="897"/>
      <c r="GFI108" s="897"/>
      <c r="GFJ108" s="897"/>
      <c r="GFK108" s="897"/>
      <c r="GFL108" s="897"/>
      <c r="GFM108" s="897"/>
      <c r="GFN108" s="897"/>
      <c r="GFO108" s="897"/>
      <c r="GFP108" s="895"/>
      <c r="GFQ108" s="895"/>
      <c r="GFR108" s="896"/>
      <c r="GFS108" s="897"/>
      <c r="GFT108" s="897"/>
      <c r="GFU108" s="897"/>
      <c r="GFV108" s="897"/>
      <c r="GFW108" s="897"/>
      <c r="GFX108" s="897"/>
      <c r="GFY108" s="897"/>
      <c r="GFZ108" s="897"/>
      <c r="GGA108" s="895"/>
      <c r="GGB108" s="895"/>
      <c r="GGC108" s="896"/>
      <c r="GGD108" s="897"/>
      <c r="GGE108" s="897"/>
      <c r="GGF108" s="897"/>
      <c r="GGG108" s="897"/>
      <c r="GGH108" s="897"/>
      <c r="GGI108" s="897"/>
      <c r="GGJ108" s="897"/>
      <c r="GGK108" s="897"/>
      <c r="GGL108" s="895"/>
      <c r="GGM108" s="895"/>
      <c r="GGN108" s="896"/>
      <c r="GGO108" s="897"/>
      <c r="GGP108" s="897"/>
      <c r="GGQ108" s="897"/>
      <c r="GGR108" s="897"/>
      <c r="GGS108" s="897"/>
      <c r="GGT108" s="897"/>
      <c r="GGU108" s="897"/>
      <c r="GGV108" s="897"/>
      <c r="GGW108" s="895"/>
      <c r="GGX108" s="895"/>
      <c r="GGY108" s="896"/>
      <c r="GGZ108" s="897"/>
      <c r="GHA108" s="897"/>
      <c r="GHB108" s="897"/>
      <c r="GHC108" s="897"/>
      <c r="GHD108" s="897"/>
      <c r="GHE108" s="897"/>
      <c r="GHF108" s="897"/>
      <c r="GHG108" s="897"/>
      <c r="GHH108" s="895"/>
      <c r="GHI108" s="895"/>
      <c r="GHJ108" s="896"/>
      <c r="GHK108" s="897"/>
      <c r="GHL108" s="897"/>
      <c r="GHM108" s="897"/>
      <c r="GHN108" s="897"/>
      <c r="GHO108" s="897"/>
      <c r="GHP108" s="897"/>
      <c r="GHQ108" s="897"/>
      <c r="GHR108" s="897"/>
      <c r="GHS108" s="895"/>
      <c r="GHT108" s="895"/>
      <c r="GHU108" s="896"/>
      <c r="GHV108" s="897"/>
      <c r="GHW108" s="897"/>
      <c r="GHX108" s="897"/>
      <c r="GHY108" s="897"/>
      <c r="GHZ108" s="897"/>
      <c r="GIA108" s="897"/>
      <c r="GIB108" s="897"/>
      <c r="GIC108" s="897"/>
      <c r="GID108" s="895"/>
      <c r="GIE108" s="895"/>
      <c r="GIF108" s="896"/>
      <c r="GIG108" s="897"/>
      <c r="GIH108" s="897"/>
      <c r="GII108" s="897"/>
      <c r="GIJ108" s="897"/>
      <c r="GIK108" s="897"/>
      <c r="GIL108" s="897"/>
      <c r="GIM108" s="897"/>
      <c r="GIN108" s="897"/>
      <c r="GIO108" s="895"/>
      <c r="GIP108" s="895"/>
      <c r="GIQ108" s="896"/>
      <c r="GIR108" s="897"/>
      <c r="GIS108" s="897"/>
      <c r="GIT108" s="897"/>
      <c r="GIU108" s="897"/>
      <c r="GIV108" s="897"/>
      <c r="GIW108" s="897"/>
      <c r="GIX108" s="897"/>
      <c r="GIY108" s="897"/>
      <c r="GIZ108" s="895"/>
      <c r="GJA108" s="895"/>
      <c r="GJB108" s="896"/>
      <c r="GJC108" s="897"/>
      <c r="GJD108" s="897"/>
      <c r="GJE108" s="897"/>
      <c r="GJF108" s="897"/>
      <c r="GJG108" s="897"/>
      <c r="GJH108" s="897"/>
      <c r="GJI108" s="897"/>
      <c r="GJJ108" s="897"/>
      <c r="GJK108" s="895"/>
      <c r="GJL108" s="895"/>
      <c r="GJM108" s="896"/>
      <c r="GJN108" s="897"/>
      <c r="GJO108" s="897"/>
      <c r="GJP108" s="897"/>
      <c r="GJQ108" s="897"/>
      <c r="GJR108" s="897"/>
      <c r="GJS108" s="897"/>
      <c r="GJT108" s="897"/>
      <c r="GJU108" s="897"/>
      <c r="GJV108" s="895"/>
      <c r="GJW108" s="895"/>
      <c r="GJX108" s="896"/>
      <c r="GJY108" s="897"/>
      <c r="GJZ108" s="897"/>
      <c r="GKA108" s="897"/>
      <c r="GKB108" s="897"/>
      <c r="GKC108" s="897"/>
      <c r="GKD108" s="897"/>
      <c r="GKE108" s="897"/>
      <c r="GKF108" s="897"/>
      <c r="GKG108" s="895"/>
      <c r="GKH108" s="895"/>
      <c r="GKI108" s="896"/>
      <c r="GKJ108" s="897"/>
      <c r="GKK108" s="897"/>
      <c r="GKL108" s="897"/>
      <c r="GKM108" s="897"/>
      <c r="GKN108" s="897"/>
      <c r="GKO108" s="897"/>
      <c r="GKP108" s="897"/>
      <c r="GKQ108" s="897"/>
      <c r="GKR108" s="895"/>
      <c r="GKS108" s="895"/>
      <c r="GKT108" s="896"/>
      <c r="GKU108" s="897"/>
      <c r="GKV108" s="897"/>
      <c r="GKW108" s="897"/>
      <c r="GKX108" s="897"/>
      <c r="GKY108" s="897"/>
      <c r="GKZ108" s="897"/>
      <c r="GLA108" s="897"/>
      <c r="GLB108" s="897"/>
      <c r="GLC108" s="895"/>
      <c r="GLD108" s="895"/>
      <c r="GLE108" s="896"/>
      <c r="GLF108" s="897"/>
      <c r="GLG108" s="897"/>
      <c r="GLH108" s="897"/>
      <c r="GLI108" s="897"/>
      <c r="GLJ108" s="897"/>
      <c r="GLK108" s="897"/>
      <c r="GLL108" s="897"/>
      <c r="GLM108" s="897"/>
      <c r="GLN108" s="895"/>
      <c r="GLO108" s="895"/>
      <c r="GLP108" s="896"/>
      <c r="GLQ108" s="897"/>
      <c r="GLR108" s="897"/>
      <c r="GLS108" s="897"/>
      <c r="GLT108" s="897"/>
      <c r="GLU108" s="897"/>
      <c r="GLV108" s="897"/>
      <c r="GLW108" s="897"/>
      <c r="GLX108" s="897"/>
      <c r="GLY108" s="895"/>
      <c r="GLZ108" s="895"/>
      <c r="GMA108" s="896"/>
      <c r="GMB108" s="897"/>
      <c r="GMC108" s="897"/>
      <c r="GMD108" s="897"/>
      <c r="GME108" s="897"/>
      <c r="GMF108" s="897"/>
      <c r="GMG108" s="897"/>
      <c r="GMH108" s="897"/>
      <c r="GMI108" s="897"/>
      <c r="GMJ108" s="895"/>
      <c r="GMK108" s="895"/>
      <c r="GML108" s="896"/>
      <c r="GMM108" s="897"/>
      <c r="GMN108" s="897"/>
      <c r="GMO108" s="897"/>
      <c r="GMP108" s="897"/>
      <c r="GMQ108" s="897"/>
      <c r="GMR108" s="897"/>
      <c r="GMS108" s="897"/>
      <c r="GMT108" s="897"/>
      <c r="GMU108" s="895"/>
      <c r="GMV108" s="895"/>
      <c r="GMW108" s="896"/>
      <c r="GMX108" s="897"/>
      <c r="GMY108" s="897"/>
      <c r="GMZ108" s="897"/>
      <c r="GNA108" s="897"/>
      <c r="GNB108" s="897"/>
      <c r="GNC108" s="897"/>
      <c r="GND108" s="897"/>
      <c r="GNE108" s="897"/>
      <c r="GNF108" s="895"/>
      <c r="GNG108" s="895"/>
      <c r="GNH108" s="896"/>
      <c r="GNI108" s="897"/>
      <c r="GNJ108" s="897"/>
      <c r="GNK108" s="897"/>
      <c r="GNL108" s="897"/>
      <c r="GNM108" s="897"/>
      <c r="GNN108" s="897"/>
      <c r="GNO108" s="897"/>
      <c r="GNP108" s="897"/>
      <c r="GNQ108" s="895"/>
      <c r="GNR108" s="895"/>
      <c r="GNS108" s="896"/>
      <c r="GNT108" s="897"/>
      <c r="GNU108" s="897"/>
      <c r="GNV108" s="897"/>
      <c r="GNW108" s="897"/>
      <c r="GNX108" s="897"/>
      <c r="GNY108" s="897"/>
      <c r="GNZ108" s="897"/>
      <c r="GOA108" s="897"/>
      <c r="GOB108" s="895"/>
      <c r="GOC108" s="895"/>
      <c r="GOD108" s="896"/>
      <c r="GOE108" s="897"/>
      <c r="GOF108" s="897"/>
      <c r="GOG108" s="897"/>
      <c r="GOH108" s="897"/>
      <c r="GOI108" s="897"/>
      <c r="GOJ108" s="897"/>
      <c r="GOK108" s="897"/>
      <c r="GOL108" s="897"/>
      <c r="GOM108" s="895"/>
      <c r="GON108" s="895"/>
      <c r="GOO108" s="896"/>
      <c r="GOP108" s="897"/>
      <c r="GOQ108" s="897"/>
      <c r="GOR108" s="897"/>
      <c r="GOS108" s="897"/>
      <c r="GOT108" s="897"/>
      <c r="GOU108" s="897"/>
      <c r="GOV108" s="897"/>
      <c r="GOW108" s="897"/>
      <c r="GOX108" s="895"/>
      <c r="GOY108" s="895"/>
      <c r="GOZ108" s="896"/>
      <c r="GPA108" s="897"/>
      <c r="GPB108" s="897"/>
      <c r="GPC108" s="897"/>
      <c r="GPD108" s="897"/>
      <c r="GPE108" s="897"/>
      <c r="GPF108" s="897"/>
      <c r="GPG108" s="897"/>
      <c r="GPH108" s="897"/>
      <c r="GPI108" s="895"/>
      <c r="GPJ108" s="895"/>
      <c r="GPK108" s="896"/>
      <c r="GPL108" s="897"/>
      <c r="GPM108" s="897"/>
      <c r="GPN108" s="897"/>
      <c r="GPO108" s="897"/>
      <c r="GPP108" s="897"/>
      <c r="GPQ108" s="897"/>
      <c r="GPR108" s="897"/>
      <c r="GPS108" s="897"/>
      <c r="GPT108" s="895"/>
      <c r="GPU108" s="895"/>
      <c r="GPV108" s="896"/>
      <c r="GPW108" s="897"/>
      <c r="GPX108" s="897"/>
      <c r="GPY108" s="897"/>
      <c r="GPZ108" s="897"/>
      <c r="GQA108" s="897"/>
      <c r="GQB108" s="897"/>
      <c r="GQC108" s="897"/>
      <c r="GQD108" s="897"/>
      <c r="GQE108" s="895"/>
      <c r="GQF108" s="895"/>
      <c r="GQG108" s="896"/>
      <c r="GQH108" s="897"/>
      <c r="GQI108" s="897"/>
      <c r="GQJ108" s="897"/>
      <c r="GQK108" s="897"/>
      <c r="GQL108" s="897"/>
      <c r="GQM108" s="897"/>
      <c r="GQN108" s="897"/>
      <c r="GQO108" s="897"/>
      <c r="GQP108" s="895"/>
      <c r="GQQ108" s="895"/>
      <c r="GQR108" s="896"/>
      <c r="GQS108" s="897"/>
      <c r="GQT108" s="897"/>
      <c r="GQU108" s="897"/>
      <c r="GQV108" s="897"/>
      <c r="GQW108" s="897"/>
      <c r="GQX108" s="897"/>
      <c r="GQY108" s="897"/>
      <c r="GQZ108" s="897"/>
      <c r="GRA108" s="895"/>
      <c r="GRB108" s="895"/>
      <c r="GRC108" s="896"/>
      <c r="GRD108" s="897"/>
      <c r="GRE108" s="897"/>
      <c r="GRF108" s="897"/>
      <c r="GRG108" s="897"/>
      <c r="GRH108" s="897"/>
      <c r="GRI108" s="897"/>
      <c r="GRJ108" s="897"/>
      <c r="GRK108" s="897"/>
      <c r="GRL108" s="895"/>
      <c r="GRM108" s="895"/>
      <c r="GRN108" s="896"/>
      <c r="GRO108" s="897"/>
      <c r="GRP108" s="897"/>
      <c r="GRQ108" s="897"/>
      <c r="GRR108" s="897"/>
      <c r="GRS108" s="897"/>
      <c r="GRT108" s="897"/>
      <c r="GRU108" s="897"/>
      <c r="GRV108" s="897"/>
      <c r="GRW108" s="895"/>
      <c r="GRX108" s="895"/>
      <c r="GRY108" s="896"/>
      <c r="GRZ108" s="897"/>
      <c r="GSA108" s="897"/>
      <c r="GSB108" s="897"/>
      <c r="GSC108" s="897"/>
      <c r="GSD108" s="897"/>
      <c r="GSE108" s="897"/>
      <c r="GSF108" s="897"/>
      <c r="GSG108" s="897"/>
      <c r="GSH108" s="895"/>
      <c r="GSI108" s="895"/>
      <c r="GSJ108" s="896"/>
      <c r="GSK108" s="897"/>
      <c r="GSL108" s="897"/>
      <c r="GSM108" s="897"/>
      <c r="GSN108" s="897"/>
      <c r="GSO108" s="897"/>
      <c r="GSP108" s="897"/>
      <c r="GSQ108" s="897"/>
      <c r="GSR108" s="897"/>
      <c r="GSS108" s="895"/>
      <c r="GST108" s="895"/>
      <c r="GSU108" s="896"/>
      <c r="GSV108" s="897"/>
      <c r="GSW108" s="897"/>
      <c r="GSX108" s="897"/>
      <c r="GSY108" s="897"/>
      <c r="GSZ108" s="897"/>
      <c r="GTA108" s="897"/>
      <c r="GTB108" s="897"/>
      <c r="GTC108" s="897"/>
      <c r="GTD108" s="895"/>
      <c r="GTE108" s="895"/>
      <c r="GTF108" s="896"/>
      <c r="GTG108" s="897"/>
      <c r="GTH108" s="897"/>
      <c r="GTI108" s="897"/>
      <c r="GTJ108" s="897"/>
      <c r="GTK108" s="897"/>
      <c r="GTL108" s="897"/>
      <c r="GTM108" s="897"/>
      <c r="GTN108" s="897"/>
      <c r="GTO108" s="895"/>
      <c r="GTP108" s="895"/>
      <c r="GTQ108" s="896"/>
      <c r="GTR108" s="897"/>
      <c r="GTS108" s="897"/>
      <c r="GTT108" s="897"/>
      <c r="GTU108" s="897"/>
      <c r="GTV108" s="897"/>
      <c r="GTW108" s="897"/>
      <c r="GTX108" s="897"/>
      <c r="GTY108" s="897"/>
      <c r="GTZ108" s="895"/>
      <c r="GUA108" s="895"/>
      <c r="GUB108" s="896"/>
      <c r="GUC108" s="897"/>
      <c r="GUD108" s="897"/>
      <c r="GUE108" s="897"/>
      <c r="GUF108" s="897"/>
      <c r="GUG108" s="897"/>
      <c r="GUH108" s="897"/>
      <c r="GUI108" s="897"/>
      <c r="GUJ108" s="897"/>
      <c r="GUK108" s="895"/>
      <c r="GUL108" s="895"/>
      <c r="GUM108" s="896"/>
      <c r="GUN108" s="897"/>
      <c r="GUO108" s="897"/>
      <c r="GUP108" s="897"/>
      <c r="GUQ108" s="897"/>
      <c r="GUR108" s="897"/>
      <c r="GUS108" s="897"/>
      <c r="GUT108" s="897"/>
      <c r="GUU108" s="897"/>
      <c r="GUV108" s="895"/>
      <c r="GUW108" s="895"/>
      <c r="GUX108" s="896"/>
      <c r="GUY108" s="897"/>
      <c r="GUZ108" s="897"/>
      <c r="GVA108" s="897"/>
      <c r="GVB108" s="897"/>
      <c r="GVC108" s="897"/>
      <c r="GVD108" s="897"/>
      <c r="GVE108" s="897"/>
      <c r="GVF108" s="897"/>
      <c r="GVG108" s="895"/>
      <c r="GVH108" s="895"/>
      <c r="GVI108" s="896"/>
      <c r="GVJ108" s="897"/>
      <c r="GVK108" s="897"/>
      <c r="GVL108" s="897"/>
      <c r="GVM108" s="897"/>
      <c r="GVN108" s="897"/>
      <c r="GVO108" s="897"/>
      <c r="GVP108" s="897"/>
      <c r="GVQ108" s="897"/>
      <c r="GVR108" s="895"/>
      <c r="GVS108" s="895"/>
      <c r="GVT108" s="896"/>
      <c r="GVU108" s="897"/>
      <c r="GVV108" s="897"/>
      <c r="GVW108" s="897"/>
      <c r="GVX108" s="897"/>
      <c r="GVY108" s="897"/>
      <c r="GVZ108" s="897"/>
      <c r="GWA108" s="897"/>
      <c r="GWB108" s="897"/>
      <c r="GWC108" s="895"/>
      <c r="GWD108" s="895"/>
      <c r="GWE108" s="896"/>
      <c r="GWF108" s="897"/>
      <c r="GWG108" s="897"/>
      <c r="GWH108" s="897"/>
      <c r="GWI108" s="897"/>
      <c r="GWJ108" s="897"/>
      <c r="GWK108" s="897"/>
      <c r="GWL108" s="897"/>
      <c r="GWM108" s="897"/>
      <c r="GWN108" s="895"/>
      <c r="GWO108" s="895"/>
      <c r="GWP108" s="896"/>
      <c r="GWQ108" s="897"/>
      <c r="GWR108" s="897"/>
      <c r="GWS108" s="897"/>
      <c r="GWT108" s="897"/>
      <c r="GWU108" s="897"/>
      <c r="GWV108" s="897"/>
      <c r="GWW108" s="897"/>
      <c r="GWX108" s="897"/>
      <c r="GWY108" s="895"/>
      <c r="GWZ108" s="895"/>
      <c r="GXA108" s="896"/>
      <c r="GXB108" s="897"/>
      <c r="GXC108" s="897"/>
      <c r="GXD108" s="897"/>
      <c r="GXE108" s="897"/>
      <c r="GXF108" s="897"/>
      <c r="GXG108" s="897"/>
      <c r="GXH108" s="897"/>
      <c r="GXI108" s="897"/>
      <c r="GXJ108" s="895"/>
      <c r="GXK108" s="895"/>
      <c r="GXL108" s="896"/>
      <c r="GXM108" s="897"/>
      <c r="GXN108" s="897"/>
      <c r="GXO108" s="897"/>
      <c r="GXP108" s="897"/>
      <c r="GXQ108" s="897"/>
      <c r="GXR108" s="897"/>
      <c r="GXS108" s="897"/>
      <c r="GXT108" s="897"/>
      <c r="GXU108" s="895"/>
      <c r="GXV108" s="895"/>
      <c r="GXW108" s="896"/>
      <c r="GXX108" s="897"/>
      <c r="GXY108" s="897"/>
      <c r="GXZ108" s="897"/>
      <c r="GYA108" s="897"/>
      <c r="GYB108" s="897"/>
      <c r="GYC108" s="897"/>
      <c r="GYD108" s="897"/>
      <c r="GYE108" s="897"/>
      <c r="GYF108" s="895"/>
      <c r="GYG108" s="895"/>
      <c r="GYH108" s="896"/>
      <c r="GYI108" s="897"/>
      <c r="GYJ108" s="897"/>
      <c r="GYK108" s="897"/>
      <c r="GYL108" s="897"/>
      <c r="GYM108" s="897"/>
      <c r="GYN108" s="897"/>
      <c r="GYO108" s="897"/>
      <c r="GYP108" s="897"/>
      <c r="GYQ108" s="895"/>
      <c r="GYR108" s="895"/>
      <c r="GYS108" s="896"/>
      <c r="GYT108" s="897"/>
      <c r="GYU108" s="897"/>
      <c r="GYV108" s="897"/>
      <c r="GYW108" s="897"/>
      <c r="GYX108" s="897"/>
      <c r="GYY108" s="897"/>
      <c r="GYZ108" s="897"/>
      <c r="GZA108" s="897"/>
      <c r="GZB108" s="895"/>
      <c r="GZC108" s="895"/>
      <c r="GZD108" s="896"/>
      <c r="GZE108" s="897"/>
      <c r="GZF108" s="897"/>
      <c r="GZG108" s="897"/>
      <c r="GZH108" s="897"/>
      <c r="GZI108" s="897"/>
      <c r="GZJ108" s="897"/>
      <c r="GZK108" s="897"/>
      <c r="GZL108" s="897"/>
      <c r="GZM108" s="895"/>
      <c r="GZN108" s="895"/>
      <c r="GZO108" s="896"/>
      <c r="GZP108" s="897"/>
      <c r="GZQ108" s="897"/>
      <c r="GZR108" s="897"/>
      <c r="GZS108" s="897"/>
      <c r="GZT108" s="897"/>
      <c r="GZU108" s="897"/>
      <c r="GZV108" s="897"/>
      <c r="GZW108" s="897"/>
      <c r="GZX108" s="895"/>
      <c r="GZY108" s="895"/>
      <c r="GZZ108" s="896"/>
      <c r="HAA108" s="897"/>
      <c r="HAB108" s="897"/>
      <c r="HAC108" s="897"/>
      <c r="HAD108" s="897"/>
      <c r="HAE108" s="897"/>
      <c r="HAF108" s="897"/>
      <c r="HAG108" s="897"/>
      <c r="HAH108" s="897"/>
      <c r="HAI108" s="895"/>
      <c r="HAJ108" s="895"/>
      <c r="HAK108" s="896"/>
      <c r="HAL108" s="897"/>
      <c r="HAM108" s="897"/>
      <c r="HAN108" s="897"/>
      <c r="HAO108" s="897"/>
      <c r="HAP108" s="897"/>
      <c r="HAQ108" s="897"/>
      <c r="HAR108" s="897"/>
      <c r="HAS108" s="897"/>
      <c r="HAT108" s="895"/>
      <c r="HAU108" s="895"/>
      <c r="HAV108" s="896"/>
      <c r="HAW108" s="897"/>
      <c r="HAX108" s="897"/>
      <c r="HAY108" s="897"/>
      <c r="HAZ108" s="897"/>
      <c r="HBA108" s="897"/>
      <c r="HBB108" s="897"/>
      <c r="HBC108" s="897"/>
      <c r="HBD108" s="897"/>
      <c r="HBE108" s="895"/>
      <c r="HBF108" s="895"/>
      <c r="HBG108" s="896"/>
      <c r="HBH108" s="897"/>
      <c r="HBI108" s="897"/>
      <c r="HBJ108" s="897"/>
      <c r="HBK108" s="897"/>
      <c r="HBL108" s="897"/>
      <c r="HBM108" s="897"/>
      <c r="HBN108" s="897"/>
      <c r="HBO108" s="897"/>
      <c r="HBP108" s="895"/>
      <c r="HBQ108" s="895"/>
      <c r="HBR108" s="896"/>
      <c r="HBS108" s="897"/>
      <c r="HBT108" s="897"/>
      <c r="HBU108" s="897"/>
      <c r="HBV108" s="897"/>
      <c r="HBW108" s="897"/>
      <c r="HBX108" s="897"/>
      <c r="HBY108" s="897"/>
      <c r="HBZ108" s="897"/>
      <c r="HCA108" s="895"/>
      <c r="HCB108" s="895"/>
      <c r="HCC108" s="896"/>
      <c r="HCD108" s="897"/>
      <c r="HCE108" s="897"/>
      <c r="HCF108" s="897"/>
      <c r="HCG108" s="897"/>
      <c r="HCH108" s="897"/>
      <c r="HCI108" s="897"/>
      <c r="HCJ108" s="897"/>
      <c r="HCK108" s="897"/>
      <c r="HCL108" s="895"/>
      <c r="HCM108" s="895"/>
      <c r="HCN108" s="896"/>
      <c r="HCO108" s="897"/>
      <c r="HCP108" s="897"/>
      <c r="HCQ108" s="897"/>
      <c r="HCR108" s="897"/>
      <c r="HCS108" s="897"/>
      <c r="HCT108" s="897"/>
      <c r="HCU108" s="897"/>
      <c r="HCV108" s="897"/>
      <c r="HCW108" s="895"/>
      <c r="HCX108" s="895"/>
      <c r="HCY108" s="896"/>
      <c r="HCZ108" s="897"/>
      <c r="HDA108" s="897"/>
      <c r="HDB108" s="897"/>
      <c r="HDC108" s="897"/>
      <c r="HDD108" s="897"/>
      <c r="HDE108" s="897"/>
      <c r="HDF108" s="897"/>
      <c r="HDG108" s="897"/>
      <c r="HDH108" s="895"/>
      <c r="HDI108" s="895"/>
      <c r="HDJ108" s="896"/>
      <c r="HDK108" s="897"/>
      <c r="HDL108" s="897"/>
      <c r="HDM108" s="897"/>
      <c r="HDN108" s="897"/>
      <c r="HDO108" s="897"/>
      <c r="HDP108" s="897"/>
      <c r="HDQ108" s="897"/>
      <c r="HDR108" s="897"/>
      <c r="HDS108" s="895"/>
      <c r="HDT108" s="895"/>
      <c r="HDU108" s="896"/>
      <c r="HDV108" s="897"/>
      <c r="HDW108" s="897"/>
      <c r="HDX108" s="897"/>
      <c r="HDY108" s="897"/>
      <c r="HDZ108" s="897"/>
      <c r="HEA108" s="897"/>
      <c r="HEB108" s="897"/>
      <c r="HEC108" s="897"/>
      <c r="HED108" s="895"/>
      <c r="HEE108" s="895"/>
      <c r="HEF108" s="896"/>
      <c r="HEG108" s="897"/>
      <c r="HEH108" s="897"/>
      <c r="HEI108" s="897"/>
      <c r="HEJ108" s="897"/>
      <c r="HEK108" s="897"/>
      <c r="HEL108" s="897"/>
      <c r="HEM108" s="897"/>
      <c r="HEN108" s="897"/>
      <c r="HEO108" s="895"/>
      <c r="HEP108" s="895"/>
      <c r="HEQ108" s="896"/>
      <c r="HER108" s="897"/>
      <c r="HES108" s="897"/>
      <c r="HET108" s="897"/>
      <c r="HEU108" s="897"/>
      <c r="HEV108" s="897"/>
      <c r="HEW108" s="897"/>
      <c r="HEX108" s="897"/>
      <c r="HEY108" s="897"/>
      <c r="HEZ108" s="895"/>
      <c r="HFA108" s="895"/>
      <c r="HFB108" s="896"/>
      <c r="HFC108" s="897"/>
      <c r="HFD108" s="897"/>
      <c r="HFE108" s="897"/>
      <c r="HFF108" s="897"/>
      <c r="HFG108" s="897"/>
      <c r="HFH108" s="897"/>
      <c r="HFI108" s="897"/>
      <c r="HFJ108" s="897"/>
      <c r="HFK108" s="895"/>
      <c r="HFL108" s="895"/>
      <c r="HFM108" s="896"/>
      <c r="HFN108" s="897"/>
      <c r="HFO108" s="897"/>
      <c r="HFP108" s="897"/>
      <c r="HFQ108" s="897"/>
      <c r="HFR108" s="897"/>
      <c r="HFS108" s="897"/>
      <c r="HFT108" s="897"/>
      <c r="HFU108" s="897"/>
      <c r="HFV108" s="895"/>
      <c r="HFW108" s="895"/>
      <c r="HFX108" s="896"/>
      <c r="HFY108" s="897"/>
      <c r="HFZ108" s="897"/>
      <c r="HGA108" s="897"/>
      <c r="HGB108" s="897"/>
      <c r="HGC108" s="897"/>
      <c r="HGD108" s="897"/>
      <c r="HGE108" s="897"/>
      <c r="HGF108" s="897"/>
      <c r="HGG108" s="895"/>
      <c r="HGH108" s="895"/>
      <c r="HGI108" s="896"/>
      <c r="HGJ108" s="897"/>
      <c r="HGK108" s="897"/>
      <c r="HGL108" s="897"/>
      <c r="HGM108" s="897"/>
      <c r="HGN108" s="897"/>
      <c r="HGO108" s="897"/>
      <c r="HGP108" s="897"/>
      <c r="HGQ108" s="897"/>
      <c r="HGR108" s="895"/>
      <c r="HGS108" s="895"/>
      <c r="HGT108" s="896"/>
      <c r="HGU108" s="897"/>
      <c r="HGV108" s="897"/>
      <c r="HGW108" s="897"/>
      <c r="HGX108" s="897"/>
      <c r="HGY108" s="897"/>
      <c r="HGZ108" s="897"/>
      <c r="HHA108" s="897"/>
      <c r="HHB108" s="897"/>
      <c r="HHC108" s="895"/>
      <c r="HHD108" s="895"/>
      <c r="HHE108" s="896"/>
      <c r="HHF108" s="897"/>
      <c r="HHG108" s="897"/>
      <c r="HHH108" s="897"/>
      <c r="HHI108" s="897"/>
      <c r="HHJ108" s="897"/>
      <c r="HHK108" s="897"/>
      <c r="HHL108" s="897"/>
      <c r="HHM108" s="897"/>
      <c r="HHN108" s="895"/>
      <c r="HHO108" s="895"/>
      <c r="HHP108" s="896"/>
      <c r="HHQ108" s="897"/>
      <c r="HHR108" s="897"/>
      <c r="HHS108" s="897"/>
      <c r="HHT108" s="897"/>
      <c r="HHU108" s="897"/>
      <c r="HHV108" s="897"/>
      <c r="HHW108" s="897"/>
      <c r="HHX108" s="897"/>
      <c r="HHY108" s="895"/>
      <c r="HHZ108" s="895"/>
      <c r="HIA108" s="896"/>
      <c r="HIB108" s="897"/>
      <c r="HIC108" s="897"/>
      <c r="HID108" s="897"/>
      <c r="HIE108" s="897"/>
      <c r="HIF108" s="897"/>
      <c r="HIG108" s="897"/>
      <c r="HIH108" s="897"/>
      <c r="HII108" s="897"/>
      <c r="HIJ108" s="895"/>
      <c r="HIK108" s="895"/>
      <c r="HIL108" s="896"/>
      <c r="HIM108" s="897"/>
      <c r="HIN108" s="897"/>
      <c r="HIO108" s="897"/>
      <c r="HIP108" s="897"/>
      <c r="HIQ108" s="897"/>
      <c r="HIR108" s="897"/>
      <c r="HIS108" s="897"/>
      <c r="HIT108" s="897"/>
      <c r="HIU108" s="895"/>
      <c r="HIV108" s="895"/>
      <c r="HIW108" s="896"/>
      <c r="HIX108" s="897"/>
      <c r="HIY108" s="897"/>
      <c r="HIZ108" s="897"/>
      <c r="HJA108" s="897"/>
      <c r="HJB108" s="897"/>
      <c r="HJC108" s="897"/>
      <c r="HJD108" s="897"/>
      <c r="HJE108" s="897"/>
      <c r="HJF108" s="895"/>
      <c r="HJG108" s="895"/>
      <c r="HJH108" s="896"/>
      <c r="HJI108" s="897"/>
      <c r="HJJ108" s="897"/>
      <c r="HJK108" s="897"/>
      <c r="HJL108" s="897"/>
      <c r="HJM108" s="897"/>
      <c r="HJN108" s="897"/>
      <c r="HJO108" s="897"/>
      <c r="HJP108" s="897"/>
      <c r="HJQ108" s="895"/>
      <c r="HJR108" s="895"/>
      <c r="HJS108" s="896"/>
      <c r="HJT108" s="897"/>
      <c r="HJU108" s="897"/>
      <c r="HJV108" s="897"/>
      <c r="HJW108" s="897"/>
      <c r="HJX108" s="897"/>
      <c r="HJY108" s="897"/>
      <c r="HJZ108" s="897"/>
      <c r="HKA108" s="897"/>
      <c r="HKB108" s="895"/>
      <c r="HKC108" s="895"/>
      <c r="HKD108" s="896"/>
      <c r="HKE108" s="897"/>
      <c r="HKF108" s="897"/>
      <c r="HKG108" s="897"/>
      <c r="HKH108" s="897"/>
      <c r="HKI108" s="897"/>
      <c r="HKJ108" s="897"/>
      <c r="HKK108" s="897"/>
      <c r="HKL108" s="897"/>
      <c r="HKM108" s="895"/>
      <c r="HKN108" s="895"/>
      <c r="HKO108" s="896"/>
      <c r="HKP108" s="897"/>
      <c r="HKQ108" s="897"/>
      <c r="HKR108" s="897"/>
      <c r="HKS108" s="897"/>
      <c r="HKT108" s="897"/>
      <c r="HKU108" s="897"/>
      <c r="HKV108" s="897"/>
      <c r="HKW108" s="897"/>
      <c r="HKX108" s="895"/>
      <c r="HKY108" s="895"/>
      <c r="HKZ108" s="896"/>
      <c r="HLA108" s="897"/>
      <c r="HLB108" s="897"/>
      <c r="HLC108" s="897"/>
      <c r="HLD108" s="897"/>
      <c r="HLE108" s="897"/>
      <c r="HLF108" s="897"/>
      <c r="HLG108" s="897"/>
      <c r="HLH108" s="897"/>
      <c r="HLI108" s="895"/>
      <c r="HLJ108" s="895"/>
      <c r="HLK108" s="896"/>
      <c r="HLL108" s="897"/>
      <c r="HLM108" s="897"/>
      <c r="HLN108" s="897"/>
      <c r="HLO108" s="897"/>
      <c r="HLP108" s="897"/>
      <c r="HLQ108" s="897"/>
      <c r="HLR108" s="897"/>
      <c r="HLS108" s="897"/>
      <c r="HLT108" s="895"/>
      <c r="HLU108" s="895"/>
      <c r="HLV108" s="896"/>
      <c r="HLW108" s="897"/>
      <c r="HLX108" s="897"/>
      <c r="HLY108" s="897"/>
      <c r="HLZ108" s="897"/>
      <c r="HMA108" s="897"/>
      <c r="HMB108" s="897"/>
      <c r="HMC108" s="897"/>
      <c r="HMD108" s="897"/>
      <c r="HME108" s="895"/>
      <c r="HMF108" s="895"/>
      <c r="HMG108" s="896"/>
      <c r="HMH108" s="897"/>
      <c r="HMI108" s="897"/>
      <c r="HMJ108" s="897"/>
      <c r="HMK108" s="897"/>
      <c r="HML108" s="897"/>
      <c r="HMM108" s="897"/>
      <c r="HMN108" s="897"/>
      <c r="HMO108" s="897"/>
      <c r="HMP108" s="895"/>
      <c r="HMQ108" s="895"/>
      <c r="HMR108" s="896"/>
      <c r="HMS108" s="897"/>
      <c r="HMT108" s="897"/>
      <c r="HMU108" s="897"/>
      <c r="HMV108" s="897"/>
      <c r="HMW108" s="897"/>
      <c r="HMX108" s="897"/>
      <c r="HMY108" s="897"/>
      <c r="HMZ108" s="897"/>
      <c r="HNA108" s="895"/>
      <c r="HNB108" s="895"/>
      <c r="HNC108" s="896"/>
      <c r="HND108" s="897"/>
      <c r="HNE108" s="897"/>
      <c r="HNF108" s="897"/>
      <c r="HNG108" s="897"/>
      <c r="HNH108" s="897"/>
      <c r="HNI108" s="897"/>
      <c r="HNJ108" s="897"/>
      <c r="HNK108" s="897"/>
      <c r="HNL108" s="895"/>
      <c r="HNM108" s="895"/>
      <c r="HNN108" s="896"/>
      <c r="HNO108" s="897"/>
      <c r="HNP108" s="897"/>
      <c r="HNQ108" s="897"/>
      <c r="HNR108" s="897"/>
      <c r="HNS108" s="897"/>
      <c r="HNT108" s="897"/>
      <c r="HNU108" s="897"/>
      <c r="HNV108" s="897"/>
      <c r="HNW108" s="895"/>
      <c r="HNX108" s="895"/>
      <c r="HNY108" s="896"/>
      <c r="HNZ108" s="897"/>
      <c r="HOA108" s="897"/>
      <c r="HOB108" s="897"/>
      <c r="HOC108" s="897"/>
      <c r="HOD108" s="897"/>
      <c r="HOE108" s="897"/>
      <c r="HOF108" s="897"/>
      <c r="HOG108" s="897"/>
      <c r="HOH108" s="895"/>
      <c r="HOI108" s="895"/>
      <c r="HOJ108" s="896"/>
      <c r="HOK108" s="897"/>
      <c r="HOL108" s="897"/>
      <c r="HOM108" s="897"/>
      <c r="HON108" s="897"/>
      <c r="HOO108" s="897"/>
      <c r="HOP108" s="897"/>
      <c r="HOQ108" s="897"/>
      <c r="HOR108" s="897"/>
      <c r="HOS108" s="895"/>
      <c r="HOT108" s="895"/>
      <c r="HOU108" s="896"/>
      <c r="HOV108" s="897"/>
      <c r="HOW108" s="897"/>
      <c r="HOX108" s="897"/>
      <c r="HOY108" s="897"/>
      <c r="HOZ108" s="897"/>
      <c r="HPA108" s="897"/>
      <c r="HPB108" s="897"/>
      <c r="HPC108" s="897"/>
      <c r="HPD108" s="895"/>
      <c r="HPE108" s="895"/>
      <c r="HPF108" s="896"/>
      <c r="HPG108" s="897"/>
      <c r="HPH108" s="897"/>
      <c r="HPI108" s="897"/>
      <c r="HPJ108" s="897"/>
      <c r="HPK108" s="897"/>
      <c r="HPL108" s="897"/>
      <c r="HPM108" s="897"/>
      <c r="HPN108" s="897"/>
      <c r="HPO108" s="895"/>
      <c r="HPP108" s="895"/>
      <c r="HPQ108" s="896"/>
      <c r="HPR108" s="897"/>
      <c r="HPS108" s="897"/>
      <c r="HPT108" s="897"/>
      <c r="HPU108" s="897"/>
      <c r="HPV108" s="897"/>
      <c r="HPW108" s="897"/>
      <c r="HPX108" s="897"/>
      <c r="HPY108" s="897"/>
      <c r="HPZ108" s="895"/>
      <c r="HQA108" s="895"/>
      <c r="HQB108" s="896"/>
      <c r="HQC108" s="897"/>
      <c r="HQD108" s="897"/>
      <c r="HQE108" s="897"/>
      <c r="HQF108" s="897"/>
      <c r="HQG108" s="897"/>
      <c r="HQH108" s="897"/>
      <c r="HQI108" s="897"/>
      <c r="HQJ108" s="897"/>
      <c r="HQK108" s="895"/>
      <c r="HQL108" s="895"/>
      <c r="HQM108" s="896"/>
      <c r="HQN108" s="897"/>
      <c r="HQO108" s="897"/>
      <c r="HQP108" s="897"/>
      <c r="HQQ108" s="897"/>
      <c r="HQR108" s="897"/>
      <c r="HQS108" s="897"/>
      <c r="HQT108" s="897"/>
      <c r="HQU108" s="897"/>
      <c r="HQV108" s="895"/>
      <c r="HQW108" s="895"/>
      <c r="HQX108" s="896"/>
      <c r="HQY108" s="897"/>
      <c r="HQZ108" s="897"/>
      <c r="HRA108" s="897"/>
      <c r="HRB108" s="897"/>
      <c r="HRC108" s="897"/>
      <c r="HRD108" s="897"/>
      <c r="HRE108" s="897"/>
      <c r="HRF108" s="897"/>
      <c r="HRG108" s="895"/>
      <c r="HRH108" s="895"/>
      <c r="HRI108" s="896"/>
      <c r="HRJ108" s="897"/>
      <c r="HRK108" s="897"/>
      <c r="HRL108" s="897"/>
      <c r="HRM108" s="897"/>
      <c r="HRN108" s="897"/>
      <c r="HRO108" s="897"/>
      <c r="HRP108" s="897"/>
      <c r="HRQ108" s="897"/>
      <c r="HRR108" s="895"/>
      <c r="HRS108" s="895"/>
      <c r="HRT108" s="896"/>
      <c r="HRU108" s="897"/>
      <c r="HRV108" s="897"/>
      <c r="HRW108" s="897"/>
      <c r="HRX108" s="897"/>
      <c r="HRY108" s="897"/>
      <c r="HRZ108" s="897"/>
      <c r="HSA108" s="897"/>
      <c r="HSB108" s="897"/>
      <c r="HSC108" s="895"/>
      <c r="HSD108" s="895"/>
      <c r="HSE108" s="896"/>
      <c r="HSF108" s="897"/>
      <c r="HSG108" s="897"/>
      <c r="HSH108" s="897"/>
      <c r="HSI108" s="897"/>
      <c r="HSJ108" s="897"/>
      <c r="HSK108" s="897"/>
      <c r="HSL108" s="897"/>
      <c r="HSM108" s="897"/>
      <c r="HSN108" s="895"/>
      <c r="HSO108" s="895"/>
      <c r="HSP108" s="896"/>
      <c r="HSQ108" s="897"/>
      <c r="HSR108" s="897"/>
      <c r="HSS108" s="897"/>
      <c r="HST108" s="897"/>
      <c r="HSU108" s="897"/>
      <c r="HSV108" s="897"/>
      <c r="HSW108" s="897"/>
      <c r="HSX108" s="897"/>
      <c r="HSY108" s="895"/>
      <c r="HSZ108" s="895"/>
      <c r="HTA108" s="896"/>
      <c r="HTB108" s="897"/>
      <c r="HTC108" s="897"/>
      <c r="HTD108" s="897"/>
      <c r="HTE108" s="897"/>
      <c r="HTF108" s="897"/>
      <c r="HTG108" s="897"/>
      <c r="HTH108" s="897"/>
      <c r="HTI108" s="897"/>
      <c r="HTJ108" s="895"/>
      <c r="HTK108" s="895"/>
      <c r="HTL108" s="896"/>
      <c r="HTM108" s="897"/>
      <c r="HTN108" s="897"/>
      <c r="HTO108" s="897"/>
      <c r="HTP108" s="897"/>
      <c r="HTQ108" s="897"/>
      <c r="HTR108" s="897"/>
      <c r="HTS108" s="897"/>
      <c r="HTT108" s="897"/>
      <c r="HTU108" s="895"/>
      <c r="HTV108" s="895"/>
      <c r="HTW108" s="896"/>
      <c r="HTX108" s="897"/>
      <c r="HTY108" s="897"/>
      <c r="HTZ108" s="897"/>
      <c r="HUA108" s="897"/>
      <c r="HUB108" s="897"/>
      <c r="HUC108" s="897"/>
      <c r="HUD108" s="897"/>
      <c r="HUE108" s="897"/>
      <c r="HUF108" s="895"/>
      <c r="HUG108" s="895"/>
      <c r="HUH108" s="896"/>
      <c r="HUI108" s="897"/>
      <c r="HUJ108" s="897"/>
      <c r="HUK108" s="897"/>
      <c r="HUL108" s="897"/>
      <c r="HUM108" s="897"/>
      <c r="HUN108" s="897"/>
      <c r="HUO108" s="897"/>
      <c r="HUP108" s="897"/>
      <c r="HUQ108" s="895"/>
      <c r="HUR108" s="895"/>
      <c r="HUS108" s="896"/>
      <c r="HUT108" s="897"/>
      <c r="HUU108" s="897"/>
      <c r="HUV108" s="897"/>
      <c r="HUW108" s="897"/>
      <c r="HUX108" s="897"/>
      <c r="HUY108" s="897"/>
      <c r="HUZ108" s="897"/>
      <c r="HVA108" s="897"/>
      <c r="HVB108" s="895"/>
      <c r="HVC108" s="895"/>
      <c r="HVD108" s="896"/>
      <c r="HVE108" s="897"/>
      <c r="HVF108" s="897"/>
      <c r="HVG108" s="897"/>
      <c r="HVH108" s="897"/>
      <c r="HVI108" s="897"/>
      <c r="HVJ108" s="897"/>
      <c r="HVK108" s="897"/>
      <c r="HVL108" s="897"/>
      <c r="HVM108" s="895"/>
      <c r="HVN108" s="895"/>
      <c r="HVO108" s="896"/>
      <c r="HVP108" s="897"/>
      <c r="HVQ108" s="897"/>
      <c r="HVR108" s="897"/>
      <c r="HVS108" s="897"/>
      <c r="HVT108" s="897"/>
      <c r="HVU108" s="897"/>
      <c r="HVV108" s="897"/>
      <c r="HVW108" s="897"/>
      <c r="HVX108" s="895"/>
      <c r="HVY108" s="895"/>
      <c r="HVZ108" s="896"/>
      <c r="HWA108" s="897"/>
      <c r="HWB108" s="897"/>
      <c r="HWC108" s="897"/>
      <c r="HWD108" s="897"/>
      <c r="HWE108" s="897"/>
      <c r="HWF108" s="897"/>
      <c r="HWG108" s="897"/>
      <c r="HWH108" s="897"/>
      <c r="HWI108" s="895"/>
      <c r="HWJ108" s="895"/>
      <c r="HWK108" s="896"/>
      <c r="HWL108" s="897"/>
      <c r="HWM108" s="897"/>
      <c r="HWN108" s="897"/>
      <c r="HWO108" s="897"/>
      <c r="HWP108" s="897"/>
      <c r="HWQ108" s="897"/>
      <c r="HWR108" s="897"/>
      <c r="HWS108" s="897"/>
      <c r="HWT108" s="895"/>
      <c r="HWU108" s="895"/>
      <c r="HWV108" s="896"/>
      <c r="HWW108" s="897"/>
      <c r="HWX108" s="897"/>
      <c r="HWY108" s="897"/>
      <c r="HWZ108" s="897"/>
      <c r="HXA108" s="897"/>
      <c r="HXB108" s="897"/>
      <c r="HXC108" s="897"/>
      <c r="HXD108" s="897"/>
      <c r="HXE108" s="895"/>
      <c r="HXF108" s="895"/>
      <c r="HXG108" s="896"/>
      <c r="HXH108" s="897"/>
      <c r="HXI108" s="897"/>
      <c r="HXJ108" s="897"/>
      <c r="HXK108" s="897"/>
      <c r="HXL108" s="897"/>
      <c r="HXM108" s="897"/>
      <c r="HXN108" s="897"/>
      <c r="HXO108" s="897"/>
      <c r="HXP108" s="895"/>
      <c r="HXQ108" s="895"/>
      <c r="HXR108" s="896"/>
      <c r="HXS108" s="897"/>
      <c r="HXT108" s="897"/>
      <c r="HXU108" s="897"/>
      <c r="HXV108" s="897"/>
      <c r="HXW108" s="897"/>
      <c r="HXX108" s="897"/>
      <c r="HXY108" s="897"/>
      <c r="HXZ108" s="897"/>
      <c r="HYA108" s="895"/>
      <c r="HYB108" s="895"/>
      <c r="HYC108" s="896"/>
      <c r="HYD108" s="897"/>
      <c r="HYE108" s="897"/>
      <c r="HYF108" s="897"/>
      <c r="HYG108" s="897"/>
      <c r="HYH108" s="897"/>
      <c r="HYI108" s="897"/>
      <c r="HYJ108" s="897"/>
      <c r="HYK108" s="897"/>
      <c r="HYL108" s="895"/>
      <c r="HYM108" s="895"/>
      <c r="HYN108" s="896"/>
      <c r="HYO108" s="897"/>
      <c r="HYP108" s="897"/>
      <c r="HYQ108" s="897"/>
      <c r="HYR108" s="897"/>
      <c r="HYS108" s="897"/>
      <c r="HYT108" s="897"/>
      <c r="HYU108" s="897"/>
      <c r="HYV108" s="897"/>
      <c r="HYW108" s="895"/>
      <c r="HYX108" s="895"/>
      <c r="HYY108" s="896"/>
      <c r="HYZ108" s="897"/>
      <c r="HZA108" s="897"/>
      <c r="HZB108" s="897"/>
      <c r="HZC108" s="897"/>
      <c r="HZD108" s="897"/>
      <c r="HZE108" s="897"/>
      <c r="HZF108" s="897"/>
      <c r="HZG108" s="897"/>
      <c r="HZH108" s="895"/>
      <c r="HZI108" s="895"/>
      <c r="HZJ108" s="896"/>
      <c r="HZK108" s="897"/>
      <c r="HZL108" s="897"/>
      <c r="HZM108" s="897"/>
      <c r="HZN108" s="897"/>
      <c r="HZO108" s="897"/>
      <c r="HZP108" s="897"/>
      <c r="HZQ108" s="897"/>
      <c r="HZR108" s="897"/>
      <c r="HZS108" s="895"/>
      <c r="HZT108" s="895"/>
      <c r="HZU108" s="896"/>
      <c r="HZV108" s="897"/>
      <c r="HZW108" s="897"/>
      <c r="HZX108" s="897"/>
      <c r="HZY108" s="897"/>
      <c r="HZZ108" s="897"/>
      <c r="IAA108" s="897"/>
      <c r="IAB108" s="897"/>
      <c r="IAC108" s="897"/>
      <c r="IAD108" s="895"/>
      <c r="IAE108" s="895"/>
      <c r="IAF108" s="896"/>
      <c r="IAG108" s="897"/>
      <c r="IAH108" s="897"/>
      <c r="IAI108" s="897"/>
      <c r="IAJ108" s="897"/>
      <c r="IAK108" s="897"/>
      <c r="IAL108" s="897"/>
      <c r="IAM108" s="897"/>
      <c r="IAN108" s="897"/>
      <c r="IAO108" s="895"/>
      <c r="IAP108" s="895"/>
      <c r="IAQ108" s="896"/>
      <c r="IAR108" s="897"/>
      <c r="IAS108" s="897"/>
      <c r="IAT108" s="897"/>
      <c r="IAU108" s="897"/>
      <c r="IAV108" s="897"/>
      <c r="IAW108" s="897"/>
      <c r="IAX108" s="897"/>
      <c r="IAY108" s="897"/>
      <c r="IAZ108" s="895"/>
      <c r="IBA108" s="895"/>
      <c r="IBB108" s="896"/>
      <c r="IBC108" s="897"/>
      <c r="IBD108" s="897"/>
      <c r="IBE108" s="897"/>
      <c r="IBF108" s="897"/>
      <c r="IBG108" s="897"/>
      <c r="IBH108" s="897"/>
      <c r="IBI108" s="897"/>
      <c r="IBJ108" s="897"/>
      <c r="IBK108" s="895"/>
      <c r="IBL108" s="895"/>
      <c r="IBM108" s="896"/>
      <c r="IBN108" s="897"/>
      <c r="IBO108" s="897"/>
      <c r="IBP108" s="897"/>
      <c r="IBQ108" s="897"/>
      <c r="IBR108" s="897"/>
      <c r="IBS108" s="897"/>
      <c r="IBT108" s="897"/>
      <c r="IBU108" s="897"/>
      <c r="IBV108" s="895"/>
      <c r="IBW108" s="895"/>
      <c r="IBX108" s="896"/>
      <c r="IBY108" s="897"/>
      <c r="IBZ108" s="897"/>
      <c r="ICA108" s="897"/>
      <c r="ICB108" s="897"/>
      <c r="ICC108" s="897"/>
      <c r="ICD108" s="897"/>
      <c r="ICE108" s="897"/>
      <c r="ICF108" s="897"/>
      <c r="ICG108" s="895"/>
      <c r="ICH108" s="895"/>
      <c r="ICI108" s="896"/>
      <c r="ICJ108" s="897"/>
      <c r="ICK108" s="897"/>
      <c r="ICL108" s="897"/>
      <c r="ICM108" s="897"/>
      <c r="ICN108" s="897"/>
      <c r="ICO108" s="897"/>
      <c r="ICP108" s="897"/>
      <c r="ICQ108" s="897"/>
      <c r="ICR108" s="895"/>
      <c r="ICS108" s="895"/>
      <c r="ICT108" s="896"/>
      <c r="ICU108" s="897"/>
      <c r="ICV108" s="897"/>
      <c r="ICW108" s="897"/>
      <c r="ICX108" s="897"/>
      <c r="ICY108" s="897"/>
      <c r="ICZ108" s="897"/>
      <c r="IDA108" s="897"/>
      <c r="IDB108" s="897"/>
      <c r="IDC108" s="895"/>
      <c r="IDD108" s="895"/>
      <c r="IDE108" s="896"/>
      <c r="IDF108" s="897"/>
      <c r="IDG108" s="897"/>
      <c r="IDH108" s="897"/>
      <c r="IDI108" s="897"/>
      <c r="IDJ108" s="897"/>
      <c r="IDK108" s="897"/>
      <c r="IDL108" s="897"/>
      <c r="IDM108" s="897"/>
      <c r="IDN108" s="895"/>
      <c r="IDO108" s="895"/>
      <c r="IDP108" s="896"/>
      <c r="IDQ108" s="897"/>
      <c r="IDR108" s="897"/>
      <c r="IDS108" s="897"/>
      <c r="IDT108" s="897"/>
      <c r="IDU108" s="897"/>
      <c r="IDV108" s="897"/>
      <c r="IDW108" s="897"/>
      <c r="IDX108" s="897"/>
      <c r="IDY108" s="895"/>
      <c r="IDZ108" s="895"/>
      <c r="IEA108" s="896"/>
      <c r="IEB108" s="897"/>
      <c r="IEC108" s="897"/>
      <c r="IED108" s="897"/>
      <c r="IEE108" s="897"/>
      <c r="IEF108" s="897"/>
      <c r="IEG108" s="897"/>
      <c r="IEH108" s="897"/>
      <c r="IEI108" s="897"/>
      <c r="IEJ108" s="895"/>
      <c r="IEK108" s="895"/>
      <c r="IEL108" s="896"/>
      <c r="IEM108" s="897"/>
      <c r="IEN108" s="897"/>
      <c r="IEO108" s="897"/>
      <c r="IEP108" s="897"/>
      <c r="IEQ108" s="897"/>
      <c r="IER108" s="897"/>
      <c r="IES108" s="897"/>
      <c r="IET108" s="897"/>
      <c r="IEU108" s="895"/>
      <c r="IEV108" s="895"/>
      <c r="IEW108" s="896"/>
      <c r="IEX108" s="897"/>
      <c r="IEY108" s="897"/>
      <c r="IEZ108" s="897"/>
      <c r="IFA108" s="897"/>
      <c r="IFB108" s="897"/>
      <c r="IFC108" s="897"/>
      <c r="IFD108" s="897"/>
      <c r="IFE108" s="897"/>
      <c r="IFF108" s="895"/>
      <c r="IFG108" s="895"/>
      <c r="IFH108" s="896"/>
      <c r="IFI108" s="897"/>
      <c r="IFJ108" s="897"/>
      <c r="IFK108" s="897"/>
      <c r="IFL108" s="897"/>
      <c r="IFM108" s="897"/>
      <c r="IFN108" s="897"/>
      <c r="IFO108" s="897"/>
      <c r="IFP108" s="897"/>
      <c r="IFQ108" s="895"/>
      <c r="IFR108" s="895"/>
      <c r="IFS108" s="896"/>
      <c r="IFT108" s="897"/>
      <c r="IFU108" s="897"/>
      <c r="IFV108" s="897"/>
      <c r="IFW108" s="897"/>
      <c r="IFX108" s="897"/>
      <c r="IFY108" s="897"/>
      <c r="IFZ108" s="897"/>
      <c r="IGA108" s="897"/>
      <c r="IGB108" s="895"/>
      <c r="IGC108" s="895"/>
      <c r="IGD108" s="896"/>
      <c r="IGE108" s="897"/>
      <c r="IGF108" s="897"/>
      <c r="IGG108" s="897"/>
      <c r="IGH108" s="897"/>
      <c r="IGI108" s="897"/>
      <c r="IGJ108" s="897"/>
      <c r="IGK108" s="897"/>
      <c r="IGL108" s="897"/>
      <c r="IGM108" s="895"/>
      <c r="IGN108" s="895"/>
      <c r="IGO108" s="896"/>
      <c r="IGP108" s="897"/>
      <c r="IGQ108" s="897"/>
      <c r="IGR108" s="897"/>
      <c r="IGS108" s="897"/>
      <c r="IGT108" s="897"/>
      <c r="IGU108" s="897"/>
      <c r="IGV108" s="897"/>
      <c r="IGW108" s="897"/>
      <c r="IGX108" s="895"/>
      <c r="IGY108" s="895"/>
      <c r="IGZ108" s="896"/>
      <c r="IHA108" s="897"/>
      <c r="IHB108" s="897"/>
      <c r="IHC108" s="897"/>
      <c r="IHD108" s="897"/>
      <c r="IHE108" s="897"/>
      <c r="IHF108" s="897"/>
      <c r="IHG108" s="897"/>
      <c r="IHH108" s="897"/>
      <c r="IHI108" s="895"/>
      <c r="IHJ108" s="895"/>
      <c r="IHK108" s="896"/>
      <c r="IHL108" s="897"/>
      <c r="IHM108" s="897"/>
      <c r="IHN108" s="897"/>
      <c r="IHO108" s="897"/>
      <c r="IHP108" s="897"/>
      <c r="IHQ108" s="897"/>
      <c r="IHR108" s="897"/>
      <c r="IHS108" s="897"/>
      <c r="IHT108" s="895"/>
      <c r="IHU108" s="895"/>
      <c r="IHV108" s="896"/>
      <c r="IHW108" s="897"/>
      <c r="IHX108" s="897"/>
      <c r="IHY108" s="897"/>
      <c r="IHZ108" s="897"/>
      <c r="IIA108" s="897"/>
      <c r="IIB108" s="897"/>
      <c r="IIC108" s="897"/>
      <c r="IID108" s="897"/>
      <c r="IIE108" s="895"/>
      <c r="IIF108" s="895"/>
      <c r="IIG108" s="896"/>
      <c r="IIH108" s="897"/>
      <c r="III108" s="897"/>
      <c r="IIJ108" s="897"/>
      <c r="IIK108" s="897"/>
      <c r="IIL108" s="897"/>
      <c r="IIM108" s="897"/>
      <c r="IIN108" s="897"/>
      <c r="IIO108" s="897"/>
      <c r="IIP108" s="895"/>
      <c r="IIQ108" s="895"/>
      <c r="IIR108" s="896"/>
      <c r="IIS108" s="897"/>
      <c r="IIT108" s="897"/>
      <c r="IIU108" s="897"/>
      <c r="IIV108" s="897"/>
      <c r="IIW108" s="897"/>
      <c r="IIX108" s="897"/>
      <c r="IIY108" s="897"/>
      <c r="IIZ108" s="897"/>
      <c r="IJA108" s="895"/>
      <c r="IJB108" s="895"/>
      <c r="IJC108" s="896"/>
      <c r="IJD108" s="897"/>
      <c r="IJE108" s="897"/>
      <c r="IJF108" s="897"/>
      <c r="IJG108" s="897"/>
      <c r="IJH108" s="897"/>
      <c r="IJI108" s="897"/>
      <c r="IJJ108" s="897"/>
      <c r="IJK108" s="897"/>
      <c r="IJL108" s="895"/>
      <c r="IJM108" s="895"/>
      <c r="IJN108" s="896"/>
      <c r="IJO108" s="897"/>
      <c r="IJP108" s="897"/>
      <c r="IJQ108" s="897"/>
      <c r="IJR108" s="897"/>
      <c r="IJS108" s="897"/>
      <c r="IJT108" s="897"/>
      <c r="IJU108" s="897"/>
      <c r="IJV108" s="897"/>
      <c r="IJW108" s="895"/>
      <c r="IJX108" s="895"/>
      <c r="IJY108" s="896"/>
      <c r="IJZ108" s="897"/>
      <c r="IKA108" s="897"/>
      <c r="IKB108" s="897"/>
      <c r="IKC108" s="897"/>
      <c r="IKD108" s="897"/>
      <c r="IKE108" s="897"/>
      <c r="IKF108" s="897"/>
      <c r="IKG108" s="897"/>
      <c r="IKH108" s="895"/>
      <c r="IKI108" s="895"/>
      <c r="IKJ108" s="896"/>
      <c r="IKK108" s="897"/>
      <c r="IKL108" s="897"/>
      <c r="IKM108" s="897"/>
      <c r="IKN108" s="897"/>
      <c r="IKO108" s="897"/>
      <c r="IKP108" s="897"/>
      <c r="IKQ108" s="897"/>
      <c r="IKR108" s="897"/>
      <c r="IKS108" s="895"/>
      <c r="IKT108" s="895"/>
      <c r="IKU108" s="896"/>
      <c r="IKV108" s="897"/>
      <c r="IKW108" s="897"/>
      <c r="IKX108" s="897"/>
      <c r="IKY108" s="897"/>
      <c r="IKZ108" s="897"/>
      <c r="ILA108" s="897"/>
      <c r="ILB108" s="897"/>
      <c r="ILC108" s="897"/>
      <c r="ILD108" s="895"/>
      <c r="ILE108" s="895"/>
      <c r="ILF108" s="896"/>
      <c r="ILG108" s="897"/>
      <c r="ILH108" s="897"/>
      <c r="ILI108" s="897"/>
      <c r="ILJ108" s="897"/>
      <c r="ILK108" s="897"/>
      <c r="ILL108" s="897"/>
      <c r="ILM108" s="897"/>
      <c r="ILN108" s="897"/>
      <c r="ILO108" s="895"/>
      <c r="ILP108" s="895"/>
      <c r="ILQ108" s="896"/>
      <c r="ILR108" s="897"/>
      <c r="ILS108" s="897"/>
      <c r="ILT108" s="897"/>
      <c r="ILU108" s="897"/>
      <c r="ILV108" s="897"/>
      <c r="ILW108" s="897"/>
      <c r="ILX108" s="897"/>
      <c r="ILY108" s="897"/>
      <c r="ILZ108" s="895"/>
      <c r="IMA108" s="895"/>
      <c r="IMB108" s="896"/>
      <c r="IMC108" s="897"/>
      <c r="IMD108" s="897"/>
      <c r="IME108" s="897"/>
      <c r="IMF108" s="897"/>
      <c r="IMG108" s="897"/>
      <c r="IMH108" s="897"/>
      <c r="IMI108" s="897"/>
      <c r="IMJ108" s="897"/>
      <c r="IMK108" s="895"/>
      <c r="IML108" s="895"/>
      <c r="IMM108" s="896"/>
      <c r="IMN108" s="897"/>
      <c r="IMO108" s="897"/>
      <c r="IMP108" s="897"/>
      <c r="IMQ108" s="897"/>
      <c r="IMR108" s="897"/>
      <c r="IMS108" s="897"/>
      <c r="IMT108" s="897"/>
      <c r="IMU108" s="897"/>
      <c r="IMV108" s="895"/>
      <c r="IMW108" s="895"/>
      <c r="IMX108" s="896"/>
      <c r="IMY108" s="897"/>
      <c r="IMZ108" s="897"/>
      <c r="INA108" s="897"/>
      <c r="INB108" s="897"/>
      <c r="INC108" s="897"/>
      <c r="IND108" s="897"/>
      <c r="INE108" s="897"/>
      <c r="INF108" s="897"/>
      <c r="ING108" s="895"/>
      <c r="INH108" s="895"/>
      <c r="INI108" s="896"/>
      <c r="INJ108" s="897"/>
      <c r="INK108" s="897"/>
      <c r="INL108" s="897"/>
      <c r="INM108" s="897"/>
      <c r="INN108" s="897"/>
      <c r="INO108" s="897"/>
      <c r="INP108" s="897"/>
      <c r="INQ108" s="897"/>
      <c r="INR108" s="895"/>
      <c r="INS108" s="895"/>
      <c r="INT108" s="896"/>
      <c r="INU108" s="897"/>
      <c r="INV108" s="897"/>
      <c r="INW108" s="897"/>
      <c r="INX108" s="897"/>
      <c r="INY108" s="897"/>
      <c r="INZ108" s="897"/>
      <c r="IOA108" s="897"/>
      <c r="IOB108" s="897"/>
      <c r="IOC108" s="895"/>
      <c r="IOD108" s="895"/>
      <c r="IOE108" s="896"/>
      <c r="IOF108" s="897"/>
      <c r="IOG108" s="897"/>
      <c r="IOH108" s="897"/>
      <c r="IOI108" s="897"/>
      <c r="IOJ108" s="897"/>
      <c r="IOK108" s="897"/>
      <c r="IOL108" s="897"/>
      <c r="IOM108" s="897"/>
      <c r="ION108" s="895"/>
      <c r="IOO108" s="895"/>
      <c r="IOP108" s="896"/>
      <c r="IOQ108" s="897"/>
      <c r="IOR108" s="897"/>
      <c r="IOS108" s="897"/>
      <c r="IOT108" s="897"/>
      <c r="IOU108" s="897"/>
      <c r="IOV108" s="897"/>
      <c r="IOW108" s="897"/>
      <c r="IOX108" s="897"/>
      <c r="IOY108" s="895"/>
      <c r="IOZ108" s="895"/>
      <c r="IPA108" s="896"/>
      <c r="IPB108" s="897"/>
      <c r="IPC108" s="897"/>
      <c r="IPD108" s="897"/>
      <c r="IPE108" s="897"/>
      <c r="IPF108" s="897"/>
      <c r="IPG108" s="897"/>
      <c r="IPH108" s="897"/>
      <c r="IPI108" s="897"/>
      <c r="IPJ108" s="895"/>
      <c r="IPK108" s="895"/>
      <c r="IPL108" s="896"/>
      <c r="IPM108" s="897"/>
      <c r="IPN108" s="897"/>
      <c r="IPO108" s="897"/>
      <c r="IPP108" s="897"/>
      <c r="IPQ108" s="897"/>
      <c r="IPR108" s="897"/>
      <c r="IPS108" s="897"/>
      <c r="IPT108" s="897"/>
      <c r="IPU108" s="895"/>
      <c r="IPV108" s="895"/>
      <c r="IPW108" s="896"/>
      <c r="IPX108" s="897"/>
      <c r="IPY108" s="897"/>
      <c r="IPZ108" s="897"/>
      <c r="IQA108" s="897"/>
      <c r="IQB108" s="897"/>
      <c r="IQC108" s="897"/>
      <c r="IQD108" s="897"/>
      <c r="IQE108" s="897"/>
      <c r="IQF108" s="895"/>
      <c r="IQG108" s="895"/>
      <c r="IQH108" s="896"/>
      <c r="IQI108" s="897"/>
      <c r="IQJ108" s="897"/>
      <c r="IQK108" s="897"/>
      <c r="IQL108" s="897"/>
      <c r="IQM108" s="897"/>
      <c r="IQN108" s="897"/>
      <c r="IQO108" s="897"/>
      <c r="IQP108" s="897"/>
      <c r="IQQ108" s="895"/>
      <c r="IQR108" s="895"/>
      <c r="IQS108" s="896"/>
      <c r="IQT108" s="897"/>
      <c r="IQU108" s="897"/>
      <c r="IQV108" s="897"/>
      <c r="IQW108" s="897"/>
      <c r="IQX108" s="897"/>
      <c r="IQY108" s="897"/>
      <c r="IQZ108" s="897"/>
      <c r="IRA108" s="897"/>
      <c r="IRB108" s="895"/>
      <c r="IRC108" s="895"/>
      <c r="IRD108" s="896"/>
      <c r="IRE108" s="897"/>
      <c r="IRF108" s="897"/>
      <c r="IRG108" s="897"/>
      <c r="IRH108" s="897"/>
      <c r="IRI108" s="897"/>
      <c r="IRJ108" s="897"/>
      <c r="IRK108" s="897"/>
      <c r="IRL108" s="897"/>
      <c r="IRM108" s="895"/>
      <c r="IRN108" s="895"/>
      <c r="IRO108" s="896"/>
      <c r="IRP108" s="897"/>
      <c r="IRQ108" s="897"/>
      <c r="IRR108" s="897"/>
      <c r="IRS108" s="897"/>
      <c r="IRT108" s="897"/>
      <c r="IRU108" s="897"/>
      <c r="IRV108" s="897"/>
      <c r="IRW108" s="897"/>
      <c r="IRX108" s="895"/>
      <c r="IRY108" s="895"/>
      <c r="IRZ108" s="896"/>
      <c r="ISA108" s="897"/>
      <c r="ISB108" s="897"/>
      <c r="ISC108" s="897"/>
      <c r="ISD108" s="897"/>
      <c r="ISE108" s="897"/>
      <c r="ISF108" s="897"/>
      <c r="ISG108" s="897"/>
      <c r="ISH108" s="897"/>
      <c r="ISI108" s="895"/>
      <c r="ISJ108" s="895"/>
      <c r="ISK108" s="896"/>
      <c r="ISL108" s="897"/>
      <c r="ISM108" s="897"/>
      <c r="ISN108" s="897"/>
      <c r="ISO108" s="897"/>
      <c r="ISP108" s="897"/>
      <c r="ISQ108" s="897"/>
      <c r="ISR108" s="897"/>
      <c r="ISS108" s="897"/>
      <c r="IST108" s="895"/>
      <c r="ISU108" s="895"/>
      <c r="ISV108" s="896"/>
      <c r="ISW108" s="897"/>
      <c r="ISX108" s="897"/>
      <c r="ISY108" s="897"/>
      <c r="ISZ108" s="897"/>
      <c r="ITA108" s="897"/>
      <c r="ITB108" s="897"/>
      <c r="ITC108" s="897"/>
      <c r="ITD108" s="897"/>
      <c r="ITE108" s="895"/>
      <c r="ITF108" s="895"/>
      <c r="ITG108" s="896"/>
      <c r="ITH108" s="897"/>
      <c r="ITI108" s="897"/>
      <c r="ITJ108" s="897"/>
      <c r="ITK108" s="897"/>
      <c r="ITL108" s="897"/>
      <c r="ITM108" s="897"/>
      <c r="ITN108" s="897"/>
      <c r="ITO108" s="897"/>
      <c r="ITP108" s="895"/>
      <c r="ITQ108" s="895"/>
      <c r="ITR108" s="896"/>
      <c r="ITS108" s="897"/>
      <c r="ITT108" s="897"/>
      <c r="ITU108" s="897"/>
      <c r="ITV108" s="897"/>
      <c r="ITW108" s="897"/>
      <c r="ITX108" s="897"/>
      <c r="ITY108" s="897"/>
      <c r="ITZ108" s="897"/>
      <c r="IUA108" s="895"/>
      <c r="IUB108" s="895"/>
      <c r="IUC108" s="896"/>
      <c r="IUD108" s="897"/>
      <c r="IUE108" s="897"/>
      <c r="IUF108" s="897"/>
      <c r="IUG108" s="897"/>
      <c r="IUH108" s="897"/>
      <c r="IUI108" s="897"/>
      <c r="IUJ108" s="897"/>
      <c r="IUK108" s="897"/>
      <c r="IUL108" s="895"/>
      <c r="IUM108" s="895"/>
      <c r="IUN108" s="896"/>
      <c r="IUO108" s="897"/>
      <c r="IUP108" s="897"/>
      <c r="IUQ108" s="897"/>
      <c r="IUR108" s="897"/>
      <c r="IUS108" s="897"/>
      <c r="IUT108" s="897"/>
      <c r="IUU108" s="897"/>
      <c r="IUV108" s="897"/>
      <c r="IUW108" s="895"/>
      <c r="IUX108" s="895"/>
      <c r="IUY108" s="896"/>
      <c r="IUZ108" s="897"/>
      <c r="IVA108" s="897"/>
      <c r="IVB108" s="897"/>
      <c r="IVC108" s="897"/>
      <c r="IVD108" s="897"/>
      <c r="IVE108" s="897"/>
      <c r="IVF108" s="897"/>
      <c r="IVG108" s="897"/>
      <c r="IVH108" s="895"/>
      <c r="IVI108" s="895"/>
      <c r="IVJ108" s="896"/>
      <c r="IVK108" s="897"/>
      <c r="IVL108" s="897"/>
      <c r="IVM108" s="897"/>
      <c r="IVN108" s="897"/>
      <c r="IVO108" s="897"/>
      <c r="IVP108" s="897"/>
      <c r="IVQ108" s="897"/>
      <c r="IVR108" s="897"/>
      <c r="IVS108" s="895"/>
      <c r="IVT108" s="895"/>
      <c r="IVU108" s="896"/>
      <c r="IVV108" s="897"/>
      <c r="IVW108" s="897"/>
      <c r="IVX108" s="897"/>
      <c r="IVY108" s="897"/>
      <c r="IVZ108" s="897"/>
      <c r="IWA108" s="897"/>
      <c r="IWB108" s="897"/>
      <c r="IWC108" s="897"/>
      <c r="IWD108" s="895"/>
      <c r="IWE108" s="895"/>
      <c r="IWF108" s="896"/>
      <c r="IWG108" s="897"/>
      <c r="IWH108" s="897"/>
      <c r="IWI108" s="897"/>
      <c r="IWJ108" s="897"/>
      <c r="IWK108" s="897"/>
      <c r="IWL108" s="897"/>
      <c r="IWM108" s="897"/>
      <c r="IWN108" s="897"/>
      <c r="IWO108" s="895"/>
      <c r="IWP108" s="895"/>
      <c r="IWQ108" s="896"/>
      <c r="IWR108" s="897"/>
      <c r="IWS108" s="897"/>
      <c r="IWT108" s="897"/>
      <c r="IWU108" s="897"/>
      <c r="IWV108" s="897"/>
      <c r="IWW108" s="897"/>
      <c r="IWX108" s="897"/>
      <c r="IWY108" s="897"/>
      <c r="IWZ108" s="895"/>
      <c r="IXA108" s="895"/>
      <c r="IXB108" s="896"/>
      <c r="IXC108" s="897"/>
      <c r="IXD108" s="897"/>
      <c r="IXE108" s="897"/>
      <c r="IXF108" s="897"/>
      <c r="IXG108" s="897"/>
      <c r="IXH108" s="897"/>
      <c r="IXI108" s="897"/>
      <c r="IXJ108" s="897"/>
      <c r="IXK108" s="895"/>
      <c r="IXL108" s="895"/>
      <c r="IXM108" s="896"/>
      <c r="IXN108" s="897"/>
      <c r="IXO108" s="897"/>
      <c r="IXP108" s="897"/>
      <c r="IXQ108" s="897"/>
      <c r="IXR108" s="897"/>
      <c r="IXS108" s="897"/>
      <c r="IXT108" s="897"/>
      <c r="IXU108" s="897"/>
      <c r="IXV108" s="895"/>
      <c r="IXW108" s="895"/>
      <c r="IXX108" s="896"/>
      <c r="IXY108" s="897"/>
      <c r="IXZ108" s="897"/>
      <c r="IYA108" s="897"/>
      <c r="IYB108" s="897"/>
      <c r="IYC108" s="897"/>
      <c r="IYD108" s="897"/>
      <c r="IYE108" s="897"/>
      <c r="IYF108" s="897"/>
      <c r="IYG108" s="895"/>
      <c r="IYH108" s="895"/>
      <c r="IYI108" s="896"/>
      <c r="IYJ108" s="897"/>
      <c r="IYK108" s="897"/>
      <c r="IYL108" s="897"/>
      <c r="IYM108" s="897"/>
      <c r="IYN108" s="897"/>
      <c r="IYO108" s="897"/>
      <c r="IYP108" s="897"/>
      <c r="IYQ108" s="897"/>
      <c r="IYR108" s="895"/>
      <c r="IYS108" s="895"/>
      <c r="IYT108" s="896"/>
      <c r="IYU108" s="897"/>
      <c r="IYV108" s="897"/>
      <c r="IYW108" s="897"/>
      <c r="IYX108" s="897"/>
      <c r="IYY108" s="897"/>
      <c r="IYZ108" s="897"/>
      <c r="IZA108" s="897"/>
      <c r="IZB108" s="897"/>
      <c r="IZC108" s="895"/>
      <c r="IZD108" s="895"/>
      <c r="IZE108" s="896"/>
      <c r="IZF108" s="897"/>
      <c r="IZG108" s="897"/>
      <c r="IZH108" s="897"/>
      <c r="IZI108" s="897"/>
      <c r="IZJ108" s="897"/>
      <c r="IZK108" s="897"/>
      <c r="IZL108" s="897"/>
      <c r="IZM108" s="897"/>
      <c r="IZN108" s="895"/>
      <c r="IZO108" s="895"/>
      <c r="IZP108" s="896"/>
      <c r="IZQ108" s="897"/>
      <c r="IZR108" s="897"/>
      <c r="IZS108" s="897"/>
      <c r="IZT108" s="897"/>
      <c r="IZU108" s="897"/>
      <c r="IZV108" s="897"/>
      <c r="IZW108" s="897"/>
      <c r="IZX108" s="897"/>
      <c r="IZY108" s="895"/>
      <c r="IZZ108" s="895"/>
      <c r="JAA108" s="896"/>
      <c r="JAB108" s="897"/>
      <c r="JAC108" s="897"/>
      <c r="JAD108" s="897"/>
      <c r="JAE108" s="897"/>
      <c r="JAF108" s="897"/>
      <c r="JAG108" s="897"/>
      <c r="JAH108" s="897"/>
      <c r="JAI108" s="897"/>
      <c r="JAJ108" s="895"/>
      <c r="JAK108" s="895"/>
      <c r="JAL108" s="896"/>
      <c r="JAM108" s="897"/>
      <c r="JAN108" s="897"/>
      <c r="JAO108" s="897"/>
      <c r="JAP108" s="897"/>
      <c r="JAQ108" s="897"/>
      <c r="JAR108" s="897"/>
      <c r="JAS108" s="897"/>
      <c r="JAT108" s="897"/>
      <c r="JAU108" s="895"/>
      <c r="JAV108" s="895"/>
      <c r="JAW108" s="896"/>
      <c r="JAX108" s="897"/>
      <c r="JAY108" s="897"/>
      <c r="JAZ108" s="897"/>
      <c r="JBA108" s="897"/>
      <c r="JBB108" s="897"/>
      <c r="JBC108" s="897"/>
      <c r="JBD108" s="897"/>
      <c r="JBE108" s="897"/>
      <c r="JBF108" s="895"/>
      <c r="JBG108" s="895"/>
      <c r="JBH108" s="896"/>
      <c r="JBI108" s="897"/>
      <c r="JBJ108" s="897"/>
      <c r="JBK108" s="897"/>
      <c r="JBL108" s="897"/>
      <c r="JBM108" s="897"/>
      <c r="JBN108" s="897"/>
      <c r="JBO108" s="897"/>
      <c r="JBP108" s="897"/>
      <c r="JBQ108" s="895"/>
      <c r="JBR108" s="895"/>
      <c r="JBS108" s="896"/>
      <c r="JBT108" s="897"/>
      <c r="JBU108" s="897"/>
      <c r="JBV108" s="897"/>
      <c r="JBW108" s="897"/>
      <c r="JBX108" s="897"/>
      <c r="JBY108" s="897"/>
      <c r="JBZ108" s="897"/>
      <c r="JCA108" s="897"/>
      <c r="JCB108" s="895"/>
      <c r="JCC108" s="895"/>
      <c r="JCD108" s="896"/>
      <c r="JCE108" s="897"/>
      <c r="JCF108" s="897"/>
      <c r="JCG108" s="897"/>
      <c r="JCH108" s="897"/>
      <c r="JCI108" s="897"/>
      <c r="JCJ108" s="897"/>
      <c r="JCK108" s="897"/>
      <c r="JCL108" s="897"/>
      <c r="JCM108" s="895"/>
      <c r="JCN108" s="895"/>
      <c r="JCO108" s="896"/>
      <c r="JCP108" s="897"/>
      <c r="JCQ108" s="897"/>
      <c r="JCR108" s="897"/>
      <c r="JCS108" s="897"/>
      <c r="JCT108" s="897"/>
      <c r="JCU108" s="897"/>
      <c r="JCV108" s="897"/>
      <c r="JCW108" s="897"/>
      <c r="JCX108" s="895"/>
      <c r="JCY108" s="895"/>
      <c r="JCZ108" s="896"/>
      <c r="JDA108" s="897"/>
      <c r="JDB108" s="897"/>
      <c r="JDC108" s="897"/>
      <c r="JDD108" s="897"/>
      <c r="JDE108" s="897"/>
      <c r="JDF108" s="897"/>
      <c r="JDG108" s="897"/>
      <c r="JDH108" s="897"/>
      <c r="JDI108" s="895"/>
      <c r="JDJ108" s="895"/>
      <c r="JDK108" s="896"/>
      <c r="JDL108" s="897"/>
      <c r="JDM108" s="897"/>
      <c r="JDN108" s="897"/>
      <c r="JDO108" s="897"/>
      <c r="JDP108" s="897"/>
      <c r="JDQ108" s="897"/>
      <c r="JDR108" s="897"/>
      <c r="JDS108" s="897"/>
      <c r="JDT108" s="895"/>
      <c r="JDU108" s="895"/>
      <c r="JDV108" s="896"/>
      <c r="JDW108" s="897"/>
      <c r="JDX108" s="897"/>
      <c r="JDY108" s="897"/>
      <c r="JDZ108" s="897"/>
      <c r="JEA108" s="897"/>
      <c r="JEB108" s="897"/>
      <c r="JEC108" s="897"/>
      <c r="JED108" s="897"/>
      <c r="JEE108" s="895"/>
      <c r="JEF108" s="895"/>
      <c r="JEG108" s="896"/>
      <c r="JEH108" s="897"/>
      <c r="JEI108" s="897"/>
      <c r="JEJ108" s="897"/>
      <c r="JEK108" s="897"/>
      <c r="JEL108" s="897"/>
      <c r="JEM108" s="897"/>
      <c r="JEN108" s="897"/>
      <c r="JEO108" s="897"/>
      <c r="JEP108" s="895"/>
      <c r="JEQ108" s="895"/>
      <c r="JER108" s="896"/>
      <c r="JES108" s="897"/>
      <c r="JET108" s="897"/>
      <c r="JEU108" s="897"/>
      <c r="JEV108" s="897"/>
      <c r="JEW108" s="897"/>
      <c r="JEX108" s="897"/>
      <c r="JEY108" s="897"/>
      <c r="JEZ108" s="897"/>
      <c r="JFA108" s="895"/>
      <c r="JFB108" s="895"/>
      <c r="JFC108" s="896"/>
      <c r="JFD108" s="897"/>
      <c r="JFE108" s="897"/>
      <c r="JFF108" s="897"/>
      <c r="JFG108" s="897"/>
      <c r="JFH108" s="897"/>
      <c r="JFI108" s="897"/>
      <c r="JFJ108" s="897"/>
      <c r="JFK108" s="897"/>
      <c r="JFL108" s="895"/>
      <c r="JFM108" s="895"/>
      <c r="JFN108" s="896"/>
      <c r="JFO108" s="897"/>
      <c r="JFP108" s="897"/>
      <c r="JFQ108" s="897"/>
      <c r="JFR108" s="897"/>
      <c r="JFS108" s="897"/>
      <c r="JFT108" s="897"/>
      <c r="JFU108" s="897"/>
      <c r="JFV108" s="897"/>
      <c r="JFW108" s="895"/>
      <c r="JFX108" s="895"/>
      <c r="JFY108" s="896"/>
      <c r="JFZ108" s="897"/>
      <c r="JGA108" s="897"/>
      <c r="JGB108" s="897"/>
      <c r="JGC108" s="897"/>
      <c r="JGD108" s="897"/>
      <c r="JGE108" s="897"/>
      <c r="JGF108" s="897"/>
      <c r="JGG108" s="897"/>
      <c r="JGH108" s="895"/>
      <c r="JGI108" s="895"/>
      <c r="JGJ108" s="896"/>
      <c r="JGK108" s="897"/>
      <c r="JGL108" s="897"/>
      <c r="JGM108" s="897"/>
      <c r="JGN108" s="897"/>
      <c r="JGO108" s="897"/>
      <c r="JGP108" s="897"/>
      <c r="JGQ108" s="897"/>
      <c r="JGR108" s="897"/>
      <c r="JGS108" s="895"/>
      <c r="JGT108" s="895"/>
      <c r="JGU108" s="896"/>
      <c r="JGV108" s="897"/>
      <c r="JGW108" s="897"/>
      <c r="JGX108" s="897"/>
      <c r="JGY108" s="897"/>
      <c r="JGZ108" s="897"/>
      <c r="JHA108" s="897"/>
      <c r="JHB108" s="897"/>
      <c r="JHC108" s="897"/>
      <c r="JHD108" s="895"/>
      <c r="JHE108" s="895"/>
      <c r="JHF108" s="896"/>
      <c r="JHG108" s="897"/>
      <c r="JHH108" s="897"/>
      <c r="JHI108" s="897"/>
      <c r="JHJ108" s="897"/>
      <c r="JHK108" s="897"/>
      <c r="JHL108" s="897"/>
      <c r="JHM108" s="897"/>
      <c r="JHN108" s="897"/>
      <c r="JHO108" s="895"/>
      <c r="JHP108" s="895"/>
      <c r="JHQ108" s="896"/>
      <c r="JHR108" s="897"/>
      <c r="JHS108" s="897"/>
      <c r="JHT108" s="897"/>
      <c r="JHU108" s="897"/>
      <c r="JHV108" s="897"/>
      <c r="JHW108" s="897"/>
      <c r="JHX108" s="897"/>
      <c r="JHY108" s="897"/>
      <c r="JHZ108" s="895"/>
      <c r="JIA108" s="895"/>
      <c r="JIB108" s="896"/>
      <c r="JIC108" s="897"/>
      <c r="JID108" s="897"/>
      <c r="JIE108" s="897"/>
      <c r="JIF108" s="897"/>
      <c r="JIG108" s="897"/>
      <c r="JIH108" s="897"/>
      <c r="JII108" s="897"/>
      <c r="JIJ108" s="897"/>
      <c r="JIK108" s="895"/>
      <c r="JIL108" s="895"/>
      <c r="JIM108" s="896"/>
      <c r="JIN108" s="897"/>
      <c r="JIO108" s="897"/>
      <c r="JIP108" s="897"/>
      <c r="JIQ108" s="897"/>
      <c r="JIR108" s="897"/>
      <c r="JIS108" s="897"/>
      <c r="JIT108" s="897"/>
      <c r="JIU108" s="897"/>
      <c r="JIV108" s="895"/>
      <c r="JIW108" s="895"/>
      <c r="JIX108" s="896"/>
      <c r="JIY108" s="897"/>
      <c r="JIZ108" s="897"/>
      <c r="JJA108" s="897"/>
      <c r="JJB108" s="897"/>
      <c r="JJC108" s="897"/>
      <c r="JJD108" s="897"/>
      <c r="JJE108" s="897"/>
      <c r="JJF108" s="897"/>
      <c r="JJG108" s="895"/>
      <c r="JJH108" s="895"/>
      <c r="JJI108" s="896"/>
      <c r="JJJ108" s="897"/>
      <c r="JJK108" s="897"/>
      <c r="JJL108" s="897"/>
      <c r="JJM108" s="897"/>
      <c r="JJN108" s="897"/>
      <c r="JJO108" s="897"/>
      <c r="JJP108" s="897"/>
      <c r="JJQ108" s="897"/>
      <c r="JJR108" s="895"/>
      <c r="JJS108" s="895"/>
      <c r="JJT108" s="896"/>
      <c r="JJU108" s="897"/>
      <c r="JJV108" s="897"/>
      <c r="JJW108" s="897"/>
      <c r="JJX108" s="897"/>
      <c r="JJY108" s="897"/>
      <c r="JJZ108" s="897"/>
      <c r="JKA108" s="897"/>
      <c r="JKB108" s="897"/>
      <c r="JKC108" s="895"/>
      <c r="JKD108" s="895"/>
      <c r="JKE108" s="896"/>
      <c r="JKF108" s="897"/>
      <c r="JKG108" s="897"/>
      <c r="JKH108" s="897"/>
      <c r="JKI108" s="897"/>
      <c r="JKJ108" s="897"/>
      <c r="JKK108" s="897"/>
      <c r="JKL108" s="897"/>
      <c r="JKM108" s="897"/>
      <c r="JKN108" s="895"/>
      <c r="JKO108" s="895"/>
      <c r="JKP108" s="896"/>
      <c r="JKQ108" s="897"/>
      <c r="JKR108" s="897"/>
      <c r="JKS108" s="897"/>
      <c r="JKT108" s="897"/>
      <c r="JKU108" s="897"/>
      <c r="JKV108" s="897"/>
      <c r="JKW108" s="897"/>
      <c r="JKX108" s="897"/>
      <c r="JKY108" s="895"/>
      <c r="JKZ108" s="895"/>
      <c r="JLA108" s="896"/>
      <c r="JLB108" s="897"/>
      <c r="JLC108" s="897"/>
      <c r="JLD108" s="897"/>
      <c r="JLE108" s="897"/>
      <c r="JLF108" s="897"/>
      <c r="JLG108" s="897"/>
      <c r="JLH108" s="897"/>
      <c r="JLI108" s="897"/>
      <c r="JLJ108" s="895"/>
      <c r="JLK108" s="895"/>
      <c r="JLL108" s="896"/>
      <c r="JLM108" s="897"/>
      <c r="JLN108" s="897"/>
      <c r="JLO108" s="897"/>
      <c r="JLP108" s="897"/>
      <c r="JLQ108" s="897"/>
      <c r="JLR108" s="897"/>
      <c r="JLS108" s="897"/>
      <c r="JLT108" s="897"/>
      <c r="JLU108" s="895"/>
      <c r="JLV108" s="895"/>
      <c r="JLW108" s="896"/>
      <c r="JLX108" s="897"/>
      <c r="JLY108" s="897"/>
      <c r="JLZ108" s="897"/>
      <c r="JMA108" s="897"/>
      <c r="JMB108" s="897"/>
      <c r="JMC108" s="897"/>
      <c r="JMD108" s="897"/>
      <c r="JME108" s="897"/>
      <c r="JMF108" s="895"/>
      <c r="JMG108" s="895"/>
      <c r="JMH108" s="896"/>
      <c r="JMI108" s="897"/>
      <c r="JMJ108" s="897"/>
      <c r="JMK108" s="897"/>
      <c r="JML108" s="897"/>
      <c r="JMM108" s="897"/>
      <c r="JMN108" s="897"/>
      <c r="JMO108" s="897"/>
      <c r="JMP108" s="897"/>
      <c r="JMQ108" s="895"/>
      <c r="JMR108" s="895"/>
      <c r="JMS108" s="896"/>
      <c r="JMT108" s="897"/>
      <c r="JMU108" s="897"/>
      <c r="JMV108" s="897"/>
      <c r="JMW108" s="897"/>
      <c r="JMX108" s="897"/>
      <c r="JMY108" s="897"/>
      <c r="JMZ108" s="897"/>
      <c r="JNA108" s="897"/>
      <c r="JNB108" s="895"/>
      <c r="JNC108" s="895"/>
      <c r="JND108" s="896"/>
      <c r="JNE108" s="897"/>
      <c r="JNF108" s="897"/>
      <c r="JNG108" s="897"/>
      <c r="JNH108" s="897"/>
      <c r="JNI108" s="897"/>
      <c r="JNJ108" s="897"/>
      <c r="JNK108" s="897"/>
      <c r="JNL108" s="897"/>
      <c r="JNM108" s="895"/>
      <c r="JNN108" s="895"/>
      <c r="JNO108" s="896"/>
      <c r="JNP108" s="897"/>
      <c r="JNQ108" s="897"/>
      <c r="JNR108" s="897"/>
      <c r="JNS108" s="897"/>
      <c r="JNT108" s="897"/>
      <c r="JNU108" s="897"/>
      <c r="JNV108" s="897"/>
      <c r="JNW108" s="897"/>
      <c r="JNX108" s="895"/>
      <c r="JNY108" s="895"/>
      <c r="JNZ108" s="896"/>
      <c r="JOA108" s="897"/>
      <c r="JOB108" s="897"/>
      <c r="JOC108" s="897"/>
      <c r="JOD108" s="897"/>
      <c r="JOE108" s="897"/>
      <c r="JOF108" s="897"/>
      <c r="JOG108" s="897"/>
      <c r="JOH108" s="897"/>
      <c r="JOI108" s="895"/>
      <c r="JOJ108" s="895"/>
      <c r="JOK108" s="896"/>
      <c r="JOL108" s="897"/>
      <c r="JOM108" s="897"/>
      <c r="JON108" s="897"/>
      <c r="JOO108" s="897"/>
      <c r="JOP108" s="897"/>
      <c r="JOQ108" s="897"/>
      <c r="JOR108" s="897"/>
      <c r="JOS108" s="897"/>
      <c r="JOT108" s="895"/>
      <c r="JOU108" s="895"/>
      <c r="JOV108" s="896"/>
      <c r="JOW108" s="897"/>
      <c r="JOX108" s="897"/>
      <c r="JOY108" s="897"/>
      <c r="JOZ108" s="897"/>
      <c r="JPA108" s="897"/>
      <c r="JPB108" s="897"/>
      <c r="JPC108" s="897"/>
      <c r="JPD108" s="897"/>
      <c r="JPE108" s="895"/>
      <c r="JPF108" s="895"/>
      <c r="JPG108" s="896"/>
      <c r="JPH108" s="897"/>
      <c r="JPI108" s="897"/>
      <c r="JPJ108" s="897"/>
      <c r="JPK108" s="897"/>
      <c r="JPL108" s="897"/>
      <c r="JPM108" s="897"/>
      <c r="JPN108" s="897"/>
      <c r="JPO108" s="897"/>
      <c r="JPP108" s="895"/>
      <c r="JPQ108" s="895"/>
      <c r="JPR108" s="896"/>
      <c r="JPS108" s="897"/>
      <c r="JPT108" s="897"/>
      <c r="JPU108" s="897"/>
      <c r="JPV108" s="897"/>
      <c r="JPW108" s="897"/>
      <c r="JPX108" s="897"/>
      <c r="JPY108" s="897"/>
      <c r="JPZ108" s="897"/>
      <c r="JQA108" s="895"/>
      <c r="JQB108" s="895"/>
      <c r="JQC108" s="896"/>
      <c r="JQD108" s="897"/>
      <c r="JQE108" s="897"/>
      <c r="JQF108" s="897"/>
      <c r="JQG108" s="897"/>
      <c r="JQH108" s="897"/>
      <c r="JQI108" s="897"/>
      <c r="JQJ108" s="897"/>
      <c r="JQK108" s="897"/>
      <c r="JQL108" s="895"/>
      <c r="JQM108" s="895"/>
      <c r="JQN108" s="896"/>
      <c r="JQO108" s="897"/>
      <c r="JQP108" s="897"/>
      <c r="JQQ108" s="897"/>
      <c r="JQR108" s="897"/>
      <c r="JQS108" s="897"/>
      <c r="JQT108" s="897"/>
      <c r="JQU108" s="897"/>
      <c r="JQV108" s="897"/>
      <c r="JQW108" s="895"/>
      <c r="JQX108" s="895"/>
      <c r="JQY108" s="896"/>
      <c r="JQZ108" s="897"/>
      <c r="JRA108" s="897"/>
      <c r="JRB108" s="897"/>
      <c r="JRC108" s="897"/>
      <c r="JRD108" s="897"/>
      <c r="JRE108" s="897"/>
      <c r="JRF108" s="897"/>
      <c r="JRG108" s="897"/>
      <c r="JRH108" s="895"/>
      <c r="JRI108" s="895"/>
      <c r="JRJ108" s="896"/>
      <c r="JRK108" s="897"/>
      <c r="JRL108" s="897"/>
      <c r="JRM108" s="897"/>
      <c r="JRN108" s="897"/>
      <c r="JRO108" s="897"/>
      <c r="JRP108" s="897"/>
      <c r="JRQ108" s="897"/>
      <c r="JRR108" s="897"/>
      <c r="JRS108" s="895"/>
      <c r="JRT108" s="895"/>
      <c r="JRU108" s="896"/>
      <c r="JRV108" s="897"/>
      <c r="JRW108" s="897"/>
      <c r="JRX108" s="897"/>
      <c r="JRY108" s="897"/>
      <c r="JRZ108" s="897"/>
      <c r="JSA108" s="897"/>
      <c r="JSB108" s="897"/>
      <c r="JSC108" s="897"/>
      <c r="JSD108" s="895"/>
      <c r="JSE108" s="895"/>
      <c r="JSF108" s="896"/>
      <c r="JSG108" s="897"/>
      <c r="JSH108" s="897"/>
      <c r="JSI108" s="897"/>
      <c r="JSJ108" s="897"/>
      <c r="JSK108" s="897"/>
      <c r="JSL108" s="897"/>
      <c r="JSM108" s="897"/>
      <c r="JSN108" s="897"/>
      <c r="JSO108" s="895"/>
      <c r="JSP108" s="895"/>
      <c r="JSQ108" s="896"/>
      <c r="JSR108" s="897"/>
      <c r="JSS108" s="897"/>
      <c r="JST108" s="897"/>
      <c r="JSU108" s="897"/>
      <c r="JSV108" s="897"/>
      <c r="JSW108" s="897"/>
      <c r="JSX108" s="897"/>
      <c r="JSY108" s="897"/>
      <c r="JSZ108" s="895"/>
      <c r="JTA108" s="895"/>
      <c r="JTB108" s="896"/>
      <c r="JTC108" s="897"/>
      <c r="JTD108" s="897"/>
      <c r="JTE108" s="897"/>
      <c r="JTF108" s="897"/>
      <c r="JTG108" s="897"/>
      <c r="JTH108" s="897"/>
      <c r="JTI108" s="897"/>
      <c r="JTJ108" s="897"/>
      <c r="JTK108" s="895"/>
      <c r="JTL108" s="895"/>
      <c r="JTM108" s="896"/>
      <c r="JTN108" s="897"/>
      <c r="JTO108" s="897"/>
      <c r="JTP108" s="897"/>
      <c r="JTQ108" s="897"/>
      <c r="JTR108" s="897"/>
      <c r="JTS108" s="897"/>
      <c r="JTT108" s="897"/>
      <c r="JTU108" s="897"/>
      <c r="JTV108" s="895"/>
      <c r="JTW108" s="895"/>
      <c r="JTX108" s="896"/>
      <c r="JTY108" s="897"/>
      <c r="JTZ108" s="897"/>
      <c r="JUA108" s="897"/>
      <c r="JUB108" s="897"/>
      <c r="JUC108" s="897"/>
      <c r="JUD108" s="897"/>
      <c r="JUE108" s="897"/>
      <c r="JUF108" s="897"/>
      <c r="JUG108" s="895"/>
      <c r="JUH108" s="895"/>
      <c r="JUI108" s="896"/>
      <c r="JUJ108" s="897"/>
      <c r="JUK108" s="897"/>
      <c r="JUL108" s="897"/>
      <c r="JUM108" s="897"/>
      <c r="JUN108" s="897"/>
      <c r="JUO108" s="897"/>
      <c r="JUP108" s="897"/>
      <c r="JUQ108" s="897"/>
      <c r="JUR108" s="895"/>
      <c r="JUS108" s="895"/>
      <c r="JUT108" s="896"/>
      <c r="JUU108" s="897"/>
      <c r="JUV108" s="897"/>
      <c r="JUW108" s="897"/>
      <c r="JUX108" s="897"/>
      <c r="JUY108" s="897"/>
      <c r="JUZ108" s="897"/>
      <c r="JVA108" s="897"/>
      <c r="JVB108" s="897"/>
      <c r="JVC108" s="895"/>
      <c r="JVD108" s="895"/>
      <c r="JVE108" s="896"/>
      <c r="JVF108" s="897"/>
      <c r="JVG108" s="897"/>
      <c r="JVH108" s="897"/>
      <c r="JVI108" s="897"/>
      <c r="JVJ108" s="897"/>
      <c r="JVK108" s="897"/>
      <c r="JVL108" s="897"/>
      <c r="JVM108" s="897"/>
      <c r="JVN108" s="895"/>
      <c r="JVO108" s="895"/>
      <c r="JVP108" s="896"/>
      <c r="JVQ108" s="897"/>
      <c r="JVR108" s="897"/>
      <c r="JVS108" s="897"/>
      <c r="JVT108" s="897"/>
      <c r="JVU108" s="897"/>
      <c r="JVV108" s="897"/>
      <c r="JVW108" s="897"/>
      <c r="JVX108" s="897"/>
      <c r="JVY108" s="895"/>
      <c r="JVZ108" s="895"/>
      <c r="JWA108" s="896"/>
      <c r="JWB108" s="897"/>
      <c r="JWC108" s="897"/>
      <c r="JWD108" s="897"/>
      <c r="JWE108" s="897"/>
      <c r="JWF108" s="897"/>
      <c r="JWG108" s="897"/>
      <c r="JWH108" s="897"/>
      <c r="JWI108" s="897"/>
      <c r="JWJ108" s="895"/>
      <c r="JWK108" s="895"/>
      <c r="JWL108" s="896"/>
      <c r="JWM108" s="897"/>
      <c r="JWN108" s="897"/>
      <c r="JWO108" s="897"/>
      <c r="JWP108" s="897"/>
      <c r="JWQ108" s="897"/>
      <c r="JWR108" s="897"/>
      <c r="JWS108" s="897"/>
      <c r="JWT108" s="897"/>
      <c r="JWU108" s="895"/>
      <c r="JWV108" s="895"/>
      <c r="JWW108" s="896"/>
      <c r="JWX108" s="897"/>
      <c r="JWY108" s="897"/>
      <c r="JWZ108" s="897"/>
      <c r="JXA108" s="897"/>
      <c r="JXB108" s="897"/>
      <c r="JXC108" s="897"/>
      <c r="JXD108" s="897"/>
      <c r="JXE108" s="897"/>
      <c r="JXF108" s="895"/>
      <c r="JXG108" s="895"/>
      <c r="JXH108" s="896"/>
      <c r="JXI108" s="897"/>
      <c r="JXJ108" s="897"/>
      <c r="JXK108" s="897"/>
      <c r="JXL108" s="897"/>
      <c r="JXM108" s="897"/>
      <c r="JXN108" s="897"/>
      <c r="JXO108" s="897"/>
      <c r="JXP108" s="897"/>
      <c r="JXQ108" s="895"/>
      <c r="JXR108" s="895"/>
      <c r="JXS108" s="896"/>
      <c r="JXT108" s="897"/>
      <c r="JXU108" s="897"/>
      <c r="JXV108" s="897"/>
      <c r="JXW108" s="897"/>
      <c r="JXX108" s="897"/>
      <c r="JXY108" s="897"/>
      <c r="JXZ108" s="897"/>
      <c r="JYA108" s="897"/>
      <c r="JYB108" s="895"/>
      <c r="JYC108" s="895"/>
      <c r="JYD108" s="896"/>
      <c r="JYE108" s="897"/>
      <c r="JYF108" s="897"/>
      <c r="JYG108" s="897"/>
      <c r="JYH108" s="897"/>
      <c r="JYI108" s="897"/>
      <c r="JYJ108" s="897"/>
      <c r="JYK108" s="897"/>
      <c r="JYL108" s="897"/>
      <c r="JYM108" s="895"/>
      <c r="JYN108" s="895"/>
      <c r="JYO108" s="896"/>
      <c r="JYP108" s="897"/>
      <c r="JYQ108" s="897"/>
      <c r="JYR108" s="897"/>
      <c r="JYS108" s="897"/>
      <c r="JYT108" s="897"/>
      <c r="JYU108" s="897"/>
      <c r="JYV108" s="897"/>
      <c r="JYW108" s="897"/>
      <c r="JYX108" s="895"/>
      <c r="JYY108" s="895"/>
      <c r="JYZ108" s="896"/>
      <c r="JZA108" s="897"/>
      <c r="JZB108" s="897"/>
      <c r="JZC108" s="897"/>
      <c r="JZD108" s="897"/>
      <c r="JZE108" s="897"/>
      <c r="JZF108" s="897"/>
      <c r="JZG108" s="897"/>
      <c r="JZH108" s="897"/>
      <c r="JZI108" s="895"/>
      <c r="JZJ108" s="895"/>
      <c r="JZK108" s="896"/>
      <c r="JZL108" s="897"/>
      <c r="JZM108" s="897"/>
      <c r="JZN108" s="897"/>
      <c r="JZO108" s="897"/>
      <c r="JZP108" s="897"/>
      <c r="JZQ108" s="897"/>
      <c r="JZR108" s="897"/>
      <c r="JZS108" s="897"/>
      <c r="JZT108" s="895"/>
      <c r="JZU108" s="895"/>
      <c r="JZV108" s="896"/>
      <c r="JZW108" s="897"/>
      <c r="JZX108" s="897"/>
      <c r="JZY108" s="897"/>
      <c r="JZZ108" s="897"/>
      <c r="KAA108" s="897"/>
      <c r="KAB108" s="897"/>
      <c r="KAC108" s="897"/>
      <c r="KAD108" s="897"/>
      <c r="KAE108" s="895"/>
      <c r="KAF108" s="895"/>
      <c r="KAG108" s="896"/>
      <c r="KAH108" s="897"/>
      <c r="KAI108" s="897"/>
      <c r="KAJ108" s="897"/>
      <c r="KAK108" s="897"/>
      <c r="KAL108" s="897"/>
      <c r="KAM108" s="897"/>
      <c r="KAN108" s="897"/>
      <c r="KAO108" s="897"/>
      <c r="KAP108" s="895"/>
      <c r="KAQ108" s="895"/>
      <c r="KAR108" s="896"/>
      <c r="KAS108" s="897"/>
      <c r="KAT108" s="897"/>
      <c r="KAU108" s="897"/>
      <c r="KAV108" s="897"/>
      <c r="KAW108" s="897"/>
      <c r="KAX108" s="897"/>
      <c r="KAY108" s="897"/>
      <c r="KAZ108" s="897"/>
      <c r="KBA108" s="895"/>
      <c r="KBB108" s="895"/>
      <c r="KBC108" s="896"/>
      <c r="KBD108" s="897"/>
      <c r="KBE108" s="897"/>
      <c r="KBF108" s="897"/>
      <c r="KBG108" s="897"/>
      <c r="KBH108" s="897"/>
      <c r="KBI108" s="897"/>
      <c r="KBJ108" s="897"/>
      <c r="KBK108" s="897"/>
      <c r="KBL108" s="895"/>
      <c r="KBM108" s="895"/>
      <c r="KBN108" s="896"/>
      <c r="KBO108" s="897"/>
      <c r="KBP108" s="897"/>
      <c r="KBQ108" s="897"/>
      <c r="KBR108" s="897"/>
      <c r="KBS108" s="897"/>
      <c r="KBT108" s="897"/>
      <c r="KBU108" s="897"/>
      <c r="KBV108" s="897"/>
      <c r="KBW108" s="895"/>
      <c r="KBX108" s="895"/>
      <c r="KBY108" s="896"/>
      <c r="KBZ108" s="897"/>
      <c r="KCA108" s="897"/>
      <c r="KCB108" s="897"/>
      <c r="KCC108" s="897"/>
      <c r="KCD108" s="897"/>
      <c r="KCE108" s="897"/>
      <c r="KCF108" s="897"/>
      <c r="KCG108" s="897"/>
      <c r="KCH108" s="895"/>
      <c r="KCI108" s="895"/>
      <c r="KCJ108" s="896"/>
      <c r="KCK108" s="897"/>
      <c r="KCL108" s="897"/>
      <c r="KCM108" s="897"/>
      <c r="KCN108" s="897"/>
      <c r="KCO108" s="897"/>
      <c r="KCP108" s="897"/>
      <c r="KCQ108" s="897"/>
      <c r="KCR108" s="897"/>
      <c r="KCS108" s="895"/>
      <c r="KCT108" s="895"/>
      <c r="KCU108" s="896"/>
      <c r="KCV108" s="897"/>
      <c r="KCW108" s="897"/>
      <c r="KCX108" s="897"/>
      <c r="KCY108" s="897"/>
      <c r="KCZ108" s="897"/>
      <c r="KDA108" s="897"/>
      <c r="KDB108" s="897"/>
      <c r="KDC108" s="897"/>
      <c r="KDD108" s="895"/>
      <c r="KDE108" s="895"/>
      <c r="KDF108" s="896"/>
      <c r="KDG108" s="897"/>
      <c r="KDH108" s="897"/>
      <c r="KDI108" s="897"/>
      <c r="KDJ108" s="897"/>
      <c r="KDK108" s="897"/>
      <c r="KDL108" s="897"/>
      <c r="KDM108" s="897"/>
      <c r="KDN108" s="897"/>
      <c r="KDO108" s="895"/>
      <c r="KDP108" s="895"/>
      <c r="KDQ108" s="896"/>
      <c r="KDR108" s="897"/>
      <c r="KDS108" s="897"/>
      <c r="KDT108" s="897"/>
      <c r="KDU108" s="897"/>
      <c r="KDV108" s="897"/>
      <c r="KDW108" s="897"/>
      <c r="KDX108" s="897"/>
      <c r="KDY108" s="897"/>
      <c r="KDZ108" s="895"/>
      <c r="KEA108" s="895"/>
      <c r="KEB108" s="896"/>
      <c r="KEC108" s="897"/>
      <c r="KED108" s="897"/>
      <c r="KEE108" s="897"/>
      <c r="KEF108" s="897"/>
      <c r="KEG108" s="897"/>
      <c r="KEH108" s="897"/>
      <c r="KEI108" s="897"/>
      <c r="KEJ108" s="897"/>
      <c r="KEK108" s="895"/>
      <c r="KEL108" s="895"/>
      <c r="KEM108" s="896"/>
      <c r="KEN108" s="897"/>
      <c r="KEO108" s="897"/>
      <c r="KEP108" s="897"/>
      <c r="KEQ108" s="897"/>
      <c r="KER108" s="897"/>
      <c r="KES108" s="897"/>
      <c r="KET108" s="897"/>
      <c r="KEU108" s="897"/>
      <c r="KEV108" s="895"/>
      <c r="KEW108" s="895"/>
      <c r="KEX108" s="896"/>
      <c r="KEY108" s="897"/>
      <c r="KEZ108" s="897"/>
      <c r="KFA108" s="897"/>
      <c r="KFB108" s="897"/>
      <c r="KFC108" s="897"/>
      <c r="KFD108" s="897"/>
      <c r="KFE108" s="897"/>
      <c r="KFF108" s="897"/>
      <c r="KFG108" s="895"/>
      <c r="KFH108" s="895"/>
      <c r="KFI108" s="896"/>
      <c r="KFJ108" s="897"/>
      <c r="KFK108" s="897"/>
      <c r="KFL108" s="897"/>
      <c r="KFM108" s="897"/>
      <c r="KFN108" s="897"/>
      <c r="KFO108" s="897"/>
      <c r="KFP108" s="897"/>
      <c r="KFQ108" s="897"/>
      <c r="KFR108" s="895"/>
      <c r="KFS108" s="895"/>
      <c r="KFT108" s="896"/>
      <c r="KFU108" s="897"/>
      <c r="KFV108" s="897"/>
      <c r="KFW108" s="897"/>
      <c r="KFX108" s="897"/>
      <c r="KFY108" s="897"/>
      <c r="KFZ108" s="897"/>
      <c r="KGA108" s="897"/>
      <c r="KGB108" s="897"/>
      <c r="KGC108" s="895"/>
      <c r="KGD108" s="895"/>
      <c r="KGE108" s="896"/>
      <c r="KGF108" s="897"/>
      <c r="KGG108" s="897"/>
      <c r="KGH108" s="897"/>
      <c r="KGI108" s="897"/>
      <c r="KGJ108" s="897"/>
      <c r="KGK108" s="897"/>
      <c r="KGL108" s="897"/>
      <c r="KGM108" s="897"/>
      <c r="KGN108" s="895"/>
      <c r="KGO108" s="895"/>
      <c r="KGP108" s="896"/>
      <c r="KGQ108" s="897"/>
      <c r="KGR108" s="897"/>
      <c r="KGS108" s="897"/>
      <c r="KGT108" s="897"/>
      <c r="KGU108" s="897"/>
      <c r="KGV108" s="897"/>
      <c r="KGW108" s="897"/>
      <c r="KGX108" s="897"/>
      <c r="KGY108" s="895"/>
      <c r="KGZ108" s="895"/>
      <c r="KHA108" s="896"/>
      <c r="KHB108" s="897"/>
      <c r="KHC108" s="897"/>
      <c r="KHD108" s="897"/>
      <c r="KHE108" s="897"/>
      <c r="KHF108" s="897"/>
      <c r="KHG108" s="897"/>
      <c r="KHH108" s="897"/>
      <c r="KHI108" s="897"/>
      <c r="KHJ108" s="895"/>
      <c r="KHK108" s="895"/>
      <c r="KHL108" s="896"/>
      <c r="KHM108" s="897"/>
      <c r="KHN108" s="897"/>
      <c r="KHO108" s="897"/>
      <c r="KHP108" s="897"/>
      <c r="KHQ108" s="897"/>
      <c r="KHR108" s="897"/>
      <c r="KHS108" s="897"/>
      <c r="KHT108" s="897"/>
      <c r="KHU108" s="895"/>
      <c r="KHV108" s="895"/>
      <c r="KHW108" s="896"/>
      <c r="KHX108" s="897"/>
      <c r="KHY108" s="897"/>
      <c r="KHZ108" s="897"/>
      <c r="KIA108" s="897"/>
      <c r="KIB108" s="897"/>
      <c r="KIC108" s="897"/>
      <c r="KID108" s="897"/>
      <c r="KIE108" s="897"/>
      <c r="KIF108" s="895"/>
      <c r="KIG108" s="895"/>
      <c r="KIH108" s="896"/>
      <c r="KII108" s="897"/>
      <c r="KIJ108" s="897"/>
      <c r="KIK108" s="897"/>
      <c r="KIL108" s="897"/>
      <c r="KIM108" s="897"/>
      <c r="KIN108" s="897"/>
      <c r="KIO108" s="897"/>
      <c r="KIP108" s="897"/>
      <c r="KIQ108" s="895"/>
      <c r="KIR108" s="895"/>
      <c r="KIS108" s="896"/>
      <c r="KIT108" s="897"/>
      <c r="KIU108" s="897"/>
      <c r="KIV108" s="897"/>
      <c r="KIW108" s="897"/>
      <c r="KIX108" s="897"/>
      <c r="KIY108" s="897"/>
      <c r="KIZ108" s="897"/>
      <c r="KJA108" s="897"/>
      <c r="KJB108" s="895"/>
      <c r="KJC108" s="895"/>
      <c r="KJD108" s="896"/>
      <c r="KJE108" s="897"/>
      <c r="KJF108" s="897"/>
      <c r="KJG108" s="897"/>
      <c r="KJH108" s="897"/>
      <c r="KJI108" s="897"/>
      <c r="KJJ108" s="897"/>
      <c r="KJK108" s="897"/>
      <c r="KJL108" s="897"/>
      <c r="KJM108" s="895"/>
      <c r="KJN108" s="895"/>
      <c r="KJO108" s="896"/>
      <c r="KJP108" s="897"/>
      <c r="KJQ108" s="897"/>
      <c r="KJR108" s="897"/>
      <c r="KJS108" s="897"/>
      <c r="KJT108" s="897"/>
      <c r="KJU108" s="897"/>
      <c r="KJV108" s="897"/>
      <c r="KJW108" s="897"/>
      <c r="KJX108" s="895"/>
      <c r="KJY108" s="895"/>
      <c r="KJZ108" s="896"/>
      <c r="KKA108" s="897"/>
      <c r="KKB108" s="897"/>
      <c r="KKC108" s="897"/>
      <c r="KKD108" s="897"/>
      <c r="KKE108" s="897"/>
      <c r="KKF108" s="897"/>
      <c r="KKG108" s="897"/>
      <c r="KKH108" s="897"/>
      <c r="KKI108" s="895"/>
      <c r="KKJ108" s="895"/>
      <c r="KKK108" s="896"/>
      <c r="KKL108" s="897"/>
      <c r="KKM108" s="897"/>
      <c r="KKN108" s="897"/>
      <c r="KKO108" s="897"/>
      <c r="KKP108" s="897"/>
      <c r="KKQ108" s="897"/>
      <c r="KKR108" s="897"/>
      <c r="KKS108" s="897"/>
      <c r="KKT108" s="895"/>
      <c r="KKU108" s="895"/>
      <c r="KKV108" s="896"/>
      <c r="KKW108" s="897"/>
      <c r="KKX108" s="897"/>
      <c r="KKY108" s="897"/>
      <c r="KKZ108" s="897"/>
      <c r="KLA108" s="897"/>
      <c r="KLB108" s="897"/>
      <c r="KLC108" s="897"/>
      <c r="KLD108" s="897"/>
      <c r="KLE108" s="895"/>
      <c r="KLF108" s="895"/>
      <c r="KLG108" s="896"/>
      <c r="KLH108" s="897"/>
      <c r="KLI108" s="897"/>
      <c r="KLJ108" s="897"/>
      <c r="KLK108" s="897"/>
      <c r="KLL108" s="897"/>
      <c r="KLM108" s="897"/>
      <c r="KLN108" s="897"/>
      <c r="KLO108" s="897"/>
      <c r="KLP108" s="895"/>
      <c r="KLQ108" s="895"/>
      <c r="KLR108" s="896"/>
      <c r="KLS108" s="897"/>
      <c r="KLT108" s="897"/>
      <c r="KLU108" s="897"/>
      <c r="KLV108" s="897"/>
      <c r="KLW108" s="897"/>
      <c r="KLX108" s="897"/>
      <c r="KLY108" s="897"/>
      <c r="KLZ108" s="897"/>
      <c r="KMA108" s="895"/>
      <c r="KMB108" s="895"/>
      <c r="KMC108" s="896"/>
      <c r="KMD108" s="897"/>
      <c r="KME108" s="897"/>
      <c r="KMF108" s="897"/>
      <c r="KMG108" s="897"/>
      <c r="KMH108" s="897"/>
      <c r="KMI108" s="897"/>
      <c r="KMJ108" s="897"/>
      <c r="KMK108" s="897"/>
      <c r="KML108" s="895"/>
      <c r="KMM108" s="895"/>
      <c r="KMN108" s="896"/>
      <c r="KMO108" s="897"/>
      <c r="KMP108" s="897"/>
      <c r="KMQ108" s="897"/>
      <c r="KMR108" s="897"/>
      <c r="KMS108" s="897"/>
      <c r="KMT108" s="897"/>
      <c r="KMU108" s="897"/>
      <c r="KMV108" s="897"/>
      <c r="KMW108" s="895"/>
      <c r="KMX108" s="895"/>
      <c r="KMY108" s="896"/>
      <c r="KMZ108" s="897"/>
      <c r="KNA108" s="897"/>
      <c r="KNB108" s="897"/>
      <c r="KNC108" s="897"/>
      <c r="KND108" s="897"/>
      <c r="KNE108" s="897"/>
      <c r="KNF108" s="897"/>
      <c r="KNG108" s="897"/>
      <c r="KNH108" s="895"/>
      <c r="KNI108" s="895"/>
      <c r="KNJ108" s="896"/>
      <c r="KNK108" s="897"/>
      <c r="KNL108" s="897"/>
      <c r="KNM108" s="897"/>
      <c r="KNN108" s="897"/>
      <c r="KNO108" s="897"/>
      <c r="KNP108" s="897"/>
      <c r="KNQ108" s="897"/>
      <c r="KNR108" s="897"/>
      <c r="KNS108" s="895"/>
      <c r="KNT108" s="895"/>
      <c r="KNU108" s="896"/>
      <c r="KNV108" s="897"/>
      <c r="KNW108" s="897"/>
      <c r="KNX108" s="897"/>
      <c r="KNY108" s="897"/>
      <c r="KNZ108" s="897"/>
      <c r="KOA108" s="897"/>
      <c r="KOB108" s="897"/>
      <c r="KOC108" s="897"/>
      <c r="KOD108" s="895"/>
      <c r="KOE108" s="895"/>
      <c r="KOF108" s="896"/>
      <c r="KOG108" s="897"/>
      <c r="KOH108" s="897"/>
      <c r="KOI108" s="897"/>
      <c r="KOJ108" s="897"/>
      <c r="KOK108" s="897"/>
      <c r="KOL108" s="897"/>
      <c r="KOM108" s="897"/>
      <c r="KON108" s="897"/>
      <c r="KOO108" s="895"/>
      <c r="KOP108" s="895"/>
      <c r="KOQ108" s="896"/>
      <c r="KOR108" s="897"/>
      <c r="KOS108" s="897"/>
      <c r="KOT108" s="897"/>
      <c r="KOU108" s="897"/>
      <c r="KOV108" s="897"/>
      <c r="KOW108" s="897"/>
      <c r="KOX108" s="897"/>
      <c r="KOY108" s="897"/>
      <c r="KOZ108" s="895"/>
      <c r="KPA108" s="895"/>
      <c r="KPB108" s="896"/>
      <c r="KPC108" s="897"/>
      <c r="KPD108" s="897"/>
      <c r="KPE108" s="897"/>
      <c r="KPF108" s="897"/>
      <c r="KPG108" s="897"/>
      <c r="KPH108" s="897"/>
      <c r="KPI108" s="897"/>
      <c r="KPJ108" s="897"/>
      <c r="KPK108" s="895"/>
      <c r="KPL108" s="895"/>
      <c r="KPM108" s="896"/>
      <c r="KPN108" s="897"/>
      <c r="KPO108" s="897"/>
      <c r="KPP108" s="897"/>
      <c r="KPQ108" s="897"/>
      <c r="KPR108" s="897"/>
      <c r="KPS108" s="897"/>
      <c r="KPT108" s="897"/>
      <c r="KPU108" s="897"/>
      <c r="KPV108" s="895"/>
      <c r="KPW108" s="895"/>
      <c r="KPX108" s="896"/>
      <c r="KPY108" s="897"/>
      <c r="KPZ108" s="897"/>
      <c r="KQA108" s="897"/>
      <c r="KQB108" s="897"/>
      <c r="KQC108" s="897"/>
      <c r="KQD108" s="897"/>
      <c r="KQE108" s="897"/>
      <c r="KQF108" s="897"/>
      <c r="KQG108" s="895"/>
      <c r="KQH108" s="895"/>
      <c r="KQI108" s="896"/>
      <c r="KQJ108" s="897"/>
      <c r="KQK108" s="897"/>
      <c r="KQL108" s="897"/>
      <c r="KQM108" s="897"/>
      <c r="KQN108" s="897"/>
      <c r="KQO108" s="897"/>
      <c r="KQP108" s="897"/>
      <c r="KQQ108" s="897"/>
      <c r="KQR108" s="895"/>
      <c r="KQS108" s="895"/>
      <c r="KQT108" s="896"/>
      <c r="KQU108" s="897"/>
      <c r="KQV108" s="897"/>
      <c r="KQW108" s="897"/>
      <c r="KQX108" s="897"/>
      <c r="KQY108" s="897"/>
      <c r="KQZ108" s="897"/>
      <c r="KRA108" s="897"/>
      <c r="KRB108" s="897"/>
      <c r="KRC108" s="895"/>
      <c r="KRD108" s="895"/>
      <c r="KRE108" s="896"/>
      <c r="KRF108" s="897"/>
      <c r="KRG108" s="897"/>
      <c r="KRH108" s="897"/>
      <c r="KRI108" s="897"/>
      <c r="KRJ108" s="897"/>
      <c r="KRK108" s="897"/>
      <c r="KRL108" s="897"/>
      <c r="KRM108" s="897"/>
      <c r="KRN108" s="895"/>
      <c r="KRO108" s="895"/>
      <c r="KRP108" s="896"/>
      <c r="KRQ108" s="897"/>
      <c r="KRR108" s="897"/>
      <c r="KRS108" s="897"/>
      <c r="KRT108" s="897"/>
      <c r="KRU108" s="897"/>
      <c r="KRV108" s="897"/>
      <c r="KRW108" s="897"/>
      <c r="KRX108" s="897"/>
      <c r="KRY108" s="895"/>
      <c r="KRZ108" s="895"/>
      <c r="KSA108" s="896"/>
      <c r="KSB108" s="897"/>
      <c r="KSC108" s="897"/>
      <c r="KSD108" s="897"/>
      <c r="KSE108" s="897"/>
      <c r="KSF108" s="897"/>
      <c r="KSG108" s="897"/>
      <c r="KSH108" s="897"/>
      <c r="KSI108" s="897"/>
      <c r="KSJ108" s="895"/>
      <c r="KSK108" s="895"/>
      <c r="KSL108" s="896"/>
      <c r="KSM108" s="897"/>
      <c r="KSN108" s="897"/>
      <c r="KSO108" s="897"/>
      <c r="KSP108" s="897"/>
      <c r="KSQ108" s="897"/>
      <c r="KSR108" s="897"/>
      <c r="KSS108" s="897"/>
      <c r="KST108" s="897"/>
      <c r="KSU108" s="895"/>
      <c r="KSV108" s="895"/>
      <c r="KSW108" s="896"/>
      <c r="KSX108" s="897"/>
      <c r="KSY108" s="897"/>
      <c r="KSZ108" s="897"/>
      <c r="KTA108" s="897"/>
      <c r="KTB108" s="897"/>
      <c r="KTC108" s="897"/>
      <c r="KTD108" s="897"/>
      <c r="KTE108" s="897"/>
      <c r="KTF108" s="895"/>
      <c r="KTG108" s="895"/>
      <c r="KTH108" s="896"/>
      <c r="KTI108" s="897"/>
      <c r="KTJ108" s="897"/>
      <c r="KTK108" s="897"/>
      <c r="KTL108" s="897"/>
      <c r="KTM108" s="897"/>
      <c r="KTN108" s="897"/>
      <c r="KTO108" s="897"/>
      <c r="KTP108" s="897"/>
      <c r="KTQ108" s="895"/>
      <c r="KTR108" s="895"/>
      <c r="KTS108" s="896"/>
      <c r="KTT108" s="897"/>
      <c r="KTU108" s="897"/>
      <c r="KTV108" s="897"/>
      <c r="KTW108" s="897"/>
      <c r="KTX108" s="897"/>
      <c r="KTY108" s="897"/>
      <c r="KTZ108" s="897"/>
      <c r="KUA108" s="897"/>
      <c r="KUB108" s="895"/>
      <c r="KUC108" s="895"/>
      <c r="KUD108" s="896"/>
      <c r="KUE108" s="897"/>
      <c r="KUF108" s="897"/>
      <c r="KUG108" s="897"/>
      <c r="KUH108" s="897"/>
      <c r="KUI108" s="897"/>
      <c r="KUJ108" s="897"/>
      <c r="KUK108" s="897"/>
      <c r="KUL108" s="897"/>
      <c r="KUM108" s="895"/>
      <c r="KUN108" s="895"/>
      <c r="KUO108" s="896"/>
      <c r="KUP108" s="897"/>
      <c r="KUQ108" s="897"/>
      <c r="KUR108" s="897"/>
      <c r="KUS108" s="897"/>
      <c r="KUT108" s="897"/>
      <c r="KUU108" s="897"/>
      <c r="KUV108" s="897"/>
      <c r="KUW108" s="897"/>
      <c r="KUX108" s="895"/>
      <c r="KUY108" s="895"/>
      <c r="KUZ108" s="896"/>
      <c r="KVA108" s="897"/>
      <c r="KVB108" s="897"/>
      <c r="KVC108" s="897"/>
      <c r="KVD108" s="897"/>
      <c r="KVE108" s="897"/>
      <c r="KVF108" s="897"/>
      <c r="KVG108" s="897"/>
      <c r="KVH108" s="897"/>
      <c r="KVI108" s="895"/>
      <c r="KVJ108" s="895"/>
      <c r="KVK108" s="896"/>
      <c r="KVL108" s="897"/>
      <c r="KVM108" s="897"/>
      <c r="KVN108" s="897"/>
      <c r="KVO108" s="897"/>
      <c r="KVP108" s="897"/>
      <c r="KVQ108" s="897"/>
      <c r="KVR108" s="897"/>
      <c r="KVS108" s="897"/>
      <c r="KVT108" s="895"/>
      <c r="KVU108" s="895"/>
      <c r="KVV108" s="896"/>
      <c r="KVW108" s="897"/>
      <c r="KVX108" s="897"/>
      <c r="KVY108" s="897"/>
      <c r="KVZ108" s="897"/>
      <c r="KWA108" s="897"/>
      <c r="KWB108" s="897"/>
      <c r="KWC108" s="897"/>
      <c r="KWD108" s="897"/>
      <c r="KWE108" s="895"/>
      <c r="KWF108" s="895"/>
      <c r="KWG108" s="896"/>
      <c r="KWH108" s="897"/>
      <c r="KWI108" s="897"/>
      <c r="KWJ108" s="897"/>
      <c r="KWK108" s="897"/>
      <c r="KWL108" s="897"/>
      <c r="KWM108" s="897"/>
      <c r="KWN108" s="897"/>
      <c r="KWO108" s="897"/>
      <c r="KWP108" s="895"/>
      <c r="KWQ108" s="895"/>
      <c r="KWR108" s="896"/>
      <c r="KWS108" s="897"/>
      <c r="KWT108" s="897"/>
      <c r="KWU108" s="897"/>
      <c r="KWV108" s="897"/>
      <c r="KWW108" s="897"/>
      <c r="KWX108" s="897"/>
      <c r="KWY108" s="897"/>
      <c r="KWZ108" s="897"/>
      <c r="KXA108" s="895"/>
      <c r="KXB108" s="895"/>
      <c r="KXC108" s="896"/>
      <c r="KXD108" s="897"/>
      <c r="KXE108" s="897"/>
      <c r="KXF108" s="897"/>
      <c r="KXG108" s="897"/>
      <c r="KXH108" s="897"/>
      <c r="KXI108" s="897"/>
      <c r="KXJ108" s="897"/>
      <c r="KXK108" s="897"/>
      <c r="KXL108" s="895"/>
      <c r="KXM108" s="895"/>
      <c r="KXN108" s="896"/>
      <c r="KXO108" s="897"/>
      <c r="KXP108" s="897"/>
      <c r="KXQ108" s="897"/>
      <c r="KXR108" s="897"/>
      <c r="KXS108" s="897"/>
      <c r="KXT108" s="897"/>
      <c r="KXU108" s="897"/>
      <c r="KXV108" s="897"/>
      <c r="KXW108" s="895"/>
      <c r="KXX108" s="895"/>
      <c r="KXY108" s="896"/>
      <c r="KXZ108" s="897"/>
      <c r="KYA108" s="897"/>
      <c r="KYB108" s="897"/>
      <c r="KYC108" s="897"/>
      <c r="KYD108" s="897"/>
      <c r="KYE108" s="897"/>
      <c r="KYF108" s="897"/>
      <c r="KYG108" s="897"/>
      <c r="KYH108" s="895"/>
      <c r="KYI108" s="895"/>
      <c r="KYJ108" s="896"/>
      <c r="KYK108" s="897"/>
      <c r="KYL108" s="897"/>
      <c r="KYM108" s="897"/>
      <c r="KYN108" s="897"/>
      <c r="KYO108" s="897"/>
      <c r="KYP108" s="897"/>
      <c r="KYQ108" s="897"/>
      <c r="KYR108" s="897"/>
      <c r="KYS108" s="895"/>
      <c r="KYT108" s="895"/>
      <c r="KYU108" s="896"/>
      <c r="KYV108" s="897"/>
      <c r="KYW108" s="897"/>
      <c r="KYX108" s="897"/>
      <c r="KYY108" s="897"/>
      <c r="KYZ108" s="897"/>
      <c r="KZA108" s="897"/>
      <c r="KZB108" s="897"/>
      <c r="KZC108" s="897"/>
      <c r="KZD108" s="895"/>
      <c r="KZE108" s="895"/>
      <c r="KZF108" s="896"/>
      <c r="KZG108" s="897"/>
      <c r="KZH108" s="897"/>
      <c r="KZI108" s="897"/>
      <c r="KZJ108" s="897"/>
      <c r="KZK108" s="897"/>
      <c r="KZL108" s="897"/>
      <c r="KZM108" s="897"/>
      <c r="KZN108" s="897"/>
      <c r="KZO108" s="895"/>
      <c r="KZP108" s="895"/>
      <c r="KZQ108" s="896"/>
      <c r="KZR108" s="897"/>
      <c r="KZS108" s="897"/>
      <c r="KZT108" s="897"/>
      <c r="KZU108" s="897"/>
      <c r="KZV108" s="897"/>
      <c r="KZW108" s="897"/>
      <c r="KZX108" s="897"/>
      <c r="KZY108" s="897"/>
      <c r="KZZ108" s="895"/>
      <c r="LAA108" s="895"/>
      <c r="LAB108" s="896"/>
      <c r="LAC108" s="897"/>
      <c r="LAD108" s="897"/>
      <c r="LAE108" s="897"/>
      <c r="LAF108" s="897"/>
      <c r="LAG108" s="897"/>
      <c r="LAH108" s="897"/>
      <c r="LAI108" s="897"/>
      <c r="LAJ108" s="897"/>
      <c r="LAK108" s="895"/>
      <c r="LAL108" s="895"/>
      <c r="LAM108" s="896"/>
      <c r="LAN108" s="897"/>
      <c r="LAO108" s="897"/>
      <c r="LAP108" s="897"/>
      <c r="LAQ108" s="897"/>
      <c r="LAR108" s="897"/>
      <c r="LAS108" s="897"/>
      <c r="LAT108" s="897"/>
      <c r="LAU108" s="897"/>
      <c r="LAV108" s="895"/>
      <c r="LAW108" s="895"/>
      <c r="LAX108" s="896"/>
      <c r="LAY108" s="897"/>
      <c r="LAZ108" s="897"/>
      <c r="LBA108" s="897"/>
      <c r="LBB108" s="897"/>
      <c r="LBC108" s="897"/>
      <c r="LBD108" s="897"/>
      <c r="LBE108" s="897"/>
      <c r="LBF108" s="897"/>
      <c r="LBG108" s="895"/>
      <c r="LBH108" s="895"/>
      <c r="LBI108" s="896"/>
      <c r="LBJ108" s="897"/>
      <c r="LBK108" s="897"/>
      <c r="LBL108" s="897"/>
      <c r="LBM108" s="897"/>
      <c r="LBN108" s="897"/>
      <c r="LBO108" s="897"/>
      <c r="LBP108" s="897"/>
      <c r="LBQ108" s="897"/>
      <c r="LBR108" s="895"/>
      <c r="LBS108" s="895"/>
      <c r="LBT108" s="896"/>
      <c r="LBU108" s="897"/>
      <c r="LBV108" s="897"/>
      <c r="LBW108" s="897"/>
      <c r="LBX108" s="897"/>
      <c r="LBY108" s="897"/>
      <c r="LBZ108" s="897"/>
      <c r="LCA108" s="897"/>
      <c r="LCB108" s="897"/>
      <c r="LCC108" s="895"/>
      <c r="LCD108" s="895"/>
      <c r="LCE108" s="896"/>
      <c r="LCF108" s="897"/>
      <c r="LCG108" s="897"/>
      <c r="LCH108" s="897"/>
      <c r="LCI108" s="897"/>
      <c r="LCJ108" s="897"/>
      <c r="LCK108" s="897"/>
      <c r="LCL108" s="897"/>
      <c r="LCM108" s="897"/>
      <c r="LCN108" s="895"/>
      <c r="LCO108" s="895"/>
      <c r="LCP108" s="896"/>
      <c r="LCQ108" s="897"/>
      <c r="LCR108" s="897"/>
      <c r="LCS108" s="897"/>
      <c r="LCT108" s="897"/>
      <c r="LCU108" s="897"/>
      <c r="LCV108" s="897"/>
      <c r="LCW108" s="897"/>
      <c r="LCX108" s="897"/>
      <c r="LCY108" s="895"/>
      <c r="LCZ108" s="895"/>
      <c r="LDA108" s="896"/>
      <c r="LDB108" s="897"/>
      <c r="LDC108" s="897"/>
      <c r="LDD108" s="897"/>
      <c r="LDE108" s="897"/>
      <c r="LDF108" s="897"/>
      <c r="LDG108" s="897"/>
      <c r="LDH108" s="897"/>
      <c r="LDI108" s="897"/>
      <c r="LDJ108" s="895"/>
      <c r="LDK108" s="895"/>
      <c r="LDL108" s="896"/>
      <c r="LDM108" s="897"/>
      <c r="LDN108" s="897"/>
      <c r="LDO108" s="897"/>
      <c r="LDP108" s="897"/>
      <c r="LDQ108" s="897"/>
      <c r="LDR108" s="897"/>
      <c r="LDS108" s="897"/>
      <c r="LDT108" s="897"/>
      <c r="LDU108" s="895"/>
      <c r="LDV108" s="895"/>
      <c r="LDW108" s="896"/>
      <c r="LDX108" s="897"/>
      <c r="LDY108" s="897"/>
      <c r="LDZ108" s="897"/>
      <c r="LEA108" s="897"/>
      <c r="LEB108" s="897"/>
      <c r="LEC108" s="897"/>
      <c r="LED108" s="897"/>
      <c r="LEE108" s="897"/>
      <c r="LEF108" s="895"/>
      <c r="LEG108" s="895"/>
      <c r="LEH108" s="896"/>
      <c r="LEI108" s="897"/>
      <c r="LEJ108" s="897"/>
      <c r="LEK108" s="897"/>
      <c r="LEL108" s="897"/>
      <c r="LEM108" s="897"/>
      <c r="LEN108" s="897"/>
      <c r="LEO108" s="897"/>
      <c r="LEP108" s="897"/>
      <c r="LEQ108" s="895"/>
      <c r="LER108" s="895"/>
      <c r="LES108" s="896"/>
      <c r="LET108" s="897"/>
      <c r="LEU108" s="897"/>
      <c r="LEV108" s="897"/>
      <c r="LEW108" s="897"/>
      <c r="LEX108" s="897"/>
      <c r="LEY108" s="897"/>
      <c r="LEZ108" s="897"/>
      <c r="LFA108" s="897"/>
      <c r="LFB108" s="895"/>
      <c r="LFC108" s="895"/>
      <c r="LFD108" s="896"/>
      <c r="LFE108" s="897"/>
      <c r="LFF108" s="897"/>
      <c r="LFG108" s="897"/>
      <c r="LFH108" s="897"/>
      <c r="LFI108" s="897"/>
      <c r="LFJ108" s="897"/>
      <c r="LFK108" s="897"/>
      <c r="LFL108" s="897"/>
      <c r="LFM108" s="895"/>
      <c r="LFN108" s="895"/>
      <c r="LFO108" s="896"/>
      <c r="LFP108" s="897"/>
      <c r="LFQ108" s="897"/>
      <c r="LFR108" s="897"/>
      <c r="LFS108" s="897"/>
      <c r="LFT108" s="897"/>
      <c r="LFU108" s="897"/>
      <c r="LFV108" s="897"/>
      <c r="LFW108" s="897"/>
      <c r="LFX108" s="895"/>
      <c r="LFY108" s="895"/>
      <c r="LFZ108" s="896"/>
      <c r="LGA108" s="897"/>
      <c r="LGB108" s="897"/>
      <c r="LGC108" s="897"/>
      <c r="LGD108" s="897"/>
      <c r="LGE108" s="897"/>
      <c r="LGF108" s="897"/>
      <c r="LGG108" s="897"/>
      <c r="LGH108" s="897"/>
      <c r="LGI108" s="895"/>
      <c r="LGJ108" s="895"/>
      <c r="LGK108" s="896"/>
      <c r="LGL108" s="897"/>
      <c r="LGM108" s="897"/>
      <c r="LGN108" s="897"/>
      <c r="LGO108" s="897"/>
      <c r="LGP108" s="897"/>
      <c r="LGQ108" s="897"/>
      <c r="LGR108" s="897"/>
      <c r="LGS108" s="897"/>
      <c r="LGT108" s="895"/>
      <c r="LGU108" s="895"/>
      <c r="LGV108" s="896"/>
      <c r="LGW108" s="897"/>
      <c r="LGX108" s="897"/>
      <c r="LGY108" s="897"/>
      <c r="LGZ108" s="897"/>
      <c r="LHA108" s="897"/>
      <c r="LHB108" s="897"/>
      <c r="LHC108" s="897"/>
      <c r="LHD108" s="897"/>
      <c r="LHE108" s="895"/>
      <c r="LHF108" s="895"/>
      <c r="LHG108" s="896"/>
      <c r="LHH108" s="897"/>
      <c r="LHI108" s="897"/>
      <c r="LHJ108" s="897"/>
      <c r="LHK108" s="897"/>
      <c r="LHL108" s="897"/>
      <c r="LHM108" s="897"/>
      <c r="LHN108" s="897"/>
      <c r="LHO108" s="897"/>
      <c r="LHP108" s="895"/>
      <c r="LHQ108" s="895"/>
      <c r="LHR108" s="896"/>
      <c r="LHS108" s="897"/>
      <c r="LHT108" s="897"/>
      <c r="LHU108" s="897"/>
      <c r="LHV108" s="897"/>
      <c r="LHW108" s="897"/>
      <c r="LHX108" s="897"/>
      <c r="LHY108" s="897"/>
      <c r="LHZ108" s="897"/>
      <c r="LIA108" s="895"/>
      <c r="LIB108" s="895"/>
      <c r="LIC108" s="896"/>
      <c r="LID108" s="897"/>
      <c r="LIE108" s="897"/>
      <c r="LIF108" s="897"/>
      <c r="LIG108" s="897"/>
      <c r="LIH108" s="897"/>
      <c r="LII108" s="897"/>
      <c r="LIJ108" s="897"/>
      <c r="LIK108" s="897"/>
      <c r="LIL108" s="895"/>
      <c r="LIM108" s="895"/>
      <c r="LIN108" s="896"/>
      <c r="LIO108" s="897"/>
      <c r="LIP108" s="897"/>
      <c r="LIQ108" s="897"/>
      <c r="LIR108" s="897"/>
      <c r="LIS108" s="897"/>
      <c r="LIT108" s="897"/>
      <c r="LIU108" s="897"/>
      <c r="LIV108" s="897"/>
      <c r="LIW108" s="895"/>
      <c r="LIX108" s="895"/>
      <c r="LIY108" s="896"/>
      <c r="LIZ108" s="897"/>
      <c r="LJA108" s="897"/>
      <c r="LJB108" s="897"/>
      <c r="LJC108" s="897"/>
      <c r="LJD108" s="897"/>
      <c r="LJE108" s="897"/>
      <c r="LJF108" s="897"/>
      <c r="LJG108" s="897"/>
      <c r="LJH108" s="895"/>
      <c r="LJI108" s="895"/>
      <c r="LJJ108" s="896"/>
      <c r="LJK108" s="897"/>
      <c r="LJL108" s="897"/>
      <c r="LJM108" s="897"/>
      <c r="LJN108" s="897"/>
      <c r="LJO108" s="897"/>
      <c r="LJP108" s="897"/>
      <c r="LJQ108" s="897"/>
      <c r="LJR108" s="897"/>
      <c r="LJS108" s="895"/>
      <c r="LJT108" s="895"/>
      <c r="LJU108" s="896"/>
      <c r="LJV108" s="897"/>
      <c r="LJW108" s="897"/>
      <c r="LJX108" s="897"/>
      <c r="LJY108" s="897"/>
      <c r="LJZ108" s="897"/>
      <c r="LKA108" s="897"/>
      <c r="LKB108" s="897"/>
      <c r="LKC108" s="897"/>
      <c r="LKD108" s="895"/>
      <c r="LKE108" s="895"/>
      <c r="LKF108" s="896"/>
      <c r="LKG108" s="897"/>
      <c r="LKH108" s="897"/>
      <c r="LKI108" s="897"/>
      <c r="LKJ108" s="897"/>
      <c r="LKK108" s="897"/>
      <c r="LKL108" s="897"/>
      <c r="LKM108" s="897"/>
      <c r="LKN108" s="897"/>
      <c r="LKO108" s="895"/>
      <c r="LKP108" s="895"/>
      <c r="LKQ108" s="896"/>
      <c r="LKR108" s="897"/>
      <c r="LKS108" s="897"/>
      <c r="LKT108" s="897"/>
      <c r="LKU108" s="897"/>
      <c r="LKV108" s="897"/>
      <c r="LKW108" s="897"/>
      <c r="LKX108" s="897"/>
      <c r="LKY108" s="897"/>
      <c r="LKZ108" s="895"/>
      <c r="LLA108" s="895"/>
      <c r="LLB108" s="896"/>
      <c r="LLC108" s="897"/>
      <c r="LLD108" s="897"/>
      <c r="LLE108" s="897"/>
      <c r="LLF108" s="897"/>
      <c r="LLG108" s="897"/>
      <c r="LLH108" s="897"/>
      <c r="LLI108" s="897"/>
      <c r="LLJ108" s="897"/>
      <c r="LLK108" s="895"/>
      <c r="LLL108" s="895"/>
      <c r="LLM108" s="896"/>
      <c r="LLN108" s="897"/>
      <c r="LLO108" s="897"/>
      <c r="LLP108" s="897"/>
      <c r="LLQ108" s="897"/>
      <c r="LLR108" s="897"/>
      <c r="LLS108" s="897"/>
      <c r="LLT108" s="897"/>
      <c r="LLU108" s="897"/>
      <c r="LLV108" s="895"/>
      <c r="LLW108" s="895"/>
      <c r="LLX108" s="896"/>
      <c r="LLY108" s="897"/>
      <c r="LLZ108" s="897"/>
      <c r="LMA108" s="897"/>
      <c r="LMB108" s="897"/>
      <c r="LMC108" s="897"/>
      <c r="LMD108" s="897"/>
      <c r="LME108" s="897"/>
      <c r="LMF108" s="897"/>
      <c r="LMG108" s="895"/>
      <c r="LMH108" s="895"/>
      <c r="LMI108" s="896"/>
      <c r="LMJ108" s="897"/>
      <c r="LMK108" s="897"/>
      <c r="LML108" s="897"/>
      <c r="LMM108" s="897"/>
      <c r="LMN108" s="897"/>
      <c r="LMO108" s="897"/>
      <c r="LMP108" s="897"/>
      <c r="LMQ108" s="897"/>
      <c r="LMR108" s="895"/>
      <c r="LMS108" s="895"/>
      <c r="LMT108" s="896"/>
      <c r="LMU108" s="897"/>
      <c r="LMV108" s="897"/>
      <c r="LMW108" s="897"/>
      <c r="LMX108" s="897"/>
      <c r="LMY108" s="897"/>
      <c r="LMZ108" s="897"/>
      <c r="LNA108" s="897"/>
      <c r="LNB108" s="897"/>
      <c r="LNC108" s="895"/>
      <c r="LND108" s="895"/>
      <c r="LNE108" s="896"/>
      <c r="LNF108" s="897"/>
      <c r="LNG108" s="897"/>
      <c r="LNH108" s="897"/>
      <c r="LNI108" s="897"/>
      <c r="LNJ108" s="897"/>
      <c r="LNK108" s="897"/>
      <c r="LNL108" s="897"/>
      <c r="LNM108" s="897"/>
      <c r="LNN108" s="895"/>
      <c r="LNO108" s="895"/>
      <c r="LNP108" s="896"/>
      <c r="LNQ108" s="897"/>
      <c r="LNR108" s="897"/>
      <c r="LNS108" s="897"/>
      <c r="LNT108" s="897"/>
      <c r="LNU108" s="897"/>
      <c r="LNV108" s="897"/>
      <c r="LNW108" s="897"/>
      <c r="LNX108" s="897"/>
      <c r="LNY108" s="895"/>
      <c r="LNZ108" s="895"/>
      <c r="LOA108" s="896"/>
      <c r="LOB108" s="897"/>
      <c r="LOC108" s="897"/>
      <c r="LOD108" s="897"/>
      <c r="LOE108" s="897"/>
      <c r="LOF108" s="897"/>
      <c r="LOG108" s="897"/>
      <c r="LOH108" s="897"/>
      <c r="LOI108" s="897"/>
      <c r="LOJ108" s="895"/>
      <c r="LOK108" s="895"/>
      <c r="LOL108" s="896"/>
      <c r="LOM108" s="897"/>
      <c r="LON108" s="897"/>
      <c r="LOO108" s="897"/>
      <c r="LOP108" s="897"/>
      <c r="LOQ108" s="897"/>
      <c r="LOR108" s="897"/>
      <c r="LOS108" s="897"/>
      <c r="LOT108" s="897"/>
      <c r="LOU108" s="895"/>
      <c r="LOV108" s="895"/>
      <c r="LOW108" s="896"/>
      <c r="LOX108" s="897"/>
      <c r="LOY108" s="897"/>
      <c r="LOZ108" s="897"/>
      <c r="LPA108" s="897"/>
      <c r="LPB108" s="897"/>
      <c r="LPC108" s="897"/>
      <c r="LPD108" s="897"/>
      <c r="LPE108" s="897"/>
      <c r="LPF108" s="895"/>
      <c r="LPG108" s="895"/>
      <c r="LPH108" s="896"/>
      <c r="LPI108" s="897"/>
      <c r="LPJ108" s="897"/>
      <c r="LPK108" s="897"/>
      <c r="LPL108" s="897"/>
      <c r="LPM108" s="897"/>
      <c r="LPN108" s="897"/>
      <c r="LPO108" s="897"/>
      <c r="LPP108" s="897"/>
      <c r="LPQ108" s="895"/>
      <c r="LPR108" s="895"/>
      <c r="LPS108" s="896"/>
      <c r="LPT108" s="897"/>
      <c r="LPU108" s="897"/>
      <c r="LPV108" s="897"/>
      <c r="LPW108" s="897"/>
      <c r="LPX108" s="897"/>
      <c r="LPY108" s="897"/>
      <c r="LPZ108" s="897"/>
      <c r="LQA108" s="897"/>
      <c r="LQB108" s="895"/>
      <c r="LQC108" s="895"/>
      <c r="LQD108" s="896"/>
      <c r="LQE108" s="897"/>
      <c r="LQF108" s="897"/>
      <c r="LQG108" s="897"/>
      <c r="LQH108" s="897"/>
      <c r="LQI108" s="897"/>
      <c r="LQJ108" s="897"/>
      <c r="LQK108" s="897"/>
      <c r="LQL108" s="897"/>
      <c r="LQM108" s="895"/>
      <c r="LQN108" s="895"/>
      <c r="LQO108" s="896"/>
      <c r="LQP108" s="897"/>
      <c r="LQQ108" s="897"/>
      <c r="LQR108" s="897"/>
      <c r="LQS108" s="897"/>
      <c r="LQT108" s="897"/>
      <c r="LQU108" s="897"/>
      <c r="LQV108" s="897"/>
      <c r="LQW108" s="897"/>
      <c r="LQX108" s="895"/>
      <c r="LQY108" s="895"/>
      <c r="LQZ108" s="896"/>
      <c r="LRA108" s="897"/>
      <c r="LRB108" s="897"/>
      <c r="LRC108" s="897"/>
      <c r="LRD108" s="897"/>
      <c r="LRE108" s="897"/>
      <c r="LRF108" s="897"/>
      <c r="LRG108" s="897"/>
      <c r="LRH108" s="897"/>
      <c r="LRI108" s="895"/>
      <c r="LRJ108" s="895"/>
      <c r="LRK108" s="896"/>
      <c r="LRL108" s="897"/>
      <c r="LRM108" s="897"/>
      <c r="LRN108" s="897"/>
      <c r="LRO108" s="897"/>
      <c r="LRP108" s="897"/>
      <c r="LRQ108" s="897"/>
      <c r="LRR108" s="897"/>
      <c r="LRS108" s="897"/>
      <c r="LRT108" s="895"/>
      <c r="LRU108" s="895"/>
      <c r="LRV108" s="896"/>
      <c r="LRW108" s="897"/>
      <c r="LRX108" s="897"/>
      <c r="LRY108" s="897"/>
      <c r="LRZ108" s="897"/>
      <c r="LSA108" s="897"/>
      <c r="LSB108" s="897"/>
      <c r="LSC108" s="897"/>
      <c r="LSD108" s="897"/>
      <c r="LSE108" s="895"/>
      <c r="LSF108" s="895"/>
      <c r="LSG108" s="896"/>
      <c r="LSH108" s="897"/>
      <c r="LSI108" s="897"/>
      <c r="LSJ108" s="897"/>
      <c r="LSK108" s="897"/>
      <c r="LSL108" s="897"/>
      <c r="LSM108" s="897"/>
      <c r="LSN108" s="897"/>
      <c r="LSO108" s="897"/>
      <c r="LSP108" s="895"/>
      <c r="LSQ108" s="895"/>
      <c r="LSR108" s="896"/>
      <c r="LSS108" s="897"/>
      <c r="LST108" s="897"/>
      <c r="LSU108" s="897"/>
      <c r="LSV108" s="897"/>
      <c r="LSW108" s="897"/>
      <c r="LSX108" s="897"/>
      <c r="LSY108" s="897"/>
      <c r="LSZ108" s="897"/>
      <c r="LTA108" s="895"/>
      <c r="LTB108" s="895"/>
      <c r="LTC108" s="896"/>
      <c r="LTD108" s="897"/>
      <c r="LTE108" s="897"/>
      <c r="LTF108" s="897"/>
      <c r="LTG108" s="897"/>
      <c r="LTH108" s="897"/>
      <c r="LTI108" s="897"/>
      <c r="LTJ108" s="897"/>
      <c r="LTK108" s="897"/>
      <c r="LTL108" s="895"/>
      <c r="LTM108" s="895"/>
      <c r="LTN108" s="896"/>
      <c r="LTO108" s="897"/>
      <c r="LTP108" s="897"/>
      <c r="LTQ108" s="897"/>
      <c r="LTR108" s="897"/>
      <c r="LTS108" s="897"/>
      <c r="LTT108" s="897"/>
      <c r="LTU108" s="897"/>
      <c r="LTV108" s="897"/>
      <c r="LTW108" s="895"/>
      <c r="LTX108" s="895"/>
      <c r="LTY108" s="896"/>
      <c r="LTZ108" s="897"/>
      <c r="LUA108" s="897"/>
      <c r="LUB108" s="897"/>
      <c r="LUC108" s="897"/>
      <c r="LUD108" s="897"/>
      <c r="LUE108" s="897"/>
      <c r="LUF108" s="897"/>
      <c r="LUG108" s="897"/>
      <c r="LUH108" s="895"/>
      <c r="LUI108" s="895"/>
      <c r="LUJ108" s="896"/>
      <c r="LUK108" s="897"/>
      <c r="LUL108" s="897"/>
      <c r="LUM108" s="897"/>
      <c r="LUN108" s="897"/>
      <c r="LUO108" s="897"/>
      <c r="LUP108" s="897"/>
      <c r="LUQ108" s="897"/>
      <c r="LUR108" s="897"/>
      <c r="LUS108" s="895"/>
      <c r="LUT108" s="895"/>
      <c r="LUU108" s="896"/>
      <c r="LUV108" s="897"/>
      <c r="LUW108" s="897"/>
      <c r="LUX108" s="897"/>
      <c r="LUY108" s="897"/>
      <c r="LUZ108" s="897"/>
      <c r="LVA108" s="897"/>
      <c r="LVB108" s="897"/>
      <c r="LVC108" s="897"/>
      <c r="LVD108" s="895"/>
      <c r="LVE108" s="895"/>
      <c r="LVF108" s="896"/>
      <c r="LVG108" s="897"/>
      <c r="LVH108" s="897"/>
      <c r="LVI108" s="897"/>
      <c r="LVJ108" s="897"/>
      <c r="LVK108" s="897"/>
      <c r="LVL108" s="897"/>
      <c r="LVM108" s="897"/>
      <c r="LVN108" s="897"/>
      <c r="LVO108" s="895"/>
      <c r="LVP108" s="895"/>
      <c r="LVQ108" s="896"/>
      <c r="LVR108" s="897"/>
      <c r="LVS108" s="897"/>
      <c r="LVT108" s="897"/>
      <c r="LVU108" s="897"/>
      <c r="LVV108" s="897"/>
      <c r="LVW108" s="897"/>
      <c r="LVX108" s="897"/>
      <c r="LVY108" s="897"/>
      <c r="LVZ108" s="895"/>
      <c r="LWA108" s="895"/>
      <c r="LWB108" s="896"/>
      <c r="LWC108" s="897"/>
      <c r="LWD108" s="897"/>
      <c r="LWE108" s="897"/>
      <c r="LWF108" s="897"/>
      <c r="LWG108" s="897"/>
      <c r="LWH108" s="897"/>
      <c r="LWI108" s="897"/>
      <c r="LWJ108" s="897"/>
      <c r="LWK108" s="895"/>
      <c r="LWL108" s="895"/>
      <c r="LWM108" s="896"/>
      <c r="LWN108" s="897"/>
      <c r="LWO108" s="897"/>
      <c r="LWP108" s="897"/>
      <c r="LWQ108" s="897"/>
      <c r="LWR108" s="897"/>
      <c r="LWS108" s="897"/>
      <c r="LWT108" s="897"/>
      <c r="LWU108" s="897"/>
      <c r="LWV108" s="895"/>
      <c r="LWW108" s="895"/>
      <c r="LWX108" s="896"/>
      <c r="LWY108" s="897"/>
      <c r="LWZ108" s="897"/>
      <c r="LXA108" s="897"/>
      <c r="LXB108" s="897"/>
      <c r="LXC108" s="897"/>
      <c r="LXD108" s="897"/>
      <c r="LXE108" s="897"/>
      <c r="LXF108" s="897"/>
      <c r="LXG108" s="895"/>
      <c r="LXH108" s="895"/>
      <c r="LXI108" s="896"/>
      <c r="LXJ108" s="897"/>
      <c r="LXK108" s="897"/>
      <c r="LXL108" s="897"/>
      <c r="LXM108" s="897"/>
      <c r="LXN108" s="897"/>
      <c r="LXO108" s="897"/>
      <c r="LXP108" s="897"/>
      <c r="LXQ108" s="897"/>
      <c r="LXR108" s="895"/>
      <c r="LXS108" s="895"/>
      <c r="LXT108" s="896"/>
      <c r="LXU108" s="897"/>
      <c r="LXV108" s="897"/>
      <c r="LXW108" s="897"/>
      <c r="LXX108" s="897"/>
      <c r="LXY108" s="897"/>
      <c r="LXZ108" s="897"/>
      <c r="LYA108" s="897"/>
      <c r="LYB108" s="897"/>
      <c r="LYC108" s="895"/>
      <c r="LYD108" s="895"/>
      <c r="LYE108" s="896"/>
      <c r="LYF108" s="897"/>
      <c r="LYG108" s="897"/>
      <c r="LYH108" s="897"/>
      <c r="LYI108" s="897"/>
      <c r="LYJ108" s="897"/>
      <c r="LYK108" s="897"/>
      <c r="LYL108" s="897"/>
      <c r="LYM108" s="897"/>
      <c r="LYN108" s="895"/>
      <c r="LYO108" s="895"/>
      <c r="LYP108" s="896"/>
      <c r="LYQ108" s="897"/>
      <c r="LYR108" s="897"/>
      <c r="LYS108" s="897"/>
      <c r="LYT108" s="897"/>
      <c r="LYU108" s="897"/>
      <c r="LYV108" s="897"/>
      <c r="LYW108" s="897"/>
      <c r="LYX108" s="897"/>
      <c r="LYY108" s="895"/>
      <c r="LYZ108" s="895"/>
      <c r="LZA108" s="896"/>
      <c r="LZB108" s="897"/>
      <c r="LZC108" s="897"/>
      <c r="LZD108" s="897"/>
      <c r="LZE108" s="897"/>
      <c r="LZF108" s="897"/>
      <c r="LZG108" s="897"/>
      <c r="LZH108" s="897"/>
      <c r="LZI108" s="897"/>
      <c r="LZJ108" s="895"/>
      <c r="LZK108" s="895"/>
      <c r="LZL108" s="896"/>
      <c r="LZM108" s="897"/>
      <c r="LZN108" s="897"/>
      <c r="LZO108" s="897"/>
      <c r="LZP108" s="897"/>
      <c r="LZQ108" s="897"/>
      <c r="LZR108" s="897"/>
      <c r="LZS108" s="897"/>
      <c r="LZT108" s="897"/>
      <c r="LZU108" s="895"/>
      <c r="LZV108" s="895"/>
      <c r="LZW108" s="896"/>
      <c r="LZX108" s="897"/>
      <c r="LZY108" s="897"/>
      <c r="LZZ108" s="897"/>
      <c r="MAA108" s="897"/>
      <c r="MAB108" s="897"/>
      <c r="MAC108" s="897"/>
      <c r="MAD108" s="897"/>
      <c r="MAE108" s="897"/>
      <c r="MAF108" s="895"/>
      <c r="MAG108" s="895"/>
      <c r="MAH108" s="896"/>
      <c r="MAI108" s="897"/>
      <c r="MAJ108" s="897"/>
      <c r="MAK108" s="897"/>
      <c r="MAL108" s="897"/>
      <c r="MAM108" s="897"/>
      <c r="MAN108" s="897"/>
      <c r="MAO108" s="897"/>
      <c r="MAP108" s="897"/>
      <c r="MAQ108" s="895"/>
      <c r="MAR108" s="895"/>
      <c r="MAS108" s="896"/>
      <c r="MAT108" s="897"/>
      <c r="MAU108" s="897"/>
      <c r="MAV108" s="897"/>
      <c r="MAW108" s="897"/>
      <c r="MAX108" s="897"/>
      <c r="MAY108" s="897"/>
      <c r="MAZ108" s="897"/>
      <c r="MBA108" s="897"/>
      <c r="MBB108" s="895"/>
      <c r="MBC108" s="895"/>
      <c r="MBD108" s="896"/>
      <c r="MBE108" s="897"/>
      <c r="MBF108" s="897"/>
      <c r="MBG108" s="897"/>
      <c r="MBH108" s="897"/>
      <c r="MBI108" s="897"/>
      <c r="MBJ108" s="897"/>
      <c r="MBK108" s="897"/>
      <c r="MBL108" s="897"/>
      <c r="MBM108" s="895"/>
      <c r="MBN108" s="895"/>
      <c r="MBO108" s="896"/>
      <c r="MBP108" s="897"/>
      <c r="MBQ108" s="897"/>
      <c r="MBR108" s="897"/>
      <c r="MBS108" s="897"/>
      <c r="MBT108" s="897"/>
      <c r="MBU108" s="897"/>
      <c r="MBV108" s="897"/>
      <c r="MBW108" s="897"/>
      <c r="MBX108" s="895"/>
      <c r="MBY108" s="895"/>
      <c r="MBZ108" s="896"/>
      <c r="MCA108" s="897"/>
      <c r="MCB108" s="897"/>
      <c r="MCC108" s="897"/>
      <c r="MCD108" s="897"/>
      <c r="MCE108" s="897"/>
      <c r="MCF108" s="897"/>
      <c r="MCG108" s="897"/>
      <c r="MCH108" s="897"/>
      <c r="MCI108" s="895"/>
      <c r="MCJ108" s="895"/>
      <c r="MCK108" s="896"/>
      <c r="MCL108" s="897"/>
      <c r="MCM108" s="897"/>
      <c r="MCN108" s="897"/>
      <c r="MCO108" s="897"/>
      <c r="MCP108" s="897"/>
      <c r="MCQ108" s="897"/>
      <c r="MCR108" s="897"/>
      <c r="MCS108" s="897"/>
      <c r="MCT108" s="895"/>
      <c r="MCU108" s="895"/>
      <c r="MCV108" s="896"/>
      <c r="MCW108" s="897"/>
      <c r="MCX108" s="897"/>
      <c r="MCY108" s="897"/>
      <c r="MCZ108" s="897"/>
      <c r="MDA108" s="897"/>
      <c r="MDB108" s="897"/>
      <c r="MDC108" s="897"/>
      <c r="MDD108" s="897"/>
      <c r="MDE108" s="895"/>
      <c r="MDF108" s="895"/>
      <c r="MDG108" s="896"/>
      <c r="MDH108" s="897"/>
      <c r="MDI108" s="897"/>
      <c r="MDJ108" s="897"/>
      <c r="MDK108" s="897"/>
      <c r="MDL108" s="897"/>
      <c r="MDM108" s="897"/>
      <c r="MDN108" s="897"/>
      <c r="MDO108" s="897"/>
      <c r="MDP108" s="895"/>
      <c r="MDQ108" s="895"/>
      <c r="MDR108" s="896"/>
      <c r="MDS108" s="897"/>
      <c r="MDT108" s="897"/>
      <c r="MDU108" s="897"/>
      <c r="MDV108" s="897"/>
      <c r="MDW108" s="897"/>
      <c r="MDX108" s="897"/>
      <c r="MDY108" s="897"/>
      <c r="MDZ108" s="897"/>
      <c r="MEA108" s="895"/>
      <c r="MEB108" s="895"/>
      <c r="MEC108" s="896"/>
      <c r="MED108" s="897"/>
      <c r="MEE108" s="897"/>
      <c r="MEF108" s="897"/>
      <c r="MEG108" s="897"/>
      <c r="MEH108" s="897"/>
      <c r="MEI108" s="897"/>
      <c r="MEJ108" s="897"/>
      <c r="MEK108" s="897"/>
      <c r="MEL108" s="895"/>
      <c r="MEM108" s="895"/>
      <c r="MEN108" s="896"/>
      <c r="MEO108" s="897"/>
      <c r="MEP108" s="897"/>
      <c r="MEQ108" s="897"/>
      <c r="MER108" s="897"/>
      <c r="MES108" s="897"/>
      <c r="MET108" s="897"/>
      <c r="MEU108" s="897"/>
      <c r="MEV108" s="897"/>
      <c r="MEW108" s="895"/>
      <c r="MEX108" s="895"/>
      <c r="MEY108" s="896"/>
      <c r="MEZ108" s="897"/>
      <c r="MFA108" s="897"/>
      <c r="MFB108" s="897"/>
      <c r="MFC108" s="897"/>
      <c r="MFD108" s="897"/>
      <c r="MFE108" s="897"/>
      <c r="MFF108" s="897"/>
      <c r="MFG108" s="897"/>
      <c r="MFH108" s="895"/>
      <c r="MFI108" s="895"/>
      <c r="MFJ108" s="896"/>
      <c r="MFK108" s="897"/>
      <c r="MFL108" s="897"/>
      <c r="MFM108" s="897"/>
      <c r="MFN108" s="897"/>
      <c r="MFO108" s="897"/>
      <c r="MFP108" s="897"/>
      <c r="MFQ108" s="897"/>
      <c r="MFR108" s="897"/>
      <c r="MFS108" s="895"/>
      <c r="MFT108" s="895"/>
      <c r="MFU108" s="896"/>
      <c r="MFV108" s="897"/>
      <c r="MFW108" s="897"/>
      <c r="MFX108" s="897"/>
      <c r="MFY108" s="897"/>
      <c r="MFZ108" s="897"/>
      <c r="MGA108" s="897"/>
      <c r="MGB108" s="897"/>
      <c r="MGC108" s="897"/>
      <c r="MGD108" s="895"/>
      <c r="MGE108" s="895"/>
      <c r="MGF108" s="896"/>
      <c r="MGG108" s="897"/>
      <c r="MGH108" s="897"/>
      <c r="MGI108" s="897"/>
      <c r="MGJ108" s="897"/>
      <c r="MGK108" s="897"/>
      <c r="MGL108" s="897"/>
      <c r="MGM108" s="897"/>
      <c r="MGN108" s="897"/>
      <c r="MGO108" s="895"/>
      <c r="MGP108" s="895"/>
      <c r="MGQ108" s="896"/>
      <c r="MGR108" s="897"/>
      <c r="MGS108" s="897"/>
      <c r="MGT108" s="897"/>
      <c r="MGU108" s="897"/>
      <c r="MGV108" s="897"/>
      <c r="MGW108" s="897"/>
      <c r="MGX108" s="897"/>
      <c r="MGY108" s="897"/>
      <c r="MGZ108" s="895"/>
      <c r="MHA108" s="895"/>
      <c r="MHB108" s="896"/>
      <c r="MHC108" s="897"/>
      <c r="MHD108" s="897"/>
      <c r="MHE108" s="897"/>
      <c r="MHF108" s="897"/>
      <c r="MHG108" s="897"/>
      <c r="MHH108" s="897"/>
      <c r="MHI108" s="897"/>
      <c r="MHJ108" s="897"/>
      <c r="MHK108" s="895"/>
      <c r="MHL108" s="895"/>
      <c r="MHM108" s="896"/>
      <c r="MHN108" s="897"/>
      <c r="MHO108" s="897"/>
      <c r="MHP108" s="897"/>
      <c r="MHQ108" s="897"/>
      <c r="MHR108" s="897"/>
      <c r="MHS108" s="897"/>
      <c r="MHT108" s="897"/>
      <c r="MHU108" s="897"/>
      <c r="MHV108" s="895"/>
      <c r="MHW108" s="895"/>
      <c r="MHX108" s="896"/>
      <c r="MHY108" s="897"/>
      <c r="MHZ108" s="897"/>
      <c r="MIA108" s="897"/>
      <c r="MIB108" s="897"/>
      <c r="MIC108" s="897"/>
      <c r="MID108" s="897"/>
      <c r="MIE108" s="897"/>
      <c r="MIF108" s="897"/>
      <c r="MIG108" s="895"/>
      <c r="MIH108" s="895"/>
      <c r="MII108" s="896"/>
      <c r="MIJ108" s="897"/>
      <c r="MIK108" s="897"/>
      <c r="MIL108" s="897"/>
      <c r="MIM108" s="897"/>
      <c r="MIN108" s="897"/>
      <c r="MIO108" s="897"/>
      <c r="MIP108" s="897"/>
      <c r="MIQ108" s="897"/>
      <c r="MIR108" s="895"/>
      <c r="MIS108" s="895"/>
      <c r="MIT108" s="896"/>
      <c r="MIU108" s="897"/>
      <c r="MIV108" s="897"/>
      <c r="MIW108" s="897"/>
      <c r="MIX108" s="897"/>
      <c r="MIY108" s="897"/>
      <c r="MIZ108" s="897"/>
      <c r="MJA108" s="897"/>
      <c r="MJB108" s="897"/>
      <c r="MJC108" s="895"/>
      <c r="MJD108" s="895"/>
      <c r="MJE108" s="896"/>
      <c r="MJF108" s="897"/>
      <c r="MJG108" s="897"/>
      <c r="MJH108" s="897"/>
      <c r="MJI108" s="897"/>
      <c r="MJJ108" s="897"/>
      <c r="MJK108" s="897"/>
      <c r="MJL108" s="897"/>
      <c r="MJM108" s="897"/>
      <c r="MJN108" s="895"/>
      <c r="MJO108" s="895"/>
      <c r="MJP108" s="896"/>
      <c r="MJQ108" s="897"/>
      <c r="MJR108" s="897"/>
      <c r="MJS108" s="897"/>
      <c r="MJT108" s="897"/>
      <c r="MJU108" s="897"/>
      <c r="MJV108" s="897"/>
      <c r="MJW108" s="897"/>
      <c r="MJX108" s="897"/>
      <c r="MJY108" s="895"/>
      <c r="MJZ108" s="895"/>
      <c r="MKA108" s="896"/>
      <c r="MKB108" s="897"/>
      <c r="MKC108" s="897"/>
      <c r="MKD108" s="897"/>
      <c r="MKE108" s="897"/>
      <c r="MKF108" s="897"/>
      <c r="MKG108" s="897"/>
      <c r="MKH108" s="897"/>
      <c r="MKI108" s="897"/>
      <c r="MKJ108" s="895"/>
      <c r="MKK108" s="895"/>
      <c r="MKL108" s="896"/>
      <c r="MKM108" s="897"/>
      <c r="MKN108" s="897"/>
      <c r="MKO108" s="897"/>
      <c r="MKP108" s="897"/>
      <c r="MKQ108" s="897"/>
      <c r="MKR108" s="897"/>
      <c r="MKS108" s="897"/>
      <c r="MKT108" s="897"/>
      <c r="MKU108" s="895"/>
      <c r="MKV108" s="895"/>
      <c r="MKW108" s="896"/>
      <c r="MKX108" s="897"/>
      <c r="MKY108" s="897"/>
      <c r="MKZ108" s="897"/>
      <c r="MLA108" s="897"/>
      <c r="MLB108" s="897"/>
      <c r="MLC108" s="897"/>
      <c r="MLD108" s="897"/>
      <c r="MLE108" s="897"/>
      <c r="MLF108" s="895"/>
      <c r="MLG108" s="895"/>
      <c r="MLH108" s="896"/>
      <c r="MLI108" s="897"/>
      <c r="MLJ108" s="897"/>
      <c r="MLK108" s="897"/>
      <c r="MLL108" s="897"/>
      <c r="MLM108" s="897"/>
      <c r="MLN108" s="897"/>
      <c r="MLO108" s="897"/>
      <c r="MLP108" s="897"/>
      <c r="MLQ108" s="895"/>
      <c r="MLR108" s="895"/>
      <c r="MLS108" s="896"/>
      <c r="MLT108" s="897"/>
      <c r="MLU108" s="897"/>
      <c r="MLV108" s="897"/>
      <c r="MLW108" s="897"/>
      <c r="MLX108" s="897"/>
      <c r="MLY108" s="897"/>
      <c r="MLZ108" s="897"/>
      <c r="MMA108" s="897"/>
      <c r="MMB108" s="895"/>
      <c r="MMC108" s="895"/>
      <c r="MMD108" s="896"/>
      <c r="MME108" s="897"/>
      <c r="MMF108" s="897"/>
      <c r="MMG108" s="897"/>
      <c r="MMH108" s="897"/>
      <c r="MMI108" s="897"/>
      <c r="MMJ108" s="897"/>
      <c r="MMK108" s="897"/>
      <c r="MML108" s="897"/>
      <c r="MMM108" s="895"/>
      <c r="MMN108" s="895"/>
      <c r="MMO108" s="896"/>
      <c r="MMP108" s="897"/>
      <c r="MMQ108" s="897"/>
      <c r="MMR108" s="897"/>
      <c r="MMS108" s="897"/>
      <c r="MMT108" s="897"/>
      <c r="MMU108" s="897"/>
      <c r="MMV108" s="897"/>
      <c r="MMW108" s="897"/>
      <c r="MMX108" s="895"/>
      <c r="MMY108" s="895"/>
      <c r="MMZ108" s="896"/>
      <c r="MNA108" s="897"/>
      <c r="MNB108" s="897"/>
      <c r="MNC108" s="897"/>
      <c r="MND108" s="897"/>
      <c r="MNE108" s="897"/>
      <c r="MNF108" s="897"/>
      <c r="MNG108" s="897"/>
      <c r="MNH108" s="897"/>
      <c r="MNI108" s="895"/>
      <c r="MNJ108" s="895"/>
      <c r="MNK108" s="896"/>
      <c r="MNL108" s="897"/>
      <c r="MNM108" s="897"/>
      <c r="MNN108" s="897"/>
      <c r="MNO108" s="897"/>
      <c r="MNP108" s="897"/>
      <c r="MNQ108" s="897"/>
      <c r="MNR108" s="897"/>
      <c r="MNS108" s="897"/>
      <c r="MNT108" s="895"/>
      <c r="MNU108" s="895"/>
      <c r="MNV108" s="896"/>
      <c r="MNW108" s="897"/>
      <c r="MNX108" s="897"/>
      <c r="MNY108" s="897"/>
      <c r="MNZ108" s="897"/>
      <c r="MOA108" s="897"/>
      <c r="MOB108" s="897"/>
      <c r="MOC108" s="897"/>
      <c r="MOD108" s="897"/>
      <c r="MOE108" s="895"/>
      <c r="MOF108" s="895"/>
      <c r="MOG108" s="896"/>
      <c r="MOH108" s="897"/>
      <c r="MOI108" s="897"/>
      <c r="MOJ108" s="897"/>
      <c r="MOK108" s="897"/>
      <c r="MOL108" s="897"/>
      <c r="MOM108" s="897"/>
      <c r="MON108" s="897"/>
      <c r="MOO108" s="897"/>
      <c r="MOP108" s="895"/>
      <c r="MOQ108" s="895"/>
      <c r="MOR108" s="896"/>
      <c r="MOS108" s="897"/>
      <c r="MOT108" s="897"/>
      <c r="MOU108" s="897"/>
      <c r="MOV108" s="897"/>
      <c r="MOW108" s="897"/>
      <c r="MOX108" s="897"/>
      <c r="MOY108" s="897"/>
      <c r="MOZ108" s="897"/>
      <c r="MPA108" s="895"/>
      <c r="MPB108" s="895"/>
      <c r="MPC108" s="896"/>
      <c r="MPD108" s="897"/>
      <c r="MPE108" s="897"/>
      <c r="MPF108" s="897"/>
      <c r="MPG108" s="897"/>
      <c r="MPH108" s="897"/>
      <c r="MPI108" s="897"/>
      <c r="MPJ108" s="897"/>
      <c r="MPK108" s="897"/>
      <c r="MPL108" s="895"/>
      <c r="MPM108" s="895"/>
      <c r="MPN108" s="896"/>
      <c r="MPO108" s="897"/>
      <c r="MPP108" s="897"/>
      <c r="MPQ108" s="897"/>
      <c r="MPR108" s="897"/>
      <c r="MPS108" s="897"/>
      <c r="MPT108" s="897"/>
      <c r="MPU108" s="897"/>
      <c r="MPV108" s="897"/>
      <c r="MPW108" s="895"/>
      <c r="MPX108" s="895"/>
      <c r="MPY108" s="896"/>
      <c r="MPZ108" s="897"/>
      <c r="MQA108" s="897"/>
      <c r="MQB108" s="897"/>
      <c r="MQC108" s="897"/>
      <c r="MQD108" s="897"/>
      <c r="MQE108" s="897"/>
      <c r="MQF108" s="897"/>
      <c r="MQG108" s="897"/>
      <c r="MQH108" s="895"/>
      <c r="MQI108" s="895"/>
      <c r="MQJ108" s="896"/>
      <c r="MQK108" s="897"/>
      <c r="MQL108" s="897"/>
      <c r="MQM108" s="897"/>
      <c r="MQN108" s="897"/>
      <c r="MQO108" s="897"/>
      <c r="MQP108" s="897"/>
      <c r="MQQ108" s="897"/>
      <c r="MQR108" s="897"/>
      <c r="MQS108" s="895"/>
      <c r="MQT108" s="895"/>
      <c r="MQU108" s="896"/>
      <c r="MQV108" s="897"/>
      <c r="MQW108" s="897"/>
      <c r="MQX108" s="897"/>
      <c r="MQY108" s="897"/>
      <c r="MQZ108" s="897"/>
      <c r="MRA108" s="897"/>
      <c r="MRB108" s="897"/>
      <c r="MRC108" s="897"/>
      <c r="MRD108" s="895"/>
      <c r="MRE108" s="895"/>
      <c r="MRF108" s="896"/>
      <c r="MRG108" s="897"/>
      <c r="MRH108" s="897"/>
      <c r="MRI108" s="897"/>
      <c r="MRJ108" s="897"/>
      <c r="MRK108" s="897"/>
      <c r="MRL108" s="897"/>
      <c r="MRM108" s="897"/>
      <c r="MRN108" s="897"/>
      <c r="MRO108" s="895"/>
      <c r="MRP108" s="895"/>
      <c r="MRQ108" s="896"/>
      <c r="MRR108" s="897"/>
      <c r="MRS108" s="897"/>
      <c r="MRT108" s="897"/>
      <c r="MRU108" s="897"/>
      <c r="MRV108" s="897"/>
      <c r="MRW108" s="897"/>
      <c r="MRX108" s="897"/>
      <c r="MRY108" s="897"/>
      <c r="MRZ108" s="895"/>
      <c r="MSA108" s="895"/>
      <c r="MSB108" s="896"/>
      <c r="MSC108" s="897"/>
      <c r="MSD108" s="897"/>
      <c r="MSE108" s="897"/>
      <c r="MSF108" s="897"/>
      <c r="MSG108" s="897"/>
      <c r="MSH108" s="897"/>
      <c r="MSI108" s="897"/>
      <c r="MSJ108" s="897"/>
      <c r="MSK108" s="895"/>
      <c r="MSL108" s="895"/>
      <c r="MSM108" s="896"/>
      <c r="MSN108" s="897"/>
      <c r="MSO108" s="897"/>
      <c r="MSP108" s="897"/>
      <c r="MSQ108" s="897"/>
      <c r="MSR108" s="897"/>
      <c r="MSS108" s="897"/>
      <c r="MST108" s="897"/>
      <c r="MSU108" s="897"/>
      <c r="MSV108" s="895"/>
      <c r="MSW108" s="895"/>
      <c r="MSX108" s="896"/>
      <c r="MSY108" s="897"/>
      <c r="MSZ108" s="897"/>
      <c r="MTA108" s="897"/>
      <c r="MTB108" s="897"/>
      <c r="MTC108" s="897"/>
      <c r="MTD108" s="897"/>
      <c r="MTE108" s="897"/>
      <c r="MTF108" s="897"/>
      <c r="MTG108" s="895"/>
      <c r="MTH108" s="895"/>
      <c r="MTI108" s="896"/>
      <c r="MTJ108" s="897"/>
      <c r="MTK108" s="897"/>
      <c r="MTL108" s="897"/>
      <c r="MTM108" s="897"/>
      <c r="MTN108" s="897"/>
      <c r="MTO108" s="897"/>
      <c r="MTP108" s="897"/>
      <c r="MTQ108" s="897"/>
      <c r="MTR108" s="895"/>
      <c r="MTS108" s="895"/>
      <c r="MTT108" s="896"/>
      <c r="MTU108" s="897"/>
      <c r="MTV108" s="897"/>
      <c r="MTW108" s="897"/>
      <c r="MTX108" s="897"/>
      <c r="MTY108" s="897"/>
      <c r="MTZ108" s="897"/>
      <c r="MUA108" s="897"/>
      <c r="MUB108" s="897"/>
      <c r="MUC108" s="895"/>
      <c r="MUD108" s="895"/>
      <c r="MUE108" s="896"/>
      <c r="MUF108" s="897"/>
      <c r="MUG108" s="897"/>
      <c r="MUH108" s="897"/>
      <c r="MUI108" s="897"/>
      <c r="MUJ108" s="897"/>
      <c r="MUK108" s="897"/>
      <c r="MUL108" s="897"/>
      <c r="MUM108" s="897"/>
      <c r="MUN108" s="895"/>
      <c r="MUO108" s="895"/>
      <c r="MUP108" s="896"/>
      <c r="MUQ108" s="897"/>
      <c r="MUR108" s="897"/>
      <c r="MUS108" s="897"/>
      <c r="MUT108" s="897"/>
      <c r="MUU108" s="897"/>
      <c r="MUV108" s="897"/>
      <c r="MUW108" s="897"/>
      <c r="MUX108" s="897"/>
      <c r="MUY108" s="895"/>
      <c r="MUZ108" s="895"/>
      <c r="MVA108" s="896"/>
      <c r="MVB108" s="897"/>
      <c r="MVC108" s="897"/>
      <c r="MVD108" s="897"/>
      <c r="MVE108" s="897"/>
      <c r="MVF108" s="897"/>
      <c r="MVG108" s="897"/>
      <c r="MVH108" s="897"/>
      <c r="MVI108" s="897"/>
      <c r="MVJ108" s="895"/>
      <c r="MVK108" s="895"/>
      <c r="MVL108" s="896"/>
      <c r="MVM108" s="897"/>
      <c r="MVN108" s="897"/>
      <c r="MVO108" s="897"/>
      <c r="MVP108" s="897"/>
      <c r="MVQ108" s="897"/>
      <c r="MVR108" s="897"/>
      <c r="MVS108" s="897"/>
      <c r="MVT108" s="897"/>
      <c r="MVU108" s="895"/>
      <c r="MVV108" s="895"/>
      <c r="MVW108" s="896"/>
      <c r="MVX108" s="897"/>
      <c r="MVY108" s="897"/>
      <c r="MVZ108" s="897"/>
      <c r="MWA108" s="897"/>
      <c r="MWB108" s="897"/>
      <c r="MWC108" s="897"/>
      <c r="MWD108" s="897"/>
      <c r="MWE108" s="897"/>
      <c r="MWF108" s="895"/>
      <c r="MWG108" s="895"/>
      <c r="MWH108" s="896"/>
      <c r="MWI108" s="897"/>
      <c r="MWJ108" s="897"/>
      <c r="MWK108" s="897"/>
      <c r="MWL108" s="897"/>
      <c r="MWM108" s="897"/>
      <c r="MWN108" s="897"/>
      <c r="MWO108" s="897"/>
      <c r="MWP108" s="897"/>
      <c r="MWQ108" s="895"/>
      <c r="MWR108" s="895"/>
      <c r="MWS108" s="896"/>
      <c r="MWT108" s="897"/>
      <c r="MWU108" s="897"/>
      <c r="MWV108" s="897"/>
      <c r="MWW108" s="897"/>
      <c r="MWX108" s="897"/>
      <c r="MWY108" s="897"/>
      <c r="MWZ108" s="897"/>
      <c r="MXA108" s="897"/>
      <c r="MXB108" s="895"/>
      <c r="MXC108" s="895"/>
      <c r="MXD108" s="896"/>
      <c r="MXE108" s="897"/>
      <c r="MXF108" s="897"/>
      <c r="MXG108" s="897"/>
      <c r="MXH108" s="897"/>
      <c r="MXI108" s="897"/>
      <c r="MXJ108" s="897"/>
      <c r="MXK108" s="897"/>
      <c r="MXL108" s="897"/>
      <c r="MXM108" s="895"/>
      <c r="MXN108" s="895"/>
      <c r="MXO108" s="896"/>
      <c r="MXP108" s="897"/>
      <c r="MXQ108" s="897"/>
      <c r="MXR108" s="897"/>
      <c r="MXS108" s="897"/>
      <c r="MXT108" s="897"/>
      <c r="MXU108" s="897"/>
      <c r="MXV108" s="897"/>
      <c r="MXW108" s="897"/>
      <c r="MXX108" s="895"/>
      <c r="MXY108" s="895"/>
      <c r="MXZ108" s="896"/>
      <c r="MYA108" s="897"/>
      <c r="MYB108" s="897"/>
      <c r="MYC108" s="897"/>
      <c r="MYD108" s="897"/>
      <c r="MYE108" s="897"/>
      <c r="MYF108" s="897"/>
      <c r="MYG108" s="897"/>
      <c r="MYH108" s="897"/>
      <c r="MYI108" s="895"/>
      <c r="MYJ108" s="895"/>
      <c r="MYK108" s="896"/>
      <c r="MYL108" s="897"/>
      <c r="MYM108" s="897"/>
      <c r="MYN108" s="897"/>
      <c r="MYO108" s="897"/>
      <c r="MYP108" s="897"/>
      <c r="MYQ108" s="897"/>
      <c r="MYR108" s="897"/>
      <c r="MYS108" s="897"/>
      <c r="MYT108" s="895"/>
      <c r="MYU108" s="895"/>
      <c r="MYV108" s="896"/>
      <c r="MYW108" s="897"/>
      <c r="MYX108" s="897"/>
      <c r="MYY108" s="897"/>
      <c r="MYZ108" s="897"/>
      <c r="MZA108" s="897"/>
      <c r="MZB108" s="897"/>
      <c r="MZC108" s="897"/>
      <c r="MZD108" s="897"/>
      <c r="MZE108" s="895"/>
      <c r="MZF108" s="895"/>
      <c r="MZG108" s="896"/>
      <c r="MZH108" s="897"/>
      <c r="MZI108" s="897"/>
      <c r="MZJ108" s="897"/>
      <c r="MZK108" s="897"/>
      <c r="MZL108" s="897"/>
      <c r="MZM108" s="897"/>
      <c r="MZN108" s="897"/>
      <c r="MZO108" s="897"/>
      <c r="MZP108" s="895"/>
      <c r="MZQ108" s="895"/>
      <c r="MZR108" s="896"/>
      <c r="MZS108" s="897"/>
      <c r="MZT108" s="897"/>
      <c r="MZU108" s="897"/>
      <c r="MZV108" s="897"/>
      <c r="MZW108" s="897"/>
      <c r="MZX108" s="897"/>
      <c r="MZY108" s="897"/>
      <c r="MZZ108" s="897"/>
      <c r="NAA108" s="895"/>
      <c r="NAB108" s="895"/>
      <c r="NAC108" s="896"/>
      <c r="NAD108" s="897"/>
      <c r="NAE108" s="897"/>
      <c r="NAF108" s="897"/>
      <c r="NAG108" s="897"/>
      <c r="NAH108" s="897"/>
      <c r="NAI108" s="897"/>
      <c r="NAJ108" s="897"/>
      <c r="NAK108" s="897"/>
      <c r="NAL108" s="895"/>
      <c r="NAM108" s="895"/>
      <c r="NAN108" s="896"/>
      <c r="NAO108" s="897"/>
      <c r="NAP108" s="897"/>
      <c r="NAQ108" s="897"/>
      <c r="NAR108" s="897"/>
      <c r="NAS108" s="897"/>
      <c r="NAT108" s="897"/>
      <c r="NAU108" s="897"/>
      <c r="NAV108" s="897"/>
      <c r="NAW108" s="895"/>
      <c r="NAX108" s="895"/>
      <c r="NAY108" s="896"/>
      <c r="NAZ108" s="897"/>
      <c r="NBA108" s="897"/>
      <c r="NBB108" s="897"/>
      <c r="NBC108" s="897"/>
      <c r="NBD108" s="897"/>
      <c r="NBE108" s="897"/>
      <c r="NBF108" s="897"/>
      <c r="NBG108" s="897"/>
      <c r="NBH108" s="895"/>
      <c r="NBI108" s="895"/>
      <c r="NBJ108" s="896"/>
      <c r="NBK108" s="897"/>
      <c r="NBL108" s="897"/>
      <c r="NBM108" s="897"/>
      <c r="NBN108" s="897"/>
      <c r="NBO108" s="897"/>
      <c r="NBP108" s="897"/>
      <c r="NBQ108" s="897"/>
      <c r="NBR108" s="897"/>
      <c r="NBS108" s="895"/>
      <c r="NBT108" s="895"/>
      <c r="NBU108" s="896"/>
      <c r="NBV108" s="897"/>
      <c r="NBW108" s="897"/>
      <c r="NBX108" s="897"/>
      <c r="NBY108" s="897"/>
      <c r="NBZ108" s="897"/>
      <c r="NCA108" s="897"/>
      <c r="NCB108" s="897"/>
      <c r="NCC108" s="897"/>
      <c r="NCD108" s="895"/>
      <c r="NCE108" s="895"/>
      <c r="NCF108" s="896"/>
      <c r="NCG108" s="897"/>
      <c r="NCH108" s="897"/>
      <c r="NCI108" s="897"/>
      <c r="NCJ108" s="897"/>
      <c r="NCK108" s="897"/>
      <c r="NCL108" s="897"/>
      <c r="NCM108" s="897"/>
      <c r="NCN108" s="897"/>
      <c r="NCO108" s="895"/>
      <c r="NCP108" s="895"/>
      <c r="NCQ108" s="896"/>
      <c r="NCR108" s="897"/>
      <c r="NCS108" s="897"/>
      <c r="NCT108" s="897"/>
      <c r="NCU108" s="897"/>
      <c r="NCV108" s="897"/>
      <c r="NCW108" s="897"/>
      <c r="NCX108" s="897"/>
      <c r="NCY108" s="897"/>
      <c r="NCZ108" s="895"/>
      <c r="NDA108" s="895"/>
      <c r="NDB108" s="896"/>
      <c r="NDC108" s="897"/>
      <c r="NDD108" s="897"/>
      <c r="NDE108" s="897"/>
      <c r="NDF108" s="897"/>
      <c r="NDG108" s="897"/>
      <c r="NDH108" s="897"/>
      <c r="NDI108" s="897"/>
      <c r="NDJ108" s="897"/>
      <c r="NDK108" s="895"/>
      <c r="NDL108" s="895"/>
      <c r="NDM108" s="896"/>
      <c r="NDN108" s="897"/>
      <c r="NDO108" s="897"/>
      <c r="NDP108" s="897"/>
      <c r="NDQ108" s="897"/>
      <c r="NDR108" s="897"/>
      <c r="NDS108" s="897"/>
      <c r="NDT108" s="897"/>
      <c r="NDU108" s="897"/>
      <c r="NDV108" s="895"/>
      <c r="NDW108" s="895"/>
      <c r="NDX108" s="896"/>
      <c r="NDY108" s="897"/>
      <c r="NDZ108" s="897"/>
      <c r="NEA108" s="897"/>
      <c r="NEB108" s="897"/>
      <c r="NEC108" s="897"/>
      <c r="NED108" s="897"/>
      <c r="NEE108" s="897"/>
      <c r="NEF108" s="897"/>
      <c r="NEG108" s="895"/>
      <c r="NEH108" s="895"/>
      <c r="NEI108" s="896"/>
      <c r="NEJ108" s="897"/>
      <c r="NEK108" s="897"/>
      <c r="NEL108" s="897"/>
      <c r="NEM108" s="897"/>
      <c r="NEN108" s="897"/>
      <c r="NEO108" s="897"/>
      <c r="NEP108" s="897"/>
      <c r="NEQ108" s="897"/>
      <c r="NER108" s="895"/>
      <c r="NES108" s="895"/>
      <c r="NET108" s="896"/>
      <c r="NEU108" s="897"/>
      <c r="NEV108" s="897"/>
      <c r="NEW108" s="897"/>
      <c r="NEX108" s="897"/>
      <c r="NEY108" s="897"/>
      <c r="NEZ108" s="897"/>
      <c r="NFA108" s="897"/>
      <c r="NFB108" s="897"/>
      <c r="NFC108" s="895"/>
      <c r="NFD108" s="895"/>
      <c r="NFE108" s="896"/>
      <c r="NFF108" s="897"/>
      <c r="NFG108" s="897"/>
      <c r="NFH108" s="897"/>
      <c r="NFI108" s="897"/>
      <c r="NFJ108" s="897"/>
      <c r="NFK108" s="897"/>
      <c r="NFL108" s="897"/>
      <c r="NFM108" s="897"/>
      <c r="NFN108" s="895"/>
      <c r="NFO108" s="895"/>
      <c r="NFP108" s="896"/>
      <c r="NFQ108" s="897"/>
      <c r="NFR108" s="897"/>
      <c r="NFS108" s="897"/>
      <c r="NFT108" s="897"/>
      <c r="NFU108" s="897"/>
      <c r="NFV108" s="897"/>
      <c r="NFW108" s="897"/>
      <c r="NFX108" s="897"/>
      <c r="NFY108" s="895"/>
      <c r="NFZ108" s="895"/>
      <c r="NGA108" s="896"/>
      <c r="NGB108" s="897"/>
      <c r="NGC108" s="897"/>
      <c r="NGD108" s="897"/>
      <c r="NGE108" s="897"/>
      <c r="NGF108" s="897"/>
      <c r="NGG108" s="897"/>
      <c r="NGH108" s="897"/>
      <c r="NGI108" s="897"/>
      <c r="NGJ108" s="895"/>
      <c r="NGK108" s="895"/>
      <c r="NGL108" s="896"/>
      <c r="NGM108" s="897"/>
      <c r="NGN108" s="897"/>
      <c r="NGO108" s="897"/>
      <c r="NGP108" s="897"/>
      <c r="NGQ108" s="897"/>
      <c r="NGR108" s="897"/>
      <c r="NGS108" s="897"/>
      <c r="NGT108" s="897"/>
      <c r="NGU108" s="895"/>
      <c r="NGV108" s="895"/>
      <c r="NGW108" s="896"/>
      <c r="NGX108" s="897"/>
      <c r="NGY108" s="897"/>
      <c r="NGZ108" s="897"/>
      <c r="NHA108" s="897"/>
      <c r="NHB108" s="897"/>
      <c r="NHC108" s="897"/>
      <c r="NHD108" s="897"/>
      <c r="NHE108" s="897"/>
      <c r="NHF108" s="895"/>
      <c r="NHG108" s="895"/>
      <c r="NHH108" s="896"/>
      <c r="NHI108" s="897"/>
      <c r="NHJ108" s="897"/>
      <c r="NHK108" s="897"/>
      <c r="NHL108" s="897"/>
      <c r="NHM108" s="897"/>
      <c r="NHN108" s="897"/>
      <c r="NHO108" s="897"/>
      <c r="NHP108" s="897"/>
      <c r="NHQ108" s="895"/>
      <c r="NHR108" s="895"/>
      <c r="NHS108" s="896"/>
      <c r="NHT108" s="897"/>
      <c r="NHU108" s="897"/>
      <c r="NHV108" s="897"/>
      <c r="NHW108" s="897"/>
      <c r="NHX108" s="897"/>
      <c r="NHY108" s="897"/>
      <c r="NHZ108" s="897"/>
      <c r="NIA108" s="897"/>
      <c r="NIB108" s="895"/>
      <c r="NIC108" s="895"/>
      <c r="NID108" s="896"/>
      <c r="NIE108" s="897"/>
      <c r="NIF108" s="897"/>
      <c r="NIG108" s="897"/>
      <c r="NIH108" s="897"/>
      <c r="NII108" s="897"/>
      <c r="NIJ108" s="897"/>
      <c r="NIK108" s="897"/>
      <c r="NIL108" s="897"/>
      <c r="NIM108" s="895"/>
      <c r="NIN108" s="895"/>
      <c r="NIO108" s="896"/>
      <c r="NIP108" s="897"/>
      <c r="NIQ108" s="897"/>
      <c r="NIR108" s="897"/>
      <c r="NIS108" s="897"/>
      <c r="NIT108" s="897"/>
      <c r="NIU108" s="897"/>
      <c r="NIV108" s="897"/>
      <c r="NIW108" s="897"/>
      <c r="NIX108" s="895"/>
      <c r="NIY108" s="895"/>
      <c r="NIZ108" s="896"/>
      <c r="NJA108" s="897"/>
      <c r="NJB108" s="897"/>
      <c r="NJC108" s="897"/>
      <c r="NJD108" s="897"/>
      <c r="NJE108" s="897"/>
      <c r="NJF108" s="897"/>
      <c r="NJG108" s="897"/>
      <c r="NJH108" s="897"/>
      <c r="NJI108" s="895"/>
      <c r="NJJ108" s="895"/>
      <c r="NJK108" s="896"/>
      <c r="NJL108" s="897"/>
      <c r="NJM108" s="897"/>
      <c r="NJN108" s="897"/>
      <c r="NJO108" s="897"/>
      <c r="NJP108" s="897"/>
      <c r="NJQ108" s="897"/>
      <c r="NJR108" s="897"/>
      <c r="NJS108" s="897"/>
      <c r="NJT108" s="895"/>
      <c r="NJU108" s="895"/>
      <c r="NJV108" s="896"/>
      <c r="NJW108" s="897"/>
      <c r="NJX108" s="897"/>
      <c r="NJY108" s="897"/>
      <c r="NJZ108" s="897"/>
      <c r="NKA108" s="897"/>
      <c r="NKB108" s="897"/>
      <c r="NKC108" s="897"/>
      <c r="NKD108" s="897"/>
      <c r="NKE108" s="895"/>
      <c r="NKF108" s="895"/>
      <c r="NKG108" s="896"/>
      <c r="NKH108" s="897"/>
      <c r="NKI108" s="897"/>
      <c r="NKJ108" s="897"/>
      <c r="NKK108" s="897"/>
      <c r="NKL108" s="897"/>
      <c r="NKM108" s="897"/>
      <c r="NKN108" s="897"/>
      <c r="NKO108" s="897"/>
      <c r="NKP108" s="895"/>
      <c r="NKQ108" s="895"/>
      <c r="NKR108" s="896"/>
      <c r="NKS108" s="897"/>
      <c r="NKT108" s="897"/>
      <c r="NKU108" s="897"/>
      <c r="NKV108" s="897"/>
      <c r="NKW108" s="897"/>
      <c r="NKX108" s="897"/>
      <c r="NKY108" s="897"/>
      <c r="NKZ108" s="897"/>
      <c r="NLA108" s="895"/>
      <c r="NLB108" s="895"/>
      <c r="NLC108" s="896"/>
      <c r="NLD108" s="897"/>
      <c r="NLE108" s="897"/>
      <c r="NLF108" s="897"/>
      <c r="NLG108" s="897"/>
      <c r="NLH108" s="897"/>
      <c r="NLI108" s="897"/>
      <c r="NLJ108" s="897"/>
      <c r="NLK108" s="897"/>
      <c r="NLL108" s="895"/>
      <c r="NLM108" s="895"/>
      <c r="NLN108" s="896"/>
      <c r="NLO108" s="897"/>
      <c r="NLP108" s="897"/>
      <c r="NLQ108" s="897"/>
      <c r="NLR108" s="897"/>
      <c r="NLS108" s="897"/>
      <c r="NLT108" s="897"/>
      <c r="NLU108" s="897"/>
      <c r="NLV108" s="897"/>
      <c r="NLW108" s="895"/>
      <c r="NLX108" s="895"/>
      <c r="NLY108" s="896"/>
      <c r="NLZ108" s="897"/>
      <c r="NMA108" s="897"/>
      <c r="NMB108" s="897"/>
      <c r="NMC108" s="897"/>
      <c r="NMD108" s="897"/>
      <c r="NME108" s="897"/>
      <c r="NMF108" s="897"/>
      <c r="NMG108" s="897"/>
      <c r="NMH108" s="895"/>
      <c r="NMI108" s="895"/>
      <c r="NMJ108" s="896"/>
      <c r="NMK108" s="897"/>
      <c r="NML108" s="897"/>
      <c r="NMM108" s="897"/>
      <c r="NMN108" s="897"/>
      <c r="NMO108" s="897"/>
      <c r="NMP108" s="897"/>
      <c r="NMQ108" s="897"/>
      <c r="NMR108" s="897"/>
      <c r="NMS108" s="895"/>
      <c r="NMT108" s="895"/>
      <c r="NMU108" s="896"/>
      <c r="NMV108" s="897"/>
      <c r="NMW108" s="897"/>
      <c r="NMX108" s="897"/>
      <c r="NMY108" s="897"/>
      <c r="NMZ108" s="897"/>
      <c r="NNA108" s="897"/>
      <c r="NNB108" s="897"/>
      <c r="NNC108" s="897"/>
      <c r="NND108" s="895"/>
      <c r="NNE108" s="895"/>
      <c r="NNF108" s="896"/>
      <c r="NNG108" s="897"/>
      <c r="NNH108" s="897"/>
      <c r="NNI108" s="897"/>
      <c r="NNJ108" s="897"/>
      <c r="NNK108" s="897"/>
      <c r="NNL108" s="897"/>
      <c r="NNM108" s="897"/>
      <c r="NNN108" s="897"/>
      <c r="NNO108" s="895"/>
      <c r="NNP108" s="895"/>
      <c r="NNQ108" s="896"/>
      <c r="NNR108" s="897"/>
      <c r="NNS108" s="897"/>
      <c r="NNT108" s="897"/>
      <c r="NNU108" s="897"/>
      <c r="NNV108" s="897"/>
      <c r="NNW108" s="897"/>
      <c r="NNX108" s="897"/>
      <c r="NNY108" s="897"/>
      <c r="NNZ108" s="895"/>
      <c r="NOA108" s="895"/>
      <c r="NOB108" s="896"/>
      <c r="NOC108" s="897"/>
      <c r="NOD108" s="897"/>
      <c r="NOE108" s="897"/>
      <c r="NOF108" s="897"/>
      <c r="NOG108" s="897"/>
      <c r="NOH108" s="897"/>
      <c r="NOI108" s="897"/>
      <c r="NOJ108" s="897"/>
      <c r="NOK108" s="895"/>
      <c r="NOL108" s="895"/>
      <c r="NOM108" s="896"/>
      <c r="NON108" s="897"/>
      <c r="NOO108" s="897"/>
      <c r="NOP108" s="897"/>
      <c r="NOQ108" s="897"/>
      <c r="NOR108" s="897"/>
      <c r="NOS108" s="897"/>
      <c r="NOT108" s="897"/>
      <c r="NOU108" s="897"/>
      <c r="NOV108" s="895"/>
      <c r="NOW108" s="895"/>
      <c r="NOX108" s="896"/>
      <c r="NOY108" s="897"/>
      <c r="NOZ108" s="897"/>
      <c r="NPA108" s="897"/>
      <c r="NPB108" s="897"/>
      <c r="NPC108" s="897"/>
      <c r="NPD108" s="897"/>
      <c r="NPE108" s="897"/>
      <c r="NPF108" s="897"/>
      <c r="NPG108" s="895"/>
      <c r="NPH108" s="895"/>
      <c r="NPI108" s="896"/>
      <c r="NPJ108" s="897"/>
      <c r="NPK108" s="897"/>
      <c r="NPL108" s="897"/>
      <c r="NPM108" s="897"/>
      <c r="NPN108" s="897"/>
      <c r="NPO108" s="897"/>
      <c r="NPP108" s="897"/>
      <c r="NPQ108" s="897"/>
      <c r="NPR108" s="895"/>
      <c r="NPS108" s="895"/>
      <c r="NPT108" s="896"/>
      <c r="NPU108" s="897"/>
      <c r="NPV108" s="897"/>
      <c r="NPW108" s="897"/>
      <c r="NPX108" s="897"/>
      <c r="NPY108" s="897"/>
      <c r="NPZ108" s="897"/>
      <c r="NQA108" s="897"/>
      <c r="NQB108" s="897"/>
      <c r="NQC108" s="895"/>
      <c r="NQD108" s="895"/>
      <c r="NQE108" s="896"/>
      <c r="NQF108" s="897"/>
      <c r="NQG108" s="897"/>
      <c r="NQH108" s="897"/>
      <c r="NQI108" s="897"/>
      <c r="NQJ108" s="897"/>
      <c r="NQK108" s="897"/>
      <c r="NQL108" s="897"/>
      <c r="NQM108" s="897"/>
      <c r="NQN108" s="895"/>
      <c r="NQO108" s="895"/>
      <c r="NQP108" s="896"/>
      <c r="NQQ108" s="897"/>
      <c r="NQR108" s="897"/>
      <c r="NQS108" s="897"/>
      <c r="NQT108" s="897"/>
      <c r="NQU108" s="897"/>
      <c r="NQV108" s="897"/>
      <c r="NQW108" s="897"/>
      <c r="NQX108" s="897"/>
      <c r="NQY108" s="895"/>
      <c r="NQZ108" s="895"/>
      <c r="NRA108" s="896"/>
      <c r="NRB108" s="897"/>
      <c r="NRC108" s="897"/>
      <c r="NRD108" s="897"/>
      <c r="NRE108" s="897"/>
      <c r="NRF108" s="897"/>
      <c r="NRG108" s="897"/>
      <c r="NRH108" s="897"/>
      <c r="NRI108" s="897"/>
      <c r="NRJ108" s="895"/>
      <c r="NRK108" s="895"/>
      <c r="NRL108" s="896"/>
      <c r="NRM108" s="897"/>
      <c r="NRN108" s="897"/>
      <c r="NRO108" s="897"/>
      <c r="NRP108" s="897"/>
      <c r="NRQ108" s="897"/>
      <c r="NRR108" s="897"/>
      <c r="NRS108" s="897"/>
      <c r="NRT108" s="897"/>
      <c r="NRU108" s="895"/>
      <c r="NRV108" s="895"/>
      <c r="NRW108" s="896"/>
      <c r="NRX108" s="897"/>
      <c r="NRY108" s="897"/>
      <c r="NRZ108" s="897"/>
      <c r="NSA108" s="897"/>
      <c r="NSB108" s="897"/>
      <c r="NSC108" s="897"/>
      <c r="NSD108" s="897"/>
      <c r="NSE108" s="897"/>
      <c r="NSF108" s="895"/>
      <c r="NSG108" s="895"/>
      <c r="NSH108" s="896"/>
      <c r="NSI108" s="897"/>
      <c r="NSJ108" s="897"/>
      <c r="NSK108" s="897"/>
      <c r="NSL108" s="897"/>
      <c r="NSM108" s="897"/>
      <c r="NSN108" s="897"/>
      <c r="NSO108" s="897"/>
      <c r="NSP108" s="897"/>
      <c r="NSQ108" s="895"/>
      <c r="NSR108" s="895"/>
      <c r="NSS108" s="896"/>
      <c r="NST108" s="897"/>
      <c r="NSU108" s="897"/>
      <c r="NSV108" s="897"/>
      <c r="NSW108" s="897"/>
      <c r="NSX108" s="897"/>
      <c r="NSY108" s="897"/>
      <c r="NSZ108" s="897"/>
      <c r="NTA108" s="897"/>
      <c r="NTB108" s="895"/>
      <c r="NTC108" s="895"/>
      <c r="NTD108" s="896"/>
      <c r="NTE108" s="897"/>
      <c r="NTF108" s="897"/>
      <c r="NTG108" s="897"/>
      <c r="NTH108" s="897"/>
      <c r="NTI108" s="897"/>
      <c r="NTJ108" s="897"/>
      <c r="NTK108" s="897"/>
      <c r="NTL108" s="897"/>
      <c r="NTM108" s="895"/>
      <c r="NTN108" s="895"/>
      <c r="NTO108" s="896"/>
      <c r="NTP108" s="897"/>
      <c r="NTQ108" s="897"/>
      <c r="NTR108" s="897"/>
      <c r="NTS108" s="897"/>
      <c r="NTT108" s="897"/>
      <c r="NTU108" s="897"/>
      <c r="NTV108" s="897"/>
      <c r="NTW108" s="897"/>
      <c r="NTX108" s="895"/>
      <c r="NTY108" s="895"/>
      <c r="NTZ108" s="896"/>
      <c r="NUA108" s="897"/>
      <c r="NUB108" s="897"/>
      <c r="NUC108" s="897"/>
      <c r="NUD108" s="897"/>
      <c r="NUE108" s="897"/>
      <c r="NUF108" s="897"/>
      <c r="NUG108" s="897"/>
      <c r="NUH108" s="897"/>
      <c r="NUI108" s="895"/>
      <c r="NUJ108" s="895"/>
      <c r="NUK108" s="896"/>
      <c r="NUL108" s="897"/>
      <c r="NUM108" s="897"/>
      <c r="NUN108" s="897"/>
      <c r="NUO108" s="897"/>
      <c r="NUP108" s="897"/>
      <c r="NUQ108" s="897"/>
      <c r="NUR108" s="897"/>
      <c r="NUS108" s="897"/>
      <c r="NUT108" s="895"/>
      <c r="NUU108" s="895"/>
      <c r="NUV108" s="896"/>
      <c r="NUW108" s="897"/>
      <c r="NUX108" s="897"/>
      <c r="NUY108" s="897"/>
      <c r="NUZ108" s="897"/>
      <c r="NVA108" s="897"/>
      <c r="NVB108" s="897"/>
      <c r="NVC108" s="897"/>
      <c r="NVD108" s="897"/>
      <c r="NVE108" s="895"/>
      <c r="NVF108" s="895"/>
      <c r="NVG108" s="896"/>
      <c r="NVH108" s="897"/>
      <c r="NVI108" s="897"/>
      <c r="NVJ108" s="897"/>
      <c r="NVK108" s="897"/>
      <c r="NVL108" s="897"/>
      <c r="NVM108" s="897"/>
      <c r="NVN108" s="897"/>
      <c r="NVO108" s="897"/>
      <c r="NVP108" s="895"/>
      <c r="NVQ108" s="895"/>
      <c r="NVR108" s="896"/>
      <c r="NVS108" s="897"/>
      <c r="NVT108" s="897"/>
      <c r="NVU108" s="897"/>
      <c r="NVV108" s="897"/>
      <c r="NVW108" s="897"/>
      <c r="NVX108" s="897"/>
      <c r="NVY108" s="897"/>
      <c r="NVZ108" s="897"/>
      <c r="NWA108" s="895"/>
      <c r="NWB108" s="895"/>
      <c r="NWC108" s="896"/>
      <c r="NWD108" s="897"/>
      <c r="NWE108" s="897"/>
      <c r="NWF108" s="897"/>
      <c r="NWG108" s="897"/>
      <c r="NWH108" s="897"/>
      <c r="NWI108" s="897"/>
      <c r="NWJ108" s="897"/>
      <c r="NWK108" s="897"/>
      <c r="NWL108" s="895"/>
      <c r="NWM108" s="895"/>
      <c r="NWN108" s="896"/>
      <c r="NWO108" s="897"/>
      <c r="NWP108" s="897"/>
      <c r="NWQ108" s="897"/>
      <c r="NWR108" s="897"/>
      <c r="NWS108" s="897"/>
      <c r="NWT108" s="897"/>
      <c r="NWU108" s="897"/>
      <c r="NWV108" s="897"/>
      <c r="NWW108" s="895"/>
      <c r="NWX108" s="895"/>
      <c r="NWY108" s="896"/>
      <c r="NWZ108" s="897"/>
      <c r="NXA108" s="897"/>
      <c r="NXB108" s="897"/>
      <c r="NXC108" s="897"/>
      <c r="NXD108" s="897"/>
      <c r="NXE108" s="897"/>
      <c r="NXF108" s="897"/>
      <c r="NXG108" s="897"/>
      <c r="NXH108" s="895"/>
      <c r="NXI108" s="895"/>
      <c r="NXJ108" s="896"/>
      <c r="NXK108" s="897"/>
      <c r="NXL108" s="897"/>
      <c r="NXM108" s="897"/>
      <c r="NXN108" s="897"/>
      <c r="NXO108" s="897"/>
      <c r="NXP108" s="897"/>
      <c r="NXQ108" s="897"/>
      <c r="NXR108" s="897"/>
      <c r="NXS108" s="895"/>
      <c r="NXT108" s="895"/>
      <c r="NXU108" s="896"/>
      <c r="NXV108" s="897"/>
      <c r="NXW108" s="897"/>
      <c r="NXX108" s="897"/>
      <c r="NXY108" s="897"/>
      <c r="NXZ108" s="897"/>
      <c r="NYA108" s="897"/>
      <c r="NYB108" s="897"/>
      <c r="NYC108" s="897"/>
      <c r="NYD108" s="895"/>
      <c r="NYE108" s="895"/>
      <c r="NYF108" s="896"/>
      <c r="NYG108" s="897"/>
      <c r="NYH108" s="897"/>
      <c r="NYI108" s="897"/>
      <c r="NYJ108" s="897"/>
      <c r="NYK108" s="897"/>
      <c r="NYL108" s="897"/>
      <c r="NYM108" s="897"/>
      <c r="NYN108" s="897"/>
      <c r="NYO108" s="895"/>
      <c r="NYP108" s="895"/>
      <c r="NYQ108" s="896"/>
      <c r="NYR108" s="897"/>
      <c r="NYS108" s="897"/>
      <c r="NYT108" s="897"/>
      <c r="NYU108" s="897"/>
      <c r="NYV108" s="897"/>
      <c r="NYW108" s="897"/>
      <c r="NYX108" s="897"/>
      <c r="NYY108" s="897"/>
      <c r="NYZ108" s="895"/>
      <c r="NZA108" s="895"/>
      <c r="NZB108" s="896"/>
      <c r="NZC108" s="897"/>
      <c r="NZD108" s="897"/>
      <c r="NZE108" s="897"/>
      <c r="NZF108" s="897"/>
      <c r="NZG108" s="897"/>
      <c r="NZH108" s="897"/>
      <c r="NZI108" s="897"/>
      <c r="NZJ108" s="897"/>
      <c r="NZK108" s="895"/>
      <c r="NZL108" s="895"/>
      <c r="NZM108" s="896"/>
      <c r="NZN108" s="897"/>
      <c r="NZO108" s="897"/>
      <c r="NZP108" s="897"/>
      <c r="NZQ108" s="897"/>
      <c r="NZR108" s="897"/>
      <c r="NZS108" s="897"/>
      <c r="NZT108" s="897"/>
      <c r="NZU108" s="897"/>
      <c r="NZV108" s="895"/>
      <c r="NZW108" s="895"/>
      <c r="NZX108" s="896"/>
      <c r="NZY108" s="897"/>
      <c r="NZZ108" s="897"/>
      <c r="OAA108" s="897"/>
      <c r="OAB108" s="897"/>
      <c r="OAC108" s="897"/>
      <c r="OAD108" s="897"/>
      <c r="OAE108" s="897"/>
      <c r="OAF108" s="897"/>
      <c r="OAG108" s="895"/>
      <c r="OAH108" s="895"/>
      <c r="OAI108" s="896"/>
      <c r="OAJ108" s="897"/>
      <c r="OAK108" s="897"/>
      <c r="OAL108" s="897"/>
      <c r="OAM108" s="897"/>
      <c r="OAN108" s="897"/>
      <c r="OAO108" s="897"/>
      <c r="OAP108" s="897"/>
      <c r="OAQ108" s="897"/>
      <c r="OAR108" s="895"/>
      <c r="OAS108" s="895"/>
      <c r="OAT108" s="896"/>
      <c r="OAU108" s="897"/>
      <c r="OAV108" s="897"/>
      <c r="OAW108" s="897"/>
      <c r="OAX108" s="897"/>
      <c r="OAY108" s="897"/>
      <c r="OAZ108" s="897"/>
      <c r="OBA108" s="897"/>
      <c r="OBB108" s="897"/>
      <c r="OBC108" s="895"/>
      <c r="OBD108" s="895"/>
      <c r="OBE108" s="896"/>
      <c r="OBF108" s="897"/>
      <c r="OBG108" s="897"/>
      <c r="OBH108" s="897"/>
      <c r="OBI108" s="897"/>
      <c r="OBJ108" s="897"/>
      <c r="OBK108" s="897"/>
      <c r="OBL108" s="897"/>
      <c r="OBM108" s="897"/>
      <c r="OBN108" s="895"/>
      <c r="OBO108" s="895"/>
      <c r="OBP108" s="896"/>
      <c r="OBQ108" s="897"/>
      <c r="OBR108" s="897"/>
      <c r="OBS108" s="897"/>
      <c r="OBT108" s="897"/>
      <c r="OBU108" s="897"/>
      <c r="OBV108" s="897"/>
      <c r="OBW108" s="897"/>
      <c r="OBX108" s="897"/>
      <c r="OBY108" s="895"/>
      <c r="OBZ108" s="895"/>
      <c r="OCA108" s="896"/>
      <c r="OCB108" s="897"/>
      <c r="OCC108" s="897"/>
      <c r="OCD108" s="897"/>
      <c r="OCE108" s="897"/>
      <c r="OCF108" s="897"/>
      <c r="OCG108" s="897"/>
      <c r="OCH108" s="897"/>
      <c r="OCI108" s="897"/>
      <c r="OCJ108" s="895"/>
      <c r="OCK108" s="895"/>
      <c r="OCL108" s="896"/>
      <c r="OCM108" s="897"/>
      <c r="OCN108" s="897"/>
      <c r="OCO108" s="897"/>
      <c r="OCP108" s="897"/>
      <c r="OCQ108" s="897"/>
      <c r="OCR108" s="897"/>
      <c r="OCS108" s="897"/>
      <c r="OCT108" s="897"/>
      <c r="OCU108" s="895"/>
      <c r="OCV108" s="895"/>
      <c r="OCW108" s="896"/>
      <c r="OCX108" s="897"/>
      <c r="OCY108" s="897"/>
      <c r="OCZ108" s="897"/>
      <c r="ODA108" s="897"/>
      <c r="ODB108" s="897"/>
      <c r="ODC108" s="897"/>
      <c r="ODD108" s="897"/>
      <c r="ODE108" s="897"/>
      <c r="ODF108" s="895"/>
      <c r="ODG108" s="895"/>
      <c r="ODH108" s="896"/>
      <c r="ODI108" s="897"/>
      <c r="ODJ108" s="897"/>
      <c r="ODK108" s="897"/>
      <c r="ODL108" s="897"/>
      <c r="ODM108" s="897"/>
      <c r="ODN108" s="897"/>
      <c r="ODO108" s="897"/>
      <c r="ODP108" s="897"/>
      <c r="ODQ108" s="895"/>
      <c r="ODR108" s="895"/>
      <c r="ODS108" s="896"/>
      <c r="ODT108" s="897"/>
      <c r="ODU108" s="897"/>
      <c r="ODV108" s="897"/>
      <c r="ODW108" s="897"/>
      <c r="ODX108" s="897"/>
      <c r="ODY108" s="897"/>
      <c r="ODZ108" s="897"/>
      <c r="OEA108" s="897"/>
      <c r="OEB108" s="895"/>
      <c r="OEC108" s="895"/>
      <c r="OED108" s="896"/>
      <c r="OEE108" s="897"/>
      <c r="OEF108" s="897"/>
      <c r="OEG108" s="897"/>
      <c r="OEH108" s="897"/>
      <c r="OEI108" s="897"/>
      <c r="OEJ108" s="897"/>
      <c r="OEK108" s="897"/>
      <c r="OEL108" s="897"/>
      <c r="OEM108" s="895"/>
      <c r="OEN108" s="895"/>
      <c r="OEO108" s="896"/>
      <c r="OEP108" s="897"/>
      <c r="OEQ108" s="897"/>
      <c r="OER108" s="897"/>
      <c r="OES108" s="897"/>
      <c r="OET108" s="897"/>
      <c r="OEU108" s="897"/>
      <c r="OEV108" s="897"/>
      <c r="OEW108" s="897"/>
      <c r="OEX108" s="895"/>
      <c r="OEY108" s="895"/>
      <c r="OEZ108" s="896"/>
      <c r="OFA108" s="897"/>
      <c r="OFB108" s="897"/>
      <c r="OFC108" s="897"/>
      <c r="OFD108" s="897"/>
      <c r="OFE108" s="897"/>
      <c r="OFF108" s="897"/>
      <c r="OFG108" s="897"/>
      <c r="OFH108" s="897"/>
      <c r="OFI108" s="895"/>
      <c r="OFJ108" s="895"/>
      <c r="OFK108" s="896"/>
      <c r="OFL108" s="897"/>
      <c r="OFM108" s="897"/>
      <c r="OFN108" s="897"/>
      <c r="OFO108" s="897"/>
      <c r="OFP108" s="897"/>
      <c r="OFQ108" s="897"/>
      <c r="OFR108" s="897"/>
      <c r="OFS108" s="897"/>
      <c r="OFT108" s="895"/>
      <c r="OFU108" s="895"/>
      <c r="OFV108" s="896"/>
      <c r="OFW108" s="897"/>
      <c r="OFX108" s="897"/>
      <c r="OFY108" s="897"/>
      <c r="OFZ108" s="897"/>
      <c r="OGA108" s="897"/>
      <c r="OGB108" s="897"/>
      <c r="OGC108" s="897"/>
      <c r="OGD108" s="897"/>
      <c r="OGE108" s="895"/>
      <c r="OGF108" s="895"/>
      <c r="OGG108" s="896"/>
      <c r="OGH108" s="897"/>
      <c r="OGI108" s="897"/>
      <c r="OGJ108" s="897"/>
      <c r="OGK108" s="897"/>
      <c r="OGL108" s="897"/>
      <c r="OGM108" s="897"/>
      <c r="OGN108" s="897"/>
      <c r="OGO108" s="897"/>
      <c r="OGP108" s="895"/>
      <c r="OGQ108" s="895"/>
      <c r="OGR108" s="896"/>
      <c r="OGS108" s="897"/>
      <c r="OGT108" s="897"/>
      <c r="OGU108" s="897"/>
      <c r="OGV108" s="897"/>
      <c r="OGW108" s="897"/>
      <c r="OGX108" s="897"/>
      <c r="OGY108" s="897"/>
      <c r="OGZ108" s="897"/>
      <c r="OHA108" s="895"/>
      <c r="OHB108" s="895"/>
      <c r="OHC108" s="896"/>
      <c r="OHD108" s="897"/>
      <c r="OHE108" s="897"/>
      <c r="OHF108" s="897"/>
      <c r="OHG108" s="897"/>
      <c r="OHH108" s="897"/>
      <c r="OHI108" s="897"/>
      <c r="OHJ108" s="897"/>
      <c r="OHK108" s="897"/>
      <c r="OHL108" s="895"/>
      <c r="OHM108" s="895"/>
      <c r="OHN108" s="896"/>
      <c r="OHO108" s="897"/>
      <c r="OHP108" s="897"/>
      <c r="OHQ108" s="897"/>
      <c r="OHR108" s="897"/>
      <c r="OHS108" s="897"/>
      <c r="OHT108" s="897"/>
      <c r="OHU108" s="897"/>
      <c r="OHV108" s="897"/>
      <c r="OHW108" s="895"/>
      <c r="OHX108" s="895"/>
      <c r="OHY108" s="896"/>
      <c r="OHZ108" s="897"/>
      <c r="OIA108" s="897"/>
      <c r="OIB108" s="897"/>
      <c r="OIC108" s="897"/>
      <c r="OID108" s="897"/>
      <c r="OIE108" s="897"/>
      <c r="OIF108" s="897"/>
      <c r="OIG108" s="897"/>
      <c r="OIH108" s="895"/>
      <c r="OII108" s="895"/>
      <c r="OIJ108" s="896"/>
      <c r="OIK108" s="897"/>
      <c r="OIL108" s="897"/>
      <c r="OIM108" s="897"/>
      <c r="OIN108" s="897"/>
      <c r="OIO108" s="897"/>
      <c r="OIP108" s="897"/>
      <c r="OIQ108" s="897"/>
      <c r="OIR108" s="897"/>
      <c r="OIS108" s="895"/>
      <c r="OIT108" s="895"/>
      <c r="OIU108" s="896"/>
      <c r="OIV108" s="897"/>
      <c r="OIW108" s="897"/>
      <c r="OIX108" s="897"/>
      <c r="OIY108" s="897"/>
      <c r="OIZ108" s="897"/>
      <c r="OJA108" s="897"/>
      <c r="OJB108" s="897"/>
      <c r="OJC108" s="897"/>
      <c r="OJD108" s="895"/>
      <c r="OJE108" s="895"/>
      <c r="OJF108" s="896"/>
      <c r="OJG108" s="897"/>
      <c r="OJH108" s="897"/>
      <c r="OJI108" s="897"/>
      <c r="OJJ108" s="897"/>
      <c r="OJK108" s="897"/>
      <c r="OJL108" s="897"/>
      <c r="OJM108" s="897"/>
      <c r="OJN108" s="897"/>
      <c r="OJO108" s="895"/>
      <c r="OJP108" s="895"/>
      <c r="OJQ108" s="896"/>
      <c r="OJR108" s="897"/>
      <c r="OJS108" s="897"/>
      <c r="OJT108" s="897"/>
      <c r="OJU108" s="897"/>
      <c r="OJV108" s="897"/>
      <c r="OJW108" s="897"/>
      <c r="OJX108" s="897"/>
      <c r="OJY108" s="897"/>
      <c r="OJZ108" s="895"/>
      <c r="OKA108" s="895"/>
      <c r="OKB108" s="896"/>
      <c r="OKC108" s="897"/>
      <c r="OKD108" s="897"/>
      <c r="OKE108" s="897"/>
      <c r="OKF108" s="897"/>
      <c r="OKG108" s="897"/>
      <c r="OKH108" s="897"/>
      <c r="OKI108" s="897"/>
      <c r="OKJ108" s="897"/>
      <c r="OKK108" s="895"/>
      <c r="OKL108" s="895"/>
      <c r="OKM108" s="896"/>
      <c r="OKN108" s="897"/>
      <c r="OKO108" s="897"/>
      <c r="OKP108" s="897"/>
      <c r="OKQ108" s="897"/>
      <c r="OKR108" s="897"/>
      <c r="OKS108" s="897"/>
      <c r="OKT108" s="897"/>
      <c r="OKU108" s="897"/>
      <c r="OKV108" s="895"/>
      <c r="OKW108" s="895"/>
      <c r="OKX108" s="896"/>
      <c r="OKY108" s="897"/>
      <c r="OKZ108" s="897"/>
      <c r="OLA108" s="897"/>
      <c r="OLB108" s="897"/>
      <c r="OLC108" s="897"/>
      <c r="OLD108" s="897"/>
      <c r="OLE108" s="897"/>
      <c r="OLF108" s="897"/>
      <c r="OLG108" s="895"/>
      <c r="OLH108" s="895"/>
      <c r="OLI108" s="896"/>
      <c r="OLJ108" s="897"/>
      <c r="OLK108" s="897"/>
      <c r="OLL108" s="897"/>
      <c r="OLM108" s="897"/>
      <c r="OLN108" s="897"/>
      <c r="OLO108" s="897"/>
      <c r="OLP108" s="897"/>
      <c r="OLQ108" s="897"/>
      <c r="OLR108" s="895"/>
      <c r="OLS108" s="895"/>
      <c r="OLT108" s="896"/>
      <c r="OLU108" s="897"/>
      <c r="OLV108" s="897"/>
      <c r="OLW108" s="897"/>
      <c r="OLX108" s="897"/>
      <c r="OLY108" s="897"/>
      <c r="OLZ108" s="897"/>
      <c r="OMA108" s="897"/>
      <c r="OMB108" s="897"/>
      <c r="OMC108" s="895"/>
      <c r="OMD108" s="895"/>
      <c r="OME108" s="896"/>
      <c r="OMF108" s="897"/>
      <c r="OMG108" s="897"/>
      <c r="OMH108" s="897"/>
      <c r="OMI108" s="897"/>
      <c r="OMJ108" s="897"/>
      <c r="OMK108" s="897"/>
      <c r="OML108" s="897"/>
      <c r="OMM108" s="897"/>
      <c r="OMN108" s="895"/>
      <c r="OMO108" s="895"/>
      <c r="OMP108" s="896"/>
      <c r="OMQ108" s="897"/>
      <c r="OMR108" s="897"/>
      <c r="OMS108" s="897"/>
      <c r="OMT108" s="897"/>
      <c r="OMU108" s="897"/>
      <c r="OMV108" s="897"/>
      <c r="OMW108" s="897"/>
      <c r="OMX108" s="897"/>
      <c r="OMY108" s="895"/>
      <c r="OMZ108" s="895"/>
      <c r="ONA108" s="896"/>
      <c r="ONB108" s="897"/>
      <c r="ONC108" s="897"/>
      <c r="OND108" s="897"/>
      <c r="ONE108" s="897"/>
      <c r="ONF108" s="897"/>
      <c r="ONG108" s="897"/>
      <c r="ONH108" s="897"/>
      <c r="ONI108" s="897"/>
      <c r="ONJ108" s="895"/>
      <c r="ONK108" s="895"/>
      <c r="ONL108" s="896"/>
      <c r="ONM108" s="897"/>
      <c r="ONN108" s="897"/>
      <c r="ONO108" s="897"/>
      <c r="ONP108" s="897"/>
      <c r="ONQ108" s="897"/>
      <c r="ONR108" s="897"/>
      <c r="ONS108" s="897"/>
      <c r="ONT108" s="897"/>
      <c r="ONU108" s="895"/>
      <c r="ONV108" s="895"/>
      <c r="ONW108" s="896"/>
      <c r="ONX108" s="897"/>
      <c r="ONY108" s="897"/>
      <c r="ONZ108" s="897"/>
      <c r="OOA108" s="897"/>
      <c r="OOB108" s="897"/>
      <c r="OOC108" s="897"/>
      <c r="OOD108" s="897"/>
      <c r="OOE108" s="897"/>
      <c r="OOF108" s="895"/>
      <c r="OOG108" s="895"/>
      <c r="OOH108" s="896"/>
      <c r="OOI108" s="897"/>
      <c r="OOJ108" s="897"/>
      <c r="OOK108" s="897"/>
      <c r="OOL108" s="897"/>
      <c r="OOM108" s="897"/>
      <c r="OON108" s="897"/>
      <c r="OOO108" s="897"/>
      <c r="OOP108" s="897"/>
      <c r="OOQ108" s="895"/>
      <c r="OOR108" s="895"/>
      <c r="OOS108" s="896"/>
      <c r="OOT108" s="897"/>
      <c r="OOU108" s="897"/>
      <c r="OOV108" s="897"/>
      <c r="OOW108" s="897"/>
      <c r="OOX108" s="897"/>
      <c r="OOY108" s="897"/>
      <c r="OOZ108" s="897"/>
      <c r="OPA108" s="897"/>
      <c r="OPB108" s="895"/>
      <c r="OPC108" s="895"/>
      <c r="OPD108" s="896"/>
      <c r="OPE108" s="897"/>
      <c r="OPF108" s="897"/>
      <c r="OPG108" s="897"/>
      <c r="OPH108" s="897"/>
      <c r="OPI108" s="897"/>
      <c r="OPJ108" s="897"/>
      <c r="OPK108" s="897"/>
      <c r="OPL108" s="897"/>
      <c r="OPM108" s="895"/>
      <c r="OPN108" s="895"/>
      <c r="OPO108" s="896"/>
      <c r="OPP108" s="897"/>
      <c r="OPQ108" s="897"/>
      <c r="OPR108" s="897"/>
      <c r="OPS108" s="897"/>
      <c r="OPT108" s="897"/>
      <c r="OPU108" s="897"/>
      <c r="OPV108" s="897"/>
      <c r="OPW108" s="897"/>
      <c r="OPX108" s="895"/>
      <c r="OPY108" s="895"/>
      <c r="OPZ108" s="896"/>
      <c r="OQA108" s="897"/>
      <c r="OQB108" s="897"/>
      <c r="OQC108" s="897"/>
      <c r="OQD108" s="897"/>
      <c r="OQE108" s="897"/>
      <c r="OQF108" s="897"/>
      <c r="OQG108" s="897"/>
      <c r="OQH108" s="897"/>
      <c r="OQI108" s="895"/>
      <c r="OQJ108" s="895"/>
      <c r="OQK108" s="896"/>
      <c r="OQL108" s="897"/>
      <c r="OQM108" s="897"/>
      <c r="OQN108" s="897"/>
      <c r="OQO108" s="897"/>
      <c r="OQP108" s="897"/>
      <c r="OQQ108" s="897"/>
      <c r="OQR108" s="897"/>
      <c r="OQS108" s="897"/>
      <c r="OQT108" s="895"/>
      <c r="OQU108" s="895"/>
      <c r="OQV108" s="896"/>
      <c r="OQW108" s="897"/>
      <c r="OQX108" s="897"/>
      <c r="OQY108" s="897"/>
      <c r="OQZ108" s="897"/>
      <c r="ORA108" s="897"/>
      <c r="ORB108" s="897"/>
      <c r="ORC108" s="897"/>
      <c r="ORD108" s="897"/>
      <c r="ORE108" s="895"/>
      <c r="ORF108" s="895"/>
      <c r="ORG108" s="896"/>
      <c r="ORH108" s="897"/>
      <c r="ORI108" s="897"/>
      <c r="ORJ108" s="897"/>
      <c r="ORK108" s="897"/>
      <c r="ORL108" s="897"/>
      <c r="ORM108" s="897"/>
      <c r="ORN108" s="897"/>
      <c r="ORO108" s="897"/>
      <c r="ORP108" s="895"/>
      <c r="ORQ108" s="895"/>
      <c r="ORR108" s="896"/>
      <c r="ORS108" s="897"/>
      <c r="ORT108" s="897"/>
      <c r="ORU108" s="897"/>
      <c r="ORV108" s="897"/>
      <c r="ORW108" s="897"/>
      <c r="ORX108" s="897"/>
      <c r="ORY108" s="897"/>
      <c r="ORZ108" s="897"/>
      <c r="OSA108" s="895"/>
      <c r="OSB108" s="895"/>
      <c r="OSC108" s="896"/>
      <c r="OSD108" s="897"/>
      <c r="OSE108" s="897"/>
      <c r="OSF108" s="897"/>
      <c r="OSG108" s="897"/>
      <c r="OSH108" s="897"/>
      <c r="OSI108" s="897"/>
      <c r="OSJ108" s="897"/>
      <c r="OSK108" s="897"/>
      <c r="OSL108" s="895"/>
      <c r="OSM108" s="895"/>
      <c r="OSN108" s="896"/>
      <c r="OSO108" s="897"/>
      <c r="OSP108" s="897"/>
      <c r="OSQ108" s="897"/>
      <c r="OSR108" s="897"/>
      <c r="OSS108" s="897"/>
      <c r="OST108" s="897"/>
      <c r="OSU108" s="897"/>
      <c r="OSV108" s="897"/>
      <c r="OSW108" s="895"/>
      <c r="OSX108" s="895"/>
      <c r="OSY108" s="896"/>
      <c r="OSZ108" s="897"/>
      <c r="OTA108" s="897"/>
      <c r="OTB108" s="897"/>
      <c r="OTC108" s="897"/>
      <c r="OTD108" s="897"/>
      <c r="OTE108" s="897"/>
      <c r="OTF108" s="897"/>
      <c r="OTG108" s="897"/>
      <c r="OTH108" s="895"/>
      <c r="OTI108" s="895"/>
      <c r="OTJ108" s="896"/>
      <c r="OTK108" s="897"/>
      <c r="OTL108" s="897"/>
      <c r="OTM108" s="897"/>
      <c r="OTN108" s="897"/>
      <c r="OTO108" s="897"/>
      <c r="OTP108" s="897"/>
      <c r="OTQ108" s="897"/>
      <c r="OTR108" s="897"/>
      <c r="OTS108" s="895"/>
      <c r="OTT108" s="895"/>
      <c r="OTU108" s="896"/>
      <c r="OTV108" s="897"/>
      <c r="OTW108" s="897"/>
      <c r="OTX108" s="897"/>
      <c r="OTY108" s="897"/>
      <c r="OTZ108" s="897"/>
      <c r="OUA108" s="897"/>
      <c r="OUB108" s="897"/>
      <c r="OUC108" s="897"/>
      <c r="OUD108" s="895"/>
      <c r="OUE108" s="895"/>
      <c r="OUF108" s="896"/>
      <c r="OUG108" s="897"/>
      <c r="OUH108" s="897"/>
      <c r="OUI108" s="897"/>
      <c r="OUJ108" s="897"/>
      <c r="OUK108" s="897"/>
      <c r="OUL108" s="897"/>
      <c r="OUM108" s="897"/>
      <c r="OUN108" s="897"/>
      <c r="OUO108" s="895"/>
      <c r="OUP108" s="895"/>
      <c r="OUQ108" s="896"/>
      <c r="OUR108" s="897"/>
      <c r="OUS108" s="897"/>
      <c r="OUT108" s="897"/>
      <c r="OUU108" s="897"/>
      <c r="OUV108" s="897"/>
      <c r="OUW108" s="897"/>
      <c r="OUX108" s="897"/>
      <c r="OUY108" s="897"/>
      <c r="OUZ108" s="895"/>
      <c r="OVA108" s="895"/>
      <c r="OVB108" s="896"/>
      <c r="OVC108" s="897"/>
      <c r="OVD108" s="897"/>
      <c r="OVE108" s="897"/>
      <c r="OVF108" s="897"/>
      <c r="OVG108" s="897"/>
      <c r="OVH108" s="897"/>
      <c r="OVI108" s="897"/>
      <c r="OVJ108" s="897"/>
      <c r="OVK108" s="895"/>
      <c r="OVL108" s="895"/>
      <c r="OVM108" s="896"/>
      <c r="OVN108" s="897"/>
      <c r="OVO108" s="897"/>
      <c r="OVP108" s="897"/>
      <c r="OVQ108" s="897"/>
      <c r="OVR108" s="897"/>
      <c r="OVS108" s="897"/>
      <c r="OVT108" s="897"/>
      <c r="OVU108" s="897"/>
      <c r="OVV108" s="895"/>
      <c r="OVW108" s="895"/>
      <c r="OVX108" s="896"/>
      <c r="OVY108" s="897"/>
      <c r="OVZ108" s="897"/>
      <c r="OWA108" s="897"/>
      <c r="OWB108" s="897"/>
      <c r="OWC108" s="897"/>
      <c r="OWD108" s="897"/>
      <c r="OWE108" s="897"/>
      <c r="OWF108" s="897"/>
      <c r="OWG108" s="895"/>
      <c r="OWH108" s="895"/>
      <c r="OWI108" s="896"/>
      <c r="OWJ108" s="897"/>
      <c r="OWK108" s="897"/>
      <c r="OWL108" s="897"/>
      <c r="OWM108" s="897"/>
      <c r="OWN108" s="897"/>
      <c r="OWO108" s="897"/>
      <c r="OWP108" s="897"/>
      <c r="OWQ108" s="897"/>
      <c r="OWR108" s="895"/>
      <c r="OWS108" s="895"/>
      <c r="OWT108" s="896"/>
      <c r="OWU108" s="897"/>
      <c r="OWV108" s="897"/>
      <c r="OWW108" s="897"/>
      <c r="OWX108" s="897"/>
      <c r="OWY108" s="897"/>
      <c r="OWZ108" s="897"/>
      <c r="OXA108" s="897"/>
      <c r="OXB108" s="897"/>
      <c r="OXC108" s="895"/>
      <c r="OXD108" s="895"/>
      <c r="OXE108" s="896"/>
      <c r="OXF108" s="897"/>
      <c r="OXG108" s="897"/>
      <c r="OXH108" s="897"/>
      <c r="OXI108" s="897"/>
      <c r="OXJ108" s="897"/>
      <c r="OXK108" s="897"/>
      <c r="OXL108" s="897"/>
      <c r="OXM108" s="897"/>
      <c r="OXN108" s="895"/>
      <c r="OXO108" s="895"/>
      <c r="OXP108" s="896"/>
      <c r="OXQ108" s="897"/>
      <c r="OXR108" s="897"/>
      <c r="OXS108" s="897"/>
      <c r="OXT108" s="897"/>
      <c r="OXU108" s="897"/>
      <c r="OXV108" s="897"/>
      <c r="OXW108" s="897"/>
      <c r="OXX108" s="897"/>
      <c r="OXY108" s="895"/>
      <c r="OXZ108" s="895"/>
      <c r="OYA108" s="896"/>
      <c r="OYB108" s="897"/>
      <c r="OYC108" s="897"/>
      <c r="OYD108" s="897"/>
      <c r="OYE108" s="897"/>
      <c r="OYF108" s="897"/>
      <c r="OYG108" s="897"/>
      <c r="OYH108" s="897"/>
      <c r="OYI108" s="897"/>
      <c r="OYJ108" s="895"/>
      <c r="OYK108" s="895"/>
      <c r="OYL108" s="896"/>
      <c r="OYM108" s="897"/>
      <c r="OYN108" s="897"/>
      <c r="OYO108" s="897"/>
      <c r="OYP108" s="897"/>
      <c r="OYQ108" s="897"/>
      <c r="OYR108" s="897"/>
      <c r="OYS108" s="897"/>
      <c r="OYT108" s="897"/>
      <c r="OYU108" s="895"/>
      <c r="OYV108" s="895"/>
      <c r="OYW108" s="896"/>
      <c r="OYX108" s="897"/>
      <c r="OYY108" s="897"/>
      <c r="OYZ108" s="897"/>
      <c r="OZA108" s="897"/>
      <c r="OZB108" s="897"/>
      <c r="OZC108" s="897"/>
      <c r="OZD108" s="897"/>
      <c r="OZE108" s="897"/>
      <c r="OZF108" s="895"/>
      <c r="OZG108" s="895"/>
      <c r="OZH108" s="896"/>
      <c r="OZI108" s="897"/>
      <c r="OZJ108" s="897"/>
      <c r="OZK108" s="897"/>
      <c r="OZL108" s="897"/>
      <c r="OZM108" s="897"/>
      <c r="OZN108" s="897"/>
      <c r="OZO108" s="897"/>
      <c r="OZP108" s="897"/>
      <c r="OZQ108" s="895"/>
      <c r="OZR108" s="895"/>
      <c r="OZS108" s="896"/>
      <c r="OZT108" s="897"/>
      <c r="OZU108" s="897"/>
      <c r="OZV108" s="897"/>
      <c r="OZW108" s="897"/>
      <c r="OZX108" s="897"/>
      <c r="OZY108" s="897"/>
      <c r="OZZ108" s="897"/>
      <c r="PAA108" s="897"/>
      <c r="PAB108" s="895"/>
      <c r="PAC108" s="895"/>
      <c r="PAD108" s="896"/>
      <c r="PAE108" s="897"/>
      <c r="PAF108" s="897"/>
      <c r="PAG108" s="897"/>
      <c r="PAH108" s="897"/>
      <c r="PAI108" s="897"/>
      <c r="PAJ108" s="897"/>
      <c r="PAK108" s="897"/>
      <c r="PAL108" s="897"/>
      <c r="PAM108" s="895"/>
      <c r="PAN108" s="895"/>
      <c r="PAO108" s="896"/>
      <c r="PAP108" s="897"/>
      <c r="PAQ108" s="897"/>
      <c r="PAR108" s="897"/>
      <c r="PAS108" s="897"/>
      <c r="PAT108" s="897"/>
      <c r="PAU108" s="897"/>
      <c r="PAV108" s="897"/>
      <c r="PAW108" s="897"/>
      <c r="PAX108" s="895"/>
      <c r="PAY108" s="895"/>
      <c r="PAZ108" s="896"/>
      <c r="PBA108" s="897"/>
      <c r="PBB108" s="897"/>
      <c r="PBC108" s="897"/>
      <c r="PBD108" s="897"/>
      <c r="PBE108" s="897"/>
      <c r="PBF108" s="897"/>
      <c r="PBG108" s="897"/>
      <c r="PBH108" s="897"/>
      <c r="PBI108" s="895"/>
      <c r="PBJ108" s="895"/>
      <c r="PBK108" s="896"/>
      <c r="PBL108" s="897"/>
      <c r="PBM108" s="897"/>
      <c r="PBN108" s="897"/>
      <c r="PBO108" s="897"/>
      <c r="PBP108" s="897"/>
      <c r="PBQ108" s="897"/>
      <c r="PBR108" s="897"/>
      <c r="PBS108" s="897"/>
      <c r="PBT108" s="895"/>
      <c r="PBU108" s="895"/>
      <c r="PBV108" s="896"/>
      <c r="PBW108" s="897"/>
      <c r="PBX108" s="897"/>
      <c r="PBY108" s="897"/>
      <c r="PBZ108" s="897"/>
      <c r="PCA108" s="897"/>
      <c r="PCB108" s="897"/>
      <c r="PCC108" s="897"/>
      <c r="PCD108" s="897"/>
      <c r="PCE108" s="895"/>
      <c r="PCF108" s="895"/>
      <c r="PCG108" s="896"/>
      <c r="PCH108" s="897"/>
      <c r="PCI108" s="897"/>
      <c r="PCJ108" s="897"/>
      <c r="PCK108" s="897"/>
      <c r="PCL108" s="897"/>
      <c r="PCM108" s="897"/>
      <c r="PCN108" s="897"/>
      <c r="PCO108" s="897"/>
      <c r="PCP108" s="895"/>
      <c r="PCQ108" s="895"/>
      <c r="PCR108" s="896"/>
      <c r="PCS108" s="897"/>
      <c r="PCT108" s="897"/>
      <c r="PCU108" s="897"/>
      <c r="PCV108" s="897"/>
      <c r="PCW108" s="897"/>
      <c r="PCX108" s="897"/>
      <c r="PCY108" s="897"/>
      <c r="PCZ108" s="897"/>
      <c r="PDA108" s="895"/>
      <c r="PDB108" s="895"/>
      <c r="PDC108" s="896"/>
      <c r="PDD108" s="897"/>
      <c r="PDE108" s="897"/>
      <c r="PDF108" s="897"/>
      <c r="PDG108" s="897"/>
      <c r="PDH108" s="897"/>
      <c r="PDI108" s="897"/>
      <c r="PDJ108" s="897"/>
      <c r="PDK108" s="897"/>
      <c r="PDL108" s="895"/>
      <c r="PDM108" s="895"/>
      <c r="PDN108" s="896"/>
      <c r="PDO108" s="897"/>
      <c r="PDP108" s="897"/>
      <c r="PDQ108" s="897"/>
      <c r="PDR108" s="897"/>
      <c r="PDS108" s="897"/>
      <c r="PDT108" s="897"/>
      <c r="PDU108" s="897"/>
      <c r="PDV108" s="897"/>
      <c r="PDW108" s="895"/>
      <c r="PDX108" s="895"/>
      <c r="PDY108" s="896"/>
      <c r="PDZ108" s="897"/>
      <c r="PEA108" s="897"/>
      <c r="PEB108" s="897"/>
      <c r="PEC108" s="897"/>
      <c r="PED108" s="897"/>
      <c r="PEE108" s="897"/>
      <c r="PEF108" s="897"/>
      <c r="PEG108" s="897"/>
      <c r="PEH108" s="895"/>
      <c r="PEI108" s="895"/>
      <c r="PEJ108" s="896"/>
      <c r="PEK108" s="897"/>
      <c r="PEL108" s="897"/>
      <c r="PEM108" s="897"/>
      <c r="PEN108" s="897"/>
      <c r="PEO108" s="897"/>
      <c r="PEP108" s="897"/>
      <c r="PEQ108" s="897"/>
      <c r="PER108" s="897"/>
      <c r="PES108" s="895"/>
      <c r="PET108" s="895"/>
      <c r="PEU108" s="896"/>
      <c r="PEV108" s="897"/>
      <c r="PEW108" s="897"/>
      <c r="PEX108" s="897"/>
      <c r="PEY108" s="897"/>
      <c r="PEZ108" s="897"/>
      <c r="PFA108" s="897"/>
      <c r="PFB108" s="897"/>
      <c r="PFC108" s="897"/>
      <c r="PFD108" s="895"/>
      <c r="PFE108" s="895"/>
      <c r="PFF108" s="896"/>
      <c r="PFG108" s="897"/>
      <c r="PFH108" s="897"/>
      <c r="PFI108" s="897"/>
      <c r="PFJ108" s="897"/>
      <c r="PFK108" s="897"/>
      <c r="PFL108" s="897"/>
      <c r="PFM108" s="897"/>
      <c r="PFN108" s="897"/>
      <c r="PFO108" s="895"/>
      <c r="PFP108" s="895"/>
      <c r="PFQ108" s="896"/>
      <c r="PFR108" s="897"/>
      <c r="PFS108" s="897"/>
      <c r="PFT108" s="897"/>
      <c r="PFU108" s="897"/>
      <c r="PFV108" s="897"/>
      <c r="PFW108" s="897"/>
      <c r="PFX108" s="897"/>
      <c r="PFY108" s="897"/>
      <c r="PFZ108" s="895"/>
      <c r="PGA108" s="895"/>
      <c r="PGB108" s="896"/>
      <c r="PGC108" s="897"/>
      <c r="PGD108" s="897"/>
      <c r="PGE108" s="897"/>
      <c r="PGF108" s="897"/>
      <c r="PGG108" s="897"/>
      <c r="PGH108" s="897"/>
      <c r="PGI108" s="897"/>
      <c r="PGJ108" s="897"/>
      <c r="PGK108" s="895"/>
      <c r="PGL108" s="895"/>
      <c r="PGM108" s="896"/>
      <c r="PGN108" s="897"/>
      <c r="PGO108" s="897"/>
      <c r="PGP108" s="897"/>
      <c r="PGQ108" s="897"/>
      <c r="PGR108" s="897"/>
      <c r="PGS108" s="897"/>
      <c r="PGT108" s="897"/>
      <c r="PGU108" s="897"/>
      <c r="PGV108" s="895"/>
      <c r="PGW108" s="895"/>
      <c r="PGX108" s="896"/>
      <c r="PGY108" s="897"/>
      <c r="PGZ108" s="897"/>
      <c r="PHA108" s="897"/>
      <c r="PHB108" s="897"/>
      <c r="PHC108" s="897"/>
      <c r="PHD108" s="897"/>
      <c r="PHE108" s="897"/>
      <c r="PHF108" s="897"/>
      <c r="PHG108" s="895"/>
      <c r="PHH108" s="895"/>
      <c r="PHI108" s="896"/>
      <c r="PHJ108" s="897"/>
      <c r="PHK108" s="897"/>
      <c r="PHL108" s="897"/>
      <c r="PHM108" s="897"/>
      <c r="PHN108" s="897"/>
      <c r="PHO108" s="897"/>
      <c r="PHP108" s="897"/>
      <c r="PHQ108" s="897"/>
      <c r="PHR108" s="895"/>
      <c r="PHS108" s="895"/>
      <c r="PHT108" s="896"/>
      <c r="PHU108" s="897"/>
      <c r="PHV108" s="897"/>
      <c r="PHW108" s="897"/>
      <c r="PHX108" s="897"/>
      <c r="PHY108" s="897"/>
      <c r="PHZ108" s="897"/>
      <c r="PIA108" s="897"/>
      <c r="PIB108" s="897"/>
      <c r="PIC108" s="895"/>
      <c r="PID108" s="895"/>
      <c r="PIE108" s="896"/>
      <c r="PIF108" s="897"/>
      <c r="PIG108" s="897"/>
      <c r="PIH108" s="897"/>
      <c r="PII108" s="897"/>
      <c r="PIJ108" s="897"/>
      <c r="PIK108" s="897"/>
      <c r="PIL108" s="897"/>
      <c r="PIM108" s="897"/>
      <c r="PIN108" s="895"/>
      <c r="PIO108" s="895"/>
      <c r="PIP108" s="896"/>
      <c r="PIQ108" s="897"/>
      <c r="PIR108" s="897"/>
      <c r="PIS108" s="897"/>
      <c r="PIT108" s="897"/>
      <c r="PIU108" s="897"/>
      <c r="PIV108" s="897"/>
      <c r="PIW108" s="897"/>
      <c r="PIX108" s="897"/>
      <c r="PIY108" s="895"/>
      <c r="PIZ108" s="895"/>
      <c r="PJA108" s="896"/>
      <c r="PJB108" s="897"/>
      <c r="PJC108" s="897"/>
      <c r="PJD108" s="897"/>
      <c r="PJE108" s="897"/>
      <c r="PJF108" s="897"/>
      <c r="PJG108" s="897"/>
      <c r="PJH108" s="897"/>
      <c r="PJI108" s="897"/>
      <c r="PJJ108" s="895"/>
      <c r="PJK108" s="895"/>
      <c r="PJL108" s="896"/>
      <c r="PJM108" s="897"/>
      <c r="PJN108" s="897"/>
      <c r="PJO108" s="897"/>
      <c r="PJP108" s="897"/>
      <c r="PJQ108" s="897"/>
      <c r="PJR108" s="897"/>
      <c r="PJS108" s="897"/>
      <c r="PJT108" s="897"/>
      <c r="PJU108" s="895"/>
      <c r="PJV108" s="895"/>
      <c r="PJW108" s="896"/>
      <c r="PJX108" s="897"/>
      <c r="PJY108" s="897"/>
      <c r="PJZ108" s="897"/>
      <c r="PKA108" s="897"/>
      <c r="PKB108" s="897"/>
      <c r="PKC108" s="897"/>
      <c r="PKD108" s="897"/>
      <c r="PKE108" s="897"/>
      <c r="PKF108" s="895"/>
      <c r="PKG108" s="895"/>
      <c r="PKH108" s="896"/>
      <c r="PKI108" s="897"/>
      <c r="PKJ108" s="897"/>
      <c r="PKK108" s="897"/>
      <c r="PKL108" s="897"/>
      <c r="PKM108" s="897"/>
      <c r="PKN108" s="897"/>
      <c r="PKO108" s="897"/>
      <c r="PKP108" s="897"/>
      <c r="PKQ108" s="895"/>
      <c r="PKR108" s="895"/>
      <c r="PKS108" s="896"/>
      <c r="PKT108" s="897"/>
      <c r="PKU108" s="897"/>
      <c r="PKV108" s="897"/>
      <c r="PKW108" s="897"/>
      <c r="PKX108" s="897"/>
      <c r="PKY108" s="897"/>
      <c r="PKZ108" s="897"/>
      <c r="PLA108" s="897"/>
      <c r="PLB108" s="895"/>
      <c r="PLC108" s="895"/>
      <c r="PLD108" s="896"/>
      <c r="PLE108" s="897"/>
      <c r="PLF108" s="897"/>
      <c r="PLG108" s="897"/>
      <c r="PLH108" s="897"/>
      <c r="PLI108" s="897"/>
      <c r="PLJ108" s="897"/>
      <c r="PLK108" s="897"/>
      <c r="PLL108" s="897"/>
      <c r="PLM108" s="895"/>
      <c r="PLN108" s="895"/>
      <c r="PLO108" s="896"/>
      <c r="PLP108" s="897"/>
      <c r="PLQ108" s="897"/>
      <c r="PLR108" s="897"/>
      <c r="PLS108" s="897"/>
      <c r="PLT108" s="897"/>
      <c r="PLU108" s="897"/>
      <c r="PLV108" s="897"/>
      <c r="PLW108" s="897"/>
      <c r="PLX108" s="895"/>
      <c r="PLY108" s="895"/>
      <c r="PLZ108" s="896"/>
      <c r="PMA108" s="897"/>
      <c r="PMB108" s="897"/>
      <c r="PMC108" s="897"/>
      <c r="PMD108" s="897"/>
      <c r="PME108" s="897"/>
      <c r="PMF108" s="897"/>
      <c r="PMG108" s="897"/>
      <c r="PMH108" s="897"/>
      <c r="PMI108" s="895"/>
      <c r="PMJ108" s="895"/>
      <c r="PMK108" s="896"/>
      <c r="PML108" s="897"/>
      <c r="PMM108" s="897"/>
      <c r="PMN108" s="897"/>
      <c r="PMO108" s="897"/>
      <c r="PMP108" s="897"/>
      <c r="PMQ108" s="897"/>
      <c r="PMR108" s="897"/>
      <c r="PMS108" s="897"/>
      <c r="PMT108" s="895"/>
      <c r="PMU108" s="895"/>
      <c r="PMV108" s="896"/>
      <c r="PMW108" s="897"/>
      <c r="PMX108" s="897"/>
      <c r="PMY108" s="897"/>
      <c r="PMZ108" s="897"/>
      <c r="PNA108" s="897"/>
      <c r="PNB108" s="897"/>
      <c r="PNC108" s="897"/>
      <c r="PND108" s="897"/>
      <c r="PNE108" s="895"/>
      <c r="PNF108" s="895"/>
      <c r="PNG108" s="896"/>
      <c r="PNH108" s="897"/>
      <c r="PNI108" s="897"/>
      <c r="PNJ108" s="897"/>
      <c r="PNK108" s="897"/>
      <c r="PNL108" s="897"/>
      <c r="PNM108" s="897"/>
      <c r="PNN108" s="897"/>
      <c r="PNO108" s="897"/>
      <c r="PNP108" s="895"/>
      <c r="PNQ108" s="895"/>
      <c r="PNR108" s="896"/>
      <c r="PNS108" s="897"/>
      <c r="PNT108" s="897"/>
      <c r="PNU108" s="897"/>
      <c r="PNV108" s="897"/>
      <c r="PNW108" s="897"/>
      <c r="PNX108" s="897"/>
      <c r="PNY108" s="897"/>
      <c r="PNZ108" s="897"/>
      <c r="POA108" s="895"/>
      <c r="POB108" s="895"/>
      <c r="POC108" s="896"/>
      <c r="POD108" s="897"/>
      <c r="POE108" s="897"/>
      <c r="POF108" s="897"/>
      <c r="POG108" s="897"/>
      <c r="POH108" s="897"/>
      <c r="POI108" s="897"/>
      <c r="POJ108" s="897"/>
      <c r="POK108" s="897"/>
      <c r="POL108" s="895"/>
      <c r="POM108" s="895"/>
      <c r="PON108" s="896"/>
      <c r="POO108" s="897"/>
      <c r="POP108" s="897"/>
      <c r="POQ108" s="897"/>
      <c r="POR108" s="897"/>
      <c r="POS108" s="897"/>
      <c r="POT108" s="897"/>
      <c r="POU108" s="897"/>
      <c r="POV108" s="897"/>
      <c r="POW108" s="895"/>
      <c r="POX108" s="895"/>
      <c r="POY108" s="896"/>
      <c r="POZ108" s="897"/>
      <c r="PPA108" s="897"/>
      <c r="PPB108" s="897"/>
      <c r="PPC108" s="897"/>
      <c r="PPD108" s="897"/>
      <c r="PPE108" s="897"/>
      <c r="PPF108" s="897"/>
      <c r="PPG108" s="897"/>
      <c r="PPH108" s="895"/>
      <c r="PPI108" s="895"/>
      <c r="PPJ108" s="896"/>
      <c r="PPK108" s="897"/>
      <c r="PPL108" s="897"/>
      <c r="PPM108" s="897"/>
      <c r="PPN108" s="897"/>
      <c r="PPO108" s="897"/>
      <c r="PPP108" s="897"/>
      <c r="PPQ108" s="897"/>
      <c r="PPR108" s="897"/>
      <c r="PPS108" s="895"/>
      <c r="PPT108" s="895"/>
      <c r="PPU108" s="896"/>
      <c r="PPV108" s="897"/>
      <c r="PPW108" s="897"/>
      <c r="PPX108" s="897"/>
      <c r="PPY108" s="897"/>
      <c r="PPZ108" s="897"/>
      <c r="PQA108" s="897"/>
      <c r="PQB108" s="897"/>
      <c r="PQC108" s="897"/>
      <c r="PQD108" s="895"/>
      <c r="PQE108" s="895"/>
      <c r="PQF108" s="896"/>
      <c r="PQG108" s="897"/>
      <c r="PQH108" s="897"/>
      <c r="PQI108" s="897"/>
      <c r="PQJ108" s="897"/>
      <c r="PQK108" s="897"/>
      <c r="PQL108" s="897"/>
      <c r="PQM108" s="897"/>
      <c r="PQN108" s="897"/>
      <c r="PQO108" s="895"/>
      <c r="PQP108" s="895"/>
      <c r="PQQ108" s="896"/>
      <c r="PQR108" s="897"/>
      <c r="PQS108" s="897"/>
      <c r="PQT108" s="897"/>
      <c r="PQU108" s="897"/>
      <c r="PQV108" s="897"/>
      <c r="PQW108" s="897"/>
      <c r="PQX108" s="897"/>
      <c r="PQY108" s="897"/>
      <c r="PQZ108" s="895"/>
      <c r="PRA108" s="895"/>
      <c r="PRB108" s="896"/>
      <c r="PRC108" s="897"/>
      <c r="PRD108" s="897"/>
      <c r="PRE108" s="897"/>
      <c r="PRF108" s="897"/>
      <c r="PRG108" s="897"/>
      <c r="PRH108" s="897"/>
      <c r="PRI108" s="897"/>
      <c r="PRJ108" s="897"/>
      <c r="PRK108" s="895"/>
      <c r="PRL108" s="895"/>
      <c r="PRM108" s="896"/>
      <c r="PRN108" s="897"/>
      <c r="PRO108" s="897"/>
      <c r="PRP108" s="897"/>
      <c r="PRQ108" s="897"/>
      <c r="PRR108" s="897"/>
      <c r="PRS108" s="897"/>
      <c r="PRT108" s="897"/>
      <c r="PRU108" s="897"/>
      <c r="PRV108" s="895"/>
      <c r="PRW108" s="895"/>
      <c r="PRX108" s="896"/>
      <c r="PRY108" s="897"/>
      <c r="PRZ108" s="897"/>
      <c r="PSA108" s="897"/>
      <c r="PSB108" s="897"/>
      <c r="PSC108" s="897"/>
      <c r="PSD108" s="897"/>
      <c r="PSE108" s="897"/>
      <c r="PSF108" s="897"/>
      <c r="PSG108" s="895"/>
      <c r="PSH108" s="895"/>
      <c r="PSI108" s="896"/>
      <c r="PSJ108" s="897"/>
      <c r="PSK108" s="897"/>
      <c r="PSL108" s="897"/>
      <c r="PSM108" s="897"/>
      <c r="PSN108" s="897"/>
      <c r="PSO108" s="897"/>
      <c r="PSP108" s="897"/>
      <c r="PSQ108" s="897"/>
      <c r="PSR108" s="895"/>
      <c r="PSS108" s="895"/>
      <c r="PST108" s="896"/>
      <c r="PSU108" s="897"/>
      <c r="PSV108" s="897"/>
      <c r="PSW108" s="897"/>
      <c r="PSX108" s="897"/>
      <c r="PSY108" s="897"/>
      <c r="PSZ108" s="897"/>
      <c r="PTA108" s="897"/>
      <c r="PTB108" s="897"/>
      <c r="PTC108" s="895"/>
      <c r="PTD108" s="895"/>
      <c r="PTE108" s="896"/>
      <c r="PTF108" s="897"/>
      <c r="PTG108" s="897"/>
      <c r="PTH108" s="897"/>
      <c r="PTI108" s="897"/>
      <c r="PTJ108" s="897"/>
      <c r="PTK108" s="897"/>
      <c r="PTL108" s="897"/>
      <c r="PTM108" s="897"/>
      <c r="PTN108" s="895"/>
      <c r="PTO108" s="895"/>
      <c r="PTP108" s="896"/>
      <c r="PTQ108" s="897"/>
      <c r="PTR108" s="897"/>
      <c r="PTS108" s="897"/>
      <c r="PTT108" s="897"/>
      <c r="PTU108" s="897"/>
      <c r="PTV108" s="897"/>
      <c r="PTW108" s="897"/>
      <c r="PTX108" s="897"/>
      <c r="PTY108" s="895"/>
      <c r="PTZ108" s="895"/>
      <c r="PUA108" s="896"/>
      <c r="PUB108" s="897"/>
      <c r="PUC108" s="897"/>
      <c r="PUD108" s="897"/>
      <c r="PUE108" s="897"/>
      <c r="PUF108" s="897"/>
      <c r="PUG108" s="897"/>
      <c r="PUH108" s="897"/>
      <c r="PUI108" s="897"/>
      <c r="PUJ108" s="895"/>
      <c r="PUK108" s="895"/>
      <c r="PUL108" s="896"/>
      <c r="PUM108" s="897"/>
      <c r="PUN108" s="897"/>
      <c r="PUO108" s="897"/>
      <c r="PUP108" s="897"/>
      <c r="PUQ108" s="897"/>
      <c r="PUR108" s="897"/>
      <c r="PUS108" s="897"/>
      <c r="PUT108" s="897"/>
      <c r="PUU108" s="895"/>
      <c r="PUV108" s="895"/>
      <c r="PUW108" s="896"/>
      <c r="PUX108" s="897"/>
      <c r="PUY108" s="897"/>
      <c r="PUZ108" s="897"/>
      <c r="PVA108" s="897"/>
      <c r="PVB108" s="897"/>
      <c r="PVC108" s="897"/>
      <c r="PVD108" s="897"/>
      <c r="PVE108" s="897"/>
      <c r="PVF108" s="895"/>
      <c r="PVG108" s="895"/>
      <c r="PVH108" s="896"/>
      <c r="PVI108" s="897"/>
      <c r="PVJ108" s="897"/>
      <c r="PVK108" s="897"/>
      <c r="PVL108" s="897"/>
      <c r="PVM108" s="897"/>
      <c r="PVN108" s="897"/>
      <c r="PVO108" s="897"/>
      <c r="PVP108" s="897"/>
      <c r="PVQ108" s="895"/>
      <c r="PVR108" s="895"/>
      <c r="PVS108" s="896"/>
      <c r="PVT108" s="897"/>
      <c r="PVU108" s="897"/>
      <c r="PVV108" s="897"/>
      <c r="PVW108" s="897"/>
      <c r="PVX108" s="897"/>
      <c r="PVY108" s="897"/>
      <c r="PVZ108" s="897"/>
      <c r="PWA108" s="897"/>
      <c r="PWB108" s="895"/>
      <c r="PWC108" s="895"/>
      <c r="PWD108" s="896"/>
      <c r="PWE108" s="897"/>
      <c r="PWF108" s="897"/>
      <c r="PWG108" s="897"/>
      <c r="PWH108" s="897"/>
      <c r="PWI108" s="897"/>
      <c r="PWJ108" s="897"/>
      <c r="PWK108" s="897"/>
      <c r="PWL108" s="897"/>
      <c r="PWM108" s="895"/>
      <c r="PWN108" s="895"/>
      <c r="PWO108" s="896"/>
      <c r="PWP108" s="897"/>
      <c r="PWQ108" s="897"/>
      <c r="PWR108" s="897"/>
      <c r="PWS108" s="897"/>
      <c r="PWT108" s="897"/>
      <c r="PWU108" s="897"/>
      <c r="PWV108" s="897"/>
      <c r="PWW108" s="897"/>
      <c r="PWX108" s="895"/>
      <c r="PWY108" s="895"/>
      <c r="PWZ108" s="896"/>
      <c r="PXA108" s="897"/>
      <c r="PXB108" s="897"/>
      <c r="PXC108" s="897"/>
      <c r="PXD108" s="897"/>
      <c r="PXE108" s="897"/>
      <c r="PXF108" s="897"/>
      <c r="PXG108" s="897"/>
      <c r="PXH108" s="897"/>
      <c r="PXI108" s="895"/>
      <c r="PXJ108" s="895"/>
      <c r="PXK108" s="896"/>
      <c r="PXL108" s="897"/>
      <c r="PXM108" s="897"/>
      <c r="PXN108" s="897"/>
      <c r="PXO108" s="897"/>
      <c r="PXP108" s="897"/>
      <c r="PXQ108" s="897"/>
      <c r="PXR108" s="897"/>
      <c r="PXS108" s="897"/>
      <c r="PXT108" s="895"/>
      <c r="PXU108" s="895"/>
      <c r="PXV108" s="896"/>
      <c r="PXW108" s="897"/>
      <c r="PXX108" s="897"/>
      <c r="PXY108" s="897"/>
      <c r="PXZ108" s="897"/>
      <c r="PYA108" s="897"/>
      <c r="PYB108" s="897"/>
      <c r="PYC108" s="897"/>
      <c r="PYD108" s="897"/>
      <c r="PYE108" s="895"/>
      <c r="PYF108" s="895"/>
      <c r="PYG108" s="896"/>
      <c r="PYH108" s="897"/>
      <c r="PYI108" s="897"/>
      <c r="PYJ108" s="897"/>
      <c r="PYK108" s="897"/>
      <c r="PYL108" s="897"/>
      <c r="PYM108" s="897"/>
      <c r="PYN108" s="897"/>
      <c r="PYO108" s="897"/>
      <c r="PYP108" s="895"/>
      <c r="PYQ108" s="895"/>
      <c r="PYR108" s="896"/>
      <c r="PYS108" s="897"/>
      <c r="PYT108" s="897"/>
      <c r="PYU108" s="897"/>
      <c r="PYV108" s="897"/>
      <c r="PYW108" s="897"/>
      <c r="PYX108" s="897"/>
      <c r="PYY108" s="897"/>
      <c r="PYZ108" s="897"/>
      <c r="PZA108" s="895"/>
      <c r="PZB108" s="895"/>
      <c r="PZC108" s="896"/>
      <c r="PZD108" s="897"/>
      <c r="PZE108" s="897"/>
      <c r="PZF108" s="897"/>
      <c r="PZG108" s="897"/>
      <c r="PZH108" s="897"/>
      <c r="PZI108" s="897"/>
      <c r="PZJ108" s="897"/>
      <c r="PZK108" s="897"/>
      <c r="PZL108" s="895"/>
      <c r="PZM108" s="895"/>
      <c r="PZN108" s="896"/>
      <c r="PZO108" s="897"/>
      <c r="PZP108" s="897"/>
      <c r="PZQ108" s="897"/>
      <c r="PZR108" s="897"/>
      <c r="PZS108" s="897"/>
      <c r="PZT108" s="897"/>
      <c r="PZU108" s="897"/>
      <c r="PZV108" s="897"/>
      <c r="PZW108" s="895"/>
      <c r="PZX108" s="895"/>
      <c r="PZY108" s="896"/>
      <c r="PZZ108" s="897"/>
      <c r="QAA108" s="897"/>
      <c r="QAB108" s="897"/>
      <c r="QAC108" s="897"/>
      <c r="QAD108" s="897"/>
      <c r="QAE108" s="897"/>
      <c r="QAF108" s="897"/>
      <c r="QAG108" s="897"/>
      <c r="QAH108" s="895"/>
      <c r="QAI108" s="895"/>
      <c r="QAJ108" s="896"/>
      <c r="QAK108" s="897"/>
      <c r="QAL108" s="897"/>
      <c r="QAM108" s="897"/>
      <c r="QAN108" s="897"/>
      <c r="QAO108" s="897"/>
      <c r="QAP108" s="897"/>
      <c r="QAQ108" s="897"/>
      <c r="QAR108" s="897"/>
      <c r="QAS108" s="895"/>
      <c r="QAT108" s="895"/>
      <c r="QAU108" s="896"/>
      <c r="QAV108" s="897"/>
      <c r="QAW108" s="897"/>
      <c r="QAX108" s="897"/>
      <c r="QAY108" s="897"/>
      <c r="QAZ108" s="897"/>
      <c r="QBA108" s="897"/>
      <c r="QBB108" s="897"/>
      <c r="QBC108" s="897"/>
      <c r="QBD108" s="895"/>
      <c r="QBE108" s="895"/>
      <c r="QBF108" s="896"/>
      <c r="QBG108" s="897"/>
      <c r="QBH108" s="897"/>
      <c r="QBI108" s="897"/>
      <c r="QBJ108" s="897"/>
      <c r="QBK108" s="897"/>
      <c r="QBL108" s="897"/>
      <c r="QBM108" s="897"/>
      <c r="QBN108" s="897"/>
      <c r="QBO108" s="895"/>
      <c r="QBP108" s="895"/>
      <c r="QBQ108" s="896"/>
      <c r="QBR108" s="897"/>
      <c r="QBS108" s="897"/>
      <c r="QBT108" s="897"/>
      <c r="QBU108" s="897"/>
      <c r="QBV108" s="897"/>
      <c r="QBW108" s="897"/>
      <c r="QBX108" s="897"/>
      <c r="QBY108" s="897"/>
      <c r="QBZ108" s="895"/>
      <c r="QCA108" s="895"/>
      <c r="QCB108" s="896"/>
      <c r="QCC108" s="897"/>
      <c r="QCD108" s="897"/>
      <c r="QCE108" s="897"/>
      <c r="QCF108" s="897"/>
      <c r="QCG108" s="897"/>
      <c r="QCH108" s="897"/>
      <c r="QCI108" s="897"/>
      <c r="QCJ108" s="897"/>
      <c r="QCK108" s="895"/>
      <c r="QCL108" s="895"/>
      <c r="QCM108" s="896"/>
      <c r="QCN108" s="897"/>
      <c r="QCO108" s="897"/>
      <c r="QCP108" s="897"/>
      <c r="QCQ108" s="897"/>
      <c r="QCR108" s="897"/>
      <c r="QCS108" s="897"/>
      <c r="QCT108" s="897"/>
      <c r="QCU108" s="897"/>
      <c r="QCV108" s="895"/>
      <c r="QCW108" s="895"/>
      <c r="QCX108" s="896"/>
      <c r="QCY108" s="897"/>
      <c r="QCZ108" s="897"/>
      <c r="QDA108" s="897"/>
      <c r="QDB108" s="897"/>
      <c r="QDC108" s="897"/>
      <c r="QDD108" s="897"/>
      <c r="QDE108" s="897"/>
      <c r="QDF108" s="897"/>
      <c r="QDG108" s="895"/>
      <c r="QDH108" s="895"/>
      <c r="QDI108" s="896"/>
      <c r="QDJ108" s="897"/>
      <c r="QDK108" s="897"/>
      <c r="QDL108" s="897"/>
      <c r="QDM108" s="897"/>
      <c r="QDN108" s="897"/>
      <c r="QDO108" s="897"/>
      <c r="QDP108" s="897"/>
      <c r="QDQ108" s="897"/>
      <c r="QDR108" s="895"/>
      <c r="QDS108" s="895"/>
      <c r="QDT108" s="896"/>
      <c r="QDU108" s="897"/>
      <c r="QDV108" s="897"/>
      <c r="QDW108" s="897"/>
      <c r="QDX108" s="897"/>
      <c r="QDY108" s="897"/>
      <c r="QDZ108" s="897"/>
      <c r="QEA108" s="897"/>
      <c r="QEB108" s="897"/>
      <c r="QEC108" s="895"/>
      <c r="QED108" s="895"/>
      <c r="QEE108" s="896"/>
      <c r="QEF108" s="897"/>
      <c r="QEG108" s="897"/>
      <c r="QEH108" s="897"/>
      <c r="QEI108" s="897"/>
      <c r="QEJ108" s="897"/>
      <c r="QEK108" s="897"/>
      <c r="QEL108" s="897"/>
      <c r="QEM108" s="897"/>
      <c r="QEN108" s="895"/>
      <c r="QEO108" s="895"/>
      <c r="QEP108" s="896"/>
      <c r="QEQ108" s="897"/>
      <c r="QER108" s="897"/>
      <c r="QES108" s="897"/>
      <c r="QET108" s="897"/>
      <c r="QEU108" s="897"/>
      <c r="QEV108" s="897"/>
      <c r="QEW108" s="897"/>
      <c r="QEX108" s="897"/>
      <c r="QEY108" s="895"/>
      <c r="QEZ108" s="895"/>
      <c r="QFA108" s="896"/>
      <c r="QFB108" s="897"/>
      <c r="QFC108" s="897"/>
      <c r="QFD108" s="897"/>
      <c r="QFE108" s="897"/>
      <c r="QFF108" s="897"/>
      <c r="QFG108" s="897"/>
      <c r="QFH108" s="897"/>
      <c r="QFI108" s="897"/>
      <c r="QFJ108" s="895"/>
      <c r="QFK108" s="895"/>
      <c r="QFL108" s="896"/>
      <c r="QFM108" s="897"/>
      <c r="QFN108" s="897"/>
      <c r="QFO108" s="897"/>
      <c r="QFP108" s="897"/>
      <c r="QFQ108" s="897"/>
      <c r="QFR108" s="897"/>
      <c r="QFS108" s="897"/>
      <c r="QFT108" s="897"/>
      <c r="QFU108" s="895"/>
      <c r="QFV108" s="895"/>
      <c r="QFW108" s="896"/>
      <c r="QFX108" s="897"/>
      <c r="QFY108" s="897"/>
      <c r="QFZ108" s="897"/>
      <c r="QGA108" s="897"/>
      <c r="QGB108" s="897"/>
      <c r="QGC108" s="897"/>
      <c r="QGD108" s="897"/>
      <c r="QGE108" s="897"/>
      <c r="QGF108" s="895"/>
      <c r="QGG108" s="895"/>
      <c r="QGH108" s="896"/>
      <c r="QGI108" s="897"/>
      <c r="QGJ108" s="897"/>
      <c r="QGK108" s="897"/>
      <c r="QGL108" s="897"/>
      <c r="QGM108" s="897"/>
      <c r="QGN108" s="897"/>
      <c r="QGO108" s="897"/>
      <c r="QGP108" s="897"/>
      <c r="QGQ108" s="895"/>
      <c r="QGR108" s="895"/>
      <c r="QGS108" s="896"/>
      <c r="QGT108" s="897"/>
      <c r="QGU108" s="897"/>
      <c r="QGV108" s="897"/>
      <c r="QGW108" s="897"/>
      <c r="QGX108" s="897"/>
      <c r="QGY108" s="897"/>
      <c r="QGZ108" s="897"/>
      <c r="QHA108" s="897"/>
      <c r="QHB108" s="895"/>
      <c r="QHC108" s="895"/>
      <c r="QHD108" s="896"/>
      <c r="QHE108" s="897"/>
      <c r="QHF108" s="897"/>
      <c r="QHG108" s="897"/>
      <c r="QHH108" s="897"/>
      <c r="QHI108" s="897"/>
      <c r="QHJ108" s="897"/>
      <c r="QHK108" s="897"/>
      <c r="QHL108" s="897"/>
      <c r="QHM108" s="895"/>
      <c r="QHN108" s="895"/>
      <c r="QHO108" s="896"/>
      <c r="QHP108" s="897"/>
      <c r="QHQ108" s="897"/>
      <c r="QHR108" s="897"/>
      <c r="QHS108" s="897"/>
      <c r="QHT108" s="897"/>
      <c r="QHU108" s="897"/>
      <c r="QHV108" s="897"/>
      <c r="QHW108" s="897"/>
      <c r="QHX108" s="895"/>
      <c r="QHY108" s="895"/>
      <c r="QHZ108" s="896"/>
      <c r="QIA108" s="897"/>
      <c r="QIB108" s="897"/>
      <c r="QIC108" s="897"/>
      <c r="QID108" s="897"/>
      <c r="QIE108" s="897"/>
      <c r="QIF108" s="897"/>
      <c r="QIG108" s="897"/>
      <c r="QIH108" s="897"/>
      <c r="QII108" s="895"/>
      <c r="QIJ108" s="895"/>
      <c r="QIK108" s="896"/>
      <c r="QIL108" s="897"/>
      <c r="QIM108" s="897"/>
      <c r="QIN108" s="897"/>
      <c r="QIO108" s="897"/>
      <c r="QIP108" s="897"/>
      <c r="QIQ108" s="897"/>
      <c r="QIR108" s="897"/>
      <c r="QIS108" s="897"/>
      <c r="QIT108" s="895"/>
      <c r="QIU108" s="895"/>
      <c r="QIV108" s="896"/>
      <c r="QIW108" s="897"/>
      <c r="QIX108" s="897"/>
      <c r="QIY108" s="897"/>
      <c r="QIZ108" s="897"/>
      <c r="QJA108" s="897"/>
      <c r="QJB108" s="897"/>
      <c r="QJC108" s="897"/>
      <c r="QJD108" s="897"/>
      <c r="QJE108" s="895"/>
      <c r="QJF108" s="895"/>
      <c r="QJG108" s="896"/>
      <c r="QJH108" s="897"/>
      <c r="QJI108" s="897"/>
      <c r="QJJ108" s="897"/>
      <c r="QJK108" s="897"/>
      <c r="QJL108" s="897"/>
      <c r="QJM108" s="897"/>
      <c r="QJN108" s="897"/>
      <c r="QJO108" s="897"/>
      <c r="QJP108" s="895"/>
      <c r="QJQ108" s="895"/>
      <c r="QJR108" s="896"/>
      <c r="QJS108" s="897"/>
      <c r="QJT108" s="897"/>
      <c r="QJU108" s="897"/>
      <c r="QJV108" s="897"/>
      <c r="QJW108" s="897"/>
      <c r="QJX108" s="897"/>
      <c r="QJY108" s="897"/>
      <c r="QJZ108" s="897"/>
      <c r="QKA108" s="895"/>
      <c r="QKB108" s="895"/>
      <c r="QKC108" s="896"/>
      <c r="QKD108" s="897"/>
      <c r="QKE108" s="897"/>
      <c r="QKF108" s="897"/>
      <c r="QKG108" s="897"/>
      <c r="QKH108" s="897"/>
      <c r="QKI108" s="897"/>
      <c r="QKJ108" s="897"/>
      <c r="QKK108" s="897"/>
      <c r="QKL108" s="895"/>
      <c r="QKM108" s="895"/>
      <c r="QKN108" s="896"/>
      <c r="QKO108" s="897"/>
      <c r="QKP108" s="897"/>
      <c r="QKQ108" s="897"/>
      <c r="QKR108" s="897"/>
      <c r="QKS108" s="897"/>
      <c r="QKT108" s="897"/>
      <c r="QKU108" s="897"/>
      <c r="QKV108" s="897"/>
      <c r="QKW108" s="895"/>
      <c r="QKX108" s="895"/>
      <c r="QKY108" s="896"/>
      <c r="QKZ108" s="897"/>
      <c r="QLA108" s="897"/>
      <c r="QLB108" s="897"/>
      <c r="QLC108" s="897"/>
      <c r="QLD108" s="897"/>
      <c r="QLE108" s="897"/>
      <c r="QLF108" s="897"/>
      <c r="QLG108" s="897"/>
      <c r="QLH108" s="895"/>
      <c r="QLI108" s="895"/>
      <c r="QLJ108" s="896"/>
      <c r="QLK108" s="897"/>
      <c r="QLL108" s="897"/>
      <c r="QLM108" s="897"/>
      <c r="QLN108" s="897"/>
      <c r="QLO108" s="897"/>
      <c r="QLP108" s="897"/>
      <c r="QLQ108" s="897"/>
      <c r="QLR108" s="897"/>
      <c r="QLS108" s="895"/>
      <c r="QLT108" s="895"/>
      <c r="QLU108" s="896"/>
      <c r="QLV108" s="897"/>
      <c r="QLW108" s="897"/>
      <c r="QLX108" s="897"/>
      <c r="QLY108" s="897"/>
      <c r="QLZ108" s="897"/>
      <c r="QMA108" s="897"/>
      <c r="QMB108" s="897"/>
      <c r="QMC108" s="897"/>
      <c r="QMD108" s="895"/>
      <c r="QME108" s="895"/>
      <c r="QMF108" s="896"/>
      <c r="QMG108" s="897"/>
      <c r="QMH108" s="897"/>
      <c r="QMI108" s="897"/>
      <c r="QMJ108" s="897"/>
      <c r="QMK108" s="897"/>
      <c r="QML108" s="897"/>
      <c r="QMM108" s="897"/>
      <c r="QMN108" s="897"/>
      <c r="QMO108" s="895"/>
      <c r="QMP108" s="895"/>
      <c r="QMQ108" s="896"/>
      <c r="QMR108" s="897"/>
      <c r="QMS108" s="897"/>
      <c r="QMT108" s="897"/>
      <c r="QMU108" s="897"/>
      <c r="QMV108" s="897"/>
      <c r="QMW108" s="897"/>
      <c r="QMX108" s="897"/>
      <c r="QMY108" s="897"/>
      <c r="QMZ108" s="895"/>
      <c r="QNA108" s="895"/>
      <c r="QNB108" s="896"/>
      <c r="QNC108" s="897"/>
      <c r="QND108" s="897"/>
      <c r="QNE108" s="897"/>
      <c r="QNF108" s="897"/>
      <c r="QNG108" s="897"/>
      <c r="QNH108" s="897"/>
      <c r="QNI108" s="897"/>
      <c r="QNJ108" s="897"/>
      <c r="QNK108" s="895"/>
      <c r="QNL108" s="895"/>
      <c r="QNM108" s="896"/>
      <c r="QNN108" s="897"/>
      <c r="QNO108" s="897"/>
      <c r="QNP108" s="897"/>
      <c r="QNQ108" s="897"/>
      <c r="QNR108" s="897"/>
      <c r="QNS108" s="897"/>
      <c r="QNT108" s="897"/>
      <c r="QNU108" s="897"/>
      <c r="QNV108" s="895"/>
      <c r="QNW108" s="895"/>
      <c r="QNX108" s="896"/>
      <c r="QNY108" s="897"/>
      <c r="QNZ108" s="897"/>
      <c r="QOA108" s="897"/>
      <c r="QOB108" s="897"/>
      <c r="QOC108" s="897"/>
      <c r="QOD108" s="897"/>
      <c r="QOE108" s="897"/>
      <c r="QOF108" s="897"/>
      <c r="QOG108" s="895"/>
      <c r="QOH108" s="895"/>
      <c r="QOI108" s="896"/>
      <c r="QOJ108" s="897"/>
      <c r="QOK108" s="897"/>
      <c r="QOL108" s="897"/>
      <c r="QOM108" s="897"/>
      <c r="QON108" s="897"/>
      <c r="QOO108" s="897"/>
      <c r="QOP108" s="897"/>
      <c r="QOQ108" s="897"/>
      <c r="QOR108" s="895"/>
      <c r="QOS108" s="895"/>
      <c r="QOT108" s="896"/>
      <c r="QOU108" s="897"/>
      <c r="QOV108" s="897"/>
      <c r="QOW108" s="897"/>
      <c r="QOX108" s="897"/>
      <c r="QOY108" s="897"/>
      <c r="QOZ108" s="897"/>
      <c r="QPA108" s="897"/>
      <c r="QPB108" s="897"/>
      <c r="QPC108" s="895"/>
      <c r="QPD108" s="895"/>
      <c r="QPE108" s="896"/>
      <c r="QPF108" s="897"/>
      <c r="QPG108" s="897"/>
      <c r="QPH108" s="897"/>
      <c r="QPI108" s="897"/>
      <c r="QPJ108" s="897"/>
      <c r="QPK108" s="897"/>
      <c r="QPL108" s="897"/>
      <c r="QPM108" s="897"/>
      <c r="QPN108" s="895"/>
      <c r="QPO108" s="895"/>
      <c r="QPP108" s="896"/>
      <c r="QPQ108" s="897"/>
      <c r="QPR108" s="897"/>
      <c r="QPS108" s="897"/>
      <c r="QPT108" s="897"/>
      <c r="QPU108" s="897"/>
      <c r="QPV108" s="897"/>
      <c r="QPW108" s="897"/>
      <c r="QPX108" s="897"/>
      <c r="QPY108" s="895"/>
      <c r="QPZ108" s="895"/>
      <c r="QQA108" s="896"/>
      <c r="QQB108" s="897"/>
      <c r="QQC108" s="897"/>
      <c r="QQD108" s="897"/>
      <c r="QQE108" s="897"/>
      <c r="QQF108" s="897"/>
      <c r="QQG108" s="897"/>
      <c r="QQH108" s="897"/>
      <c r="QQI108" s="897"/>
      <c r="QQJ108" s="895"/>
      <c r="QQK108" s="895"/>
      <c r="QQL108" s="896"/>
      <c r="QQM108" s="897"/>
      <c r="QQN108" s="897"/>
      <c r="QQO108" s="897"/>
      <c r="QQP108" s="897"/>
      <c r="QQQ108" s="897"/>
      <c r="QQR108" s="897"/>
      <c r="QQS108" s="897"/>
      <c r="QQT108" s="897"/>
      <c r="QQU108" s="895"/>
      <c r="QQV108" s="895"/>
      <c r="QQW108" s="896"/>
      <c r="QQX108" s="897"/>
      <c r="QQY108" s="897"/>
      <c r="QQZ108" s="897"/>
      <c r="QRA108" s="897"/>
      <c r="QRB108" s="897"/>
      <c r="QRC108" s="897"/>
      <c r="QRD108" s="897"/>
      <c r="QRE108" s="897"/>
      <c r="QRF108" s="895"/>
      <c r="QRG108" s="895"/>
      <c r="QRH108" s="896"/>
      <c r="QRI108" s="897"/>
      <c r="QRJ108" s="897"/>
      <c r="QRK108" s="897"/>
      <c r="QRL108" s="897"/>
      <c r="QRM108" s="897"/>
      <c r="QRN108" s="897"/>
      <c r="QRO108" s="897"/>
      <c r="QRP108" s="897"/>
      <c r="QRQ108" s="895"/>
      <c r="QRR108" s="895"/>
      <c r="QRS108" s="896"/>
      <c r="QRT108" s="897"/>
      <c r="QRU108" s="897"/>
      <c r="QRV108" s="897"/>
      <c r="QRW108" s="897"/>
      <c r="QRX108" s="897"/>
      <c r="QRY108" s="897"/>
      <c r="QRZ108" s="897"/>
      <c r="QSA108" s="897"/>
      <c r="QSB108" s="895"/>
      <c r="QSC108" s="895"/>
      <c r="QSD108" s="896"/>
      <c r="QSE108" s="897"/>
      <c r="QSF108" s="897"/>
      <c r="QSG108" s="897"/>
      <c r="QSH108" s="897"/>
      <c r="QSI108" s="897"/>
      <c r="QSJ108" s="897"/>
      <c r="QSK108" s="897"/>
      <c r="QSL108" s="897"/>
      <c r="QSM108" s="895"/>
      <c r="QSN108" s="895"/>
      <c r="QSO108" s="896"/>
      <c r="QSP108" s="897"/>
      <c r="QSQ108" s="897"/>
      <c r="QSR108" s="897"/>
      <c r="QSS108" s="897"/>
      <c r="QST108" s="897"/>
      <c r="QSU108" s="897"/>
      <c r="QSV108" s="897"/>
      <c r="QSW108" s="897"/>
      <c r="QSX108" s="895"/>
      <c r="QSY108" s="895"/>
      <c r="QSZ108" s="896"/>
      <c r="QTA108" s="897"/>
      <c r="QTB108" s="897"/>
      <c r="QTC108" s="897"/>
      <c r="QTD108" s="897"/>
      <c r="QTE108" s="897"/>
      <c r="QTF108" s="897"/>
      <c r="QTG108" s="897"/>
      <c r="QTH108" s="897"/>
      <c r="QTI108" s="895"/>
      <c r="QTJ108" s="895"/>
      <c r="QTK108" s="896"/>
      <c r="QTL108" s="897"/>
      <c r="QTM108" s="897"/>
      <c r="QTN108" s="897"/>
      <c r="QTO108" s="897"/>
      <c r="QTP108" s="897"/>
      <c r="QTQ108" s="897"/>
      <c r="QTR108" s="897"/>
      <c r="QTS108" s="897"/>
      <c r="QTT108" s="895"/>
      <c r="QTU108" s="895"/>
      <c r="QTV108" s="896"/>
      <c r="QTW108" s="897"/>
      <c r="QTX108" s="897"/>
      <c r="QTY108" s="897"/>
      <c r="QTZ108" s="897"/>
      <c r="QUA108" s="897"/>
      <c r="QUB108" s="897"/>
      <c r="QUC108" s="897"/>
      <c r="QUD108" s="897"/>
      <c r="QUE108" s="895"/>
      <c r="QUF108" s="895"/>
      <c r="QUG108" s="896"/>
      <c r="QUH108" s="897"/>
      <c r="QUI108" s="897"/>
      <c r="QUJ108" s="897"/>
      <c r="QUK108" s="897"/>
      <c r="QUL108" s="897"/>
      <c r="QUM108" s="897"/>
      <c r="QUN108" s="897"/>
      <c r="QUO108" s="897"/>
      <c r="QUP108" s="895"/>
      <c r="QUQ108" s="895"/>
      <c r="QUR108" s="896"/>
      <c r="QUS108" s="897"/>
      <c r="QUT108" s="897"/>
      <c r="QUU108" s="897"/>
      <c r="QUV108" s="897"/>
      <c r="QUW108" s="897"/>
      <c r="QUX108" s="897"/>
      <c r="QUY108" s="897"/>
      <c r="QUZ108" s="897"/>
      <c r="QVA108" s="895"/>
      <c r="QVB108" s="895"/>
      <c r="QVC108" s="896"/>
      <c r="QVD108" s="897"/>
      <c r="QVE108" s="897"/>
      <c r="QVF108" s="897"/>
      <c r="QVG108" s="897"/>
      <c r="QVH108" s="897"/>
      <c r="QVI108" s="897"/>
      <c r="QVJ108" s="897"/>
      <c r="QVK108" s="897"/>
      <c r="QVL108" s="895"/>
      <c r="QVM108" s="895"/>
      <c r="QVN108" s="896"/>
      <c r="QVO108" s="897"/>
      <c r="QVP108" s="897"/>
      <c r="QVQ108" s="897"/>
      <c r="QVR108" s="897"/>
      <c r="QVS108" s="897"/>
      <c r="QVT108" s="897"/>
      <c r="QVU108" s="897"/>
      <c r="QVV108" s="897"/>
      <c r="QVW108" s="895"/>
      <c r="QVX108" s="895"/>
      <c r="QVY108" s="896"/>
      <c r="QVZ108" s="897"/>
      <c r="QWA108" s="897"/>
      <c r="QWB108" s="897"/>
      <c r="QWC108" s="897"/>
      <c r="QWD108" s="897"/>
      <c r="QWE108" s="897"/>
      <c r="QWF108" s="897"/>
      <c r="QWG108" s="897"/>
      <c r="QWH108" s="895"/>
      <c r="QWI108" s="895"/>
      <c r="QWJ108" s="896"/>
      <c r="QWK108" s="897"/>
      <c r="QWL108" s="897"/>
      <c r="QWM108" s="897"/>
      <c r="QWN108" s="897"/>
      <c r="QWO108" s="897"/>
      <c r="QWP108" s="897"/>
      <c r="QWQ108" s="897"/>
      <c r="QWR108" s="897"/>
      <c r="QWS108" s="895"/>
      <c r="QWT108" s="895"/>
      <c r="QWU108" s="896"/>
      <c r="QWV108" s="897"/>
      <c r="QWW108" s="897"/>
      <c r="QWX108" s="897"/>
      <c r="QWY108" s="897"/>
      <c r="QWZ108" s="897"/>
      <c r="QXA108" s="897"/>
      <c r="QXB108" s="897"/>
      <c r="QXC108" s="897"/>
      <c r="QXD108" s="895"/>
      <c r="QXE108" s="895"/>
      <c r="QXF108" s="896"/>
      <c r="QXG108" s="897"/>
      <c r="QXH108" s="897"/>
      <c r="QXI108" s="897"/>
      <c r="QXJ108" s="897"/>
      <c r="QXK108" s="897"/>
      <c r="QXL108" s="897"/>
      <c r="QXM108" s="897"/>
      <c r="QXN108" s="897"/>
      <c r="QXO108" s="895"/>
      <c r="QXP108" s="895"/>
      <c r="QXQ108" s="896"/>
      <c r="QXR108" s="897"/>
      <c r="QXS108" s="897"/>
      <c r="QXT108" s="897"/>
      <c r="QXU108" s="897"/>
      <c r="QXV108" s="897"/>
      <c r="QXW108" s="897"/>
      <c r="QXX108" s="897"/>
      <c r="QXY108" s="897"/>
      <c r="QXZ108" s="895"/>
      <c r="QYA108" s="895"/>
      <c r="QYB108" s="896"/>
      <c r="QYC108" s="897"/>
      <c r="QYD108" s="897"/>
      <c r="QYE108" s="897"/>
      <c r="QYF108" s="897"/>
      <c r="QYG108" s="897"/>
      <c r="QYH108" s="897"/>
      <c r="QYI108" s="897"/>
      <c r="QYJ108" s="897"/>
      <c r="QYK108" s="895"/>
      <c r="QYL108" s="895"/>
      <c r="QYM108" s="896"/>
      <c r="QYN108" s="897"/>
      <c r="QYO108" s="897"/>
      <c r="QYP108" s="897"/>
      <c r="QYQ108" s="897"/>
      <c r="QYR108" s="897"/>
      <c r="QYS108" s="897"/>
      <c r="QYT108" s="897"/>
      <c r="QYU108" s="897"/>
      <c r="QYV108" s="895"/>
      <c r="QYW108" s="895"/>
      <c r="QYX108" s="896"/>
      <c r="QYY108" s="897"/>
      <c r="QYZ108" s="897"/>
      <c r="QZA108" s="897"/>
      <c r="QZB108" s="897"/>
      <c r="QZC108" s="897"/>
      <c r="QZD108" s="897"/>
      <c r="QZE108" s="897"/>
      <c r="QZF108" s="897"/>
      <c r="QZG108" s="895"/>
      <c r="QZH108" s="895"/>
      <c r="QZI108" s="896"/>
      <c r="QZJ108" s="897"/>
      <c r="QZK108" s="897"/>
      <c r="QZL108" s="897"/>
      <c r="QZM108" s="897"/>
      <c r="QZN108" s="897"/>
      <c r="QZO108" s="897"/>
      <c r="QZP108" s="897"/>
      <c r="QZQ108" s="897"/>
      <c r="QZR108" s="895"/>
      <c r="QZS108" s="895"/>
      <c r="QZT108" s="896"/>
      <c r="QZU108" s="897"/>
      <c r="QZV108" s="897"/>
      <c r="QZW108" s="897"/>
      <c r="QZX108" s="897"/>
      <c r="QZY108" s="897"/>
      <c r="QZZ108" s="897"/>
      <c r="RAA108" s="897"/>
      <c r="RAB108" s="897"/>
      <c r="RAC108" s="895"/>
      <c r="RAD108" s="895"/>
      <c r="RAE108" s="896"/>
      <c r="RAF108" s="897"/>
      <c r="RAG108" s="897"/>
      <c r="RAH108" s="897"/>
      <c r="RAI108" s="897"/>
      <c r="RAJ108" s="897"/>
      <c r="RAK108" s="897"/>
      <c r="RAL108" s="897"/>
      <c r="RAM108" s="897"/>
      <c r="RAN108" s="895"/>
      <c r="RAO108" s="895"/>
      <c r="RAP108" s="896"/>
      <c r="RAQ108" s="897"/>
      <c r="RAR108" s="897"/>
      <c r="RAS108" s="897"/>
      <c r="RAT108" s="897"/>
      <c r="RAU108" s="897"/>
      <c r="RAV108" s="897"/>
      <c r="RAW108" s="897"/>
      <c r="RAX108" s="897"/>
      <c r="RAY108" s="895"/>
      <c r="RAZ108" s="895"/>
      <c r="RBA108" s="896"/>
      <c r="RBB108" s="897"/>
      <c r="RBC108" s="897"/>
      <c r="RBD108" s="897"/>
      <c r="RBE108" s="897"/>
      <c r="RBF108" s="897"/>
      <c r="RBG108" s="897"/>
      <c r="RBH108" s="897"/>
      <c r="RBI108" s="897"/>
      <c r="RBJ108" s="895"/>
      <c r="RBK108" s="895"/>
      <c r="RBL108" s="896"/>
      <c r="RBM108" s="897"/>
      <c r="RBN108" s="897"/>
      <c r="RBO108" s="897"/>
      <c r="RBP108" s="897"/>
      <c r="RBQ108" s="897"/>
      <c r="RBR108" s="897"/>
      <c r="RBS108" s="897"/>
      <c r="RBT108" s="897"/>
      <c r="RBU108" s="895"/>
      <c r="RBV108" s="895"/>
      <c r="RBW108" s="896"/>
      <c r="RBX108" s="897"/>
      <c r="RBY108" s="897"/>
      <c r="RBZ108" s="897"/>
      <c r="RCA108" s="897"/>
      <c r="RCB108" s="897"/>
      <c r="RCC108" s="897"/>
      <c r="RCD108" s="897"/>
      <c r="RCE108" s="897"/>
      <c r="RCF108" s="895"/>
      <c r="RCG108" s="895"/>
      <c r="RCH108" s="896"/>
      <c r="RCI108" s="897"/>
      <c r="RCJ108" s="897"/>
      <c r="RCK108" s="897"/>
      <c r="RCL108" s="897"/>
      <c r="RCM108" s="897"/>
      <c r="RCN108" s="897"/>
      <c r="RCO108" s="897"/>
      <c r="RCP108" s="897"/>
      <c r="RCQ108" s="895"/>
      <c r="RCR108" s="895"/>
      <c r="RCS108" s="896"/>
      <c r="RCT108" s="897"/>
      <c r="RCU108" s="897"/>
      <c r="RCV108" s="897"/>
      <c r="RCW108" s="897"/>
      <c r="RCX108" s="897"/>
      <c r="RCY108" s="897"/>
      <c r="RCZ108" s="897"/>
      <c r="RDA108" s="897"/>
      <c r="RDB108" s="895"/>
      <c r="RDC108" s="895"/>
      <c r="RDD108" s="896"/>
      <c r="RDE108" s="897"/>
      <c r="RDF108" s="897"/>
      <c r="RDG108" s="897"/>
      <c r="RDH108" s="897"/>
      <c r="RDI108" s="897"/>
      <c r="RDJ108" s="897"/>
      <c r="RDK108" s="897"/>
      <c r="RDL108" s="897"/>
      <c r="RDM108" s="895"/>
      <c r="RDN108" s="895"/>
      <c r="RDO108" s="896"/>
      <c r="RDP108" s="897"/>
      <c r="RDQ108" s="897"/>
      <c r="RDR108" s="897"/>
      <c r="RDS108" s="897"/>
      <c r="RDT108" s="897"/>
      <c r="RDU108" s="897"/>
      <c r="RDV108" s="897"/>
      <c r="RDW108" s="897"/>
      <c r="RDX108" s="895"/>
      <c r="RDY108" s="895"/>
      <c r="RDZ108" s="896"/>
      <c r="REA108" s="897"/>
      <c r="REB108" s="897"/>
      <c r="REC108" s="897"/>
      <c r="RED108" s="897"/>
      <c r="REE108" s="897"/>
      <c r="REF108" s="897"/>
      <c r="REG108" s="897"/>
      <c r="REH108" s="897"/>
      <c r="REI108" s="895"/>
      <c r="REJ108" s="895"/>
      <c r="REK108" s="896"/>
      <c r="REL108" s="897"/>
      <c r="REM108" s="897"/>
      <c r="REN108" s="897"/>
      <c r="REO108" s="897"/>
      <c r="REP108" s="897"/>
      <c r="REQ108" s="897"/>
      <c r="RER108" s="897"/>
      <c r="RES108" s="897"/>
      <c r="RET108" s="895"/>
      <c r="REU108" s="895"/>
      <c r="REV108" s="896"/>
      <c r="REW108" s="897"/>
      <c r="REX108" s="897"/>
      <c r="REY108" s="897"/>
      <c r="REZ108" s="897"/>
      <c r="RFA108" s="897"/>
      <c r="RFB108" s="897"/>
      <c r="RFC108" s="897"/>
      <c r="RFD108" s="897"/>
      <c r="RFE108" s="895"/>
      <c r="RFF108" s="895"/>
      <c r="RFG108" s="896"/>
      <c r="RFH108" s="897"/>
      <c r="RFI108" s="897"/>
      <c r="RFJ108" s="897"/>
      <c r="RFK108" s="897"/>
      <c r="RFL108" s="897"/>
      <c r="RFM108" s="897"/>
      <c r="RFN108" s="897"/>
      <c r="RFO108" s="897"/>
      <c r="RFP108" s="895"/>
      <c r="RFQ108" s="895"/>
      <c r="RFR108" s="896"/>
      <c r="RFS108" s="897"/>
      <c r="RFT108" s="897"/>
      <c r="RFU108" s="897"/>
      <c r="RFV108" s="897"/>
      <c r="RFW108" s="897"/>
      <c r="RFX108" s="897"/>
      <c r="RFY108" s="897"/>
      <c r="RFZ108" s="897"/>
      <c r="RGA108" s="895"/>
      <c r="RGB108" s="895"/>
      <c r="RGC108" s="896"/>
      <c r="RGD108" s="897"/>
      <c r="RGE108" s="897"/>
      <c r="RGF108" s="897"/>
      <c r="RGG108" s="897"/>
      <c r="RGH108" s="897"/>
      <c r="RGI108" s="897"/>
      <c r="RGJ108" s="897"/>
      <c r="RGK108" s="897"/>
      <c r="RGL108" s="895"/>
      <c r="RGM108" s="895"/>
      <c r="RGN108" s="896"/>
      <c r="RGO108" s="897"/>
      <c r="RGP108" s="897"/>
      <c r="RGQ108" s="897"/>
      <c r="RGR108" s="897"/>
      <c r="RGS108" s="897"/>
      <c r="RGT108" s="897"/>
      <c r="RGU108" s="897"/>
      <c r="RGV108" s="897"/>
      <c r="RGW108" s="895"/>
      <c r="RGX108" s="895"/>
      <c r="RGY108" s="896"/>
      <c r="RGZ108" s="897"/>
      <c r="RHA108" s="897"/>
      <c r="RHB108" s="897"/>
      <c r="RHC108" s="897"/>
      <c r="RHD108" s="897"/>
      <c r="RHE108" s="897"/>
      <c r="RHF108" s="897"/>
      <c r="RHG108" s="897"/>
      <c r="RHH108" s="895"/>
      <c r="RHI108" s="895"/>
      <c r="RHJ108" s="896"/>
      <c r="RHK108" s="897"/>
      <c r="RHL108" s="897"/>
      <c r="RHM108" s="897"/>
      <c r="RHN108" s="897"/>
      <c r="RHO108" s="897"/>
      <c r="RHP108" s="897"/>
      <c r="RHQ108" s="897"/>
      <c r="RHR108" s="897"/>
      <c r="RHS108" s="895"/>
      <c r="RHT108" s="895"/>
      <c r="RHU108" s="896"/>
      <c r="RHV108" s="897"/>
      <c r="RHW108" s="897"/>
      <c r="RHX108" s="897"/>
      <c r="RHY108" s="897"/>
      <c r="RHZ108" s="897"/>
      <c r="RIA108" s="897"/>
      <c r="RIB108" s="897"/>
      <c r="RIC108" s="897"/>
      <c r="RID108" s="895"/>
      <c r="RIE108" s="895"/>
      <c r="RIF108" s="896"/>
      <c r="RIG108" s="897"/>
      <c r="RIH108" s="897"/>
      <c r="RII108" s="897"/>
      <c r="RIJ108" s="897"/>
      <c r="RIK108" s="897"/>
      <c r="RIL108" s="897"/>
      <c r="RIM108" s="897"/>
      <c r="RIN108" s="897"/>
      <c r="RIO108" s="895"/>
      <c r="RIP108" s="895"/>
      <c r="RIQ108" s="896"/>
      <c r="RIR108" s="897"/>
      <c r="RIS108" s="897"/>
      <c r="RIT108" s="897"/>
      <c r="RIU108" s="897"/>
      <c r="RIV108" s="897"/>
      <c r="RIW108" s="897"/>
      <c r="RIX108" s="897"/>
      <c r="RIY108" s="897"/>
      <c r="RIZ108" s="895"/>
      <c r="RJA108" s="895"/>
      <c r="RJB108" s="896"/>
      <c r="RJC108" s="897"/>
      <c r="RJD108" s="897"/>
      <c r="RJE108" s="897"/>
      <c r="RJF108" s="897"/>
      <c r="RJG108" s="897"/>
      <c r="RJH108" s="897"/>
      <c r="RJI108" s="897"/>
      <c r="RJJ108" s="897"/>
      <c r="RJK108" s="895"/>
      <c r="RJL108" s="895"/>
      <c r="RJM108" s="896"/>
      <c r="RJN108" s="897"/>
      <c r="RJO108" s="897"/>
      <c r="RJP108" s="897"/>
      <c r="RJQ108" s="897"/>
      <c r="RJR108" s="897"/>
      <c r="RJS108" s="897"/>
      <c r="RJT108" s="897"/>
      <c r="RJU108" s="897"/>
      <c r="RJV108" s="895"/>
      <c r="RJW108" s="895"/>
      <c r="RJX108" s="896"/>
      <c r="RJY108" s="897"/>
      <c r="RJZ108" s="897"/>
      <c r="RKA108" s="897"/>
      <c r="RKB108" s="897"/>
      <c r="RKC108" s="897"/>
      <c r="RKD108" s="897"/>
      <c r="RKE108" s="897"/>
      <c r="RKF108" s="897"/>
      <c r="RKG108" s="895"/>
      <c r="RKH108" s="895"/>
      <c r="RKI108" s="896"/>
      <c r="RKJ108" s="897"/>
      <c r="RKK108" s="897"/>
      <c r="RKL108" s="897"/>
      <c r="RKM108" s="897"/>
      <c r="RKN108" s="897"/>
      <c r="RKO108" s="897"/>
      <c r="RKP108" s="897"/>
      <c r="RKQ108" s="897"/>
      <c r="RKR108" s="895"/>
      <c r="RKS108" s="895"/>
      <c r="RKT108" s="896"/>
      <c r="RKU108" s="897"/>
      <c r="RKV108" s="897"/>
      <c r="RKW108" s="897"/>
      <c r="RKX108" s="897"/>
      <c r="RKY108" s="897"/>
      <c r="RKZ108" s="897"/>
      <c r="RLA108" s="897"/>
      <c r="RLB108" s="897"/>
      <c r="RLC108" s="895"/>
      <c r="RLD108" s="895"/>
      <c r="RLE108" s="896"/>
      <c r="RLF108" s="897"/>
      <c r="RLG108" s="897"/>
      <c r="RLH108" s="897"/>
      <c r="RLI108" s="897"/>
      <c r="RLJ108" s="897"/>
      <c r="RLK108" s="897"/>
      <c r="RLL108" s="897"/>
      <c r="RLM108" s="897"/>
      <c r="RLN108" s="895"/>
      <c r="RLO108" s="895"/>
      <c r="RLP108" s="896"/>
      <c r="RLQ108" s="897"/>
      <c r="RLR108" s="897"/>
      <c r="RLS108" s="897"/>
      <c r="RLT108" s="897"/>
      <c r="RLU108" s="897"/>
      <c r="RLV108" s="897"/>
      <c r="RLW108" s="897"/>
      <c r="RLX108" s="897"/>
      <c r="RLY108" s="895"/>
      <c r="RLZ108" s="895"/>
      <c r="RMA108" s="896"/>
      <c r="RMB108" s="897"/>
      <c r="RMC108" s="897"/>
      <c r="RMD108" s="897"/>
      <c r="RME108" s="897"/>
      <c r="RMF108" s="897"/>
      <c r="RMG108" s="897"/>
      <c r="RMH108" s="897"/>
      <c r="RMI108" s="897"/>
      <c r="RMJ108" s="895"/>
      <c r="RMK108" s="895"/>
      <c r="RML108" s="896"/>
      <c r="RMM108" s="897"/>
      <c r="RMN108" s="897"/>
      <c r="RMO108" s="897"/>
      <c r="RMP108" s="897"/>
      <c r="RMQ108" s="897"/>
      <c r="RMR108" s="897"/>
      <c r="RMS108" s="897"/>
      <c r="RMT108" s="897"/>
      <c r="RMU108" s="895"/>
      <c r="RMV108" s="895"/>
      <c r="RMW108" s="896"/>
      <c r="RMX108" s="897"/>
      <c r="RMY108" s="897"/>
      <c r="RMZ108" s="897"/>
      <c r="RNA108" s="897"/>
      <c r="RNB108" s="897"/>
      <c r="RNC108" s="897"/>
      <c r="RND108" s="897"/>
      <c r="RNE108" s="897"/>
      <c r="RNF108" s="895"/>
      <c r="RNG108" s="895"/>
      <c r="RNH108" s="896"/>
      <c r="RNI108" s="897"/>
      <c r="RNJ108" s="897"/>
      <c r="RNK108" s="897"/>
      <c r="RNL108" s="897"/>
      <c r="RNM108" s="897"/>
      <c r="RNN108" s="897"/>
      <c r="RNO108" s="897"/>
      <c r="RNP108" s="897"/>
      <c r="RNQ108" s="895"/>
      <c r="RNR108" s="895"/>
      <c r="RNS108" s="896"/>
      <c r="RNT108" s="897"/>
      <c r="RNU108" s="897"/>
      <c r="RNV108" s="897"/>
      <c r="RNW108" s="897"/>
      <c r="RNX108" s="897"/>
      <c r="RNY108" s="897"/>
      <c r="RNZ108" s="897"/>
      <c r="ROA108" s="897"/>
      <c r="ROB108" s="895"/>
      <c r="ROC108" s="895"/>
      <c r="ROD108" s="896"/>
      <c r="ROE108" s="897"/>
      <c r="ROF108" s="897"/>
      <c r="ROG108" s="897"/>
      <c r="ROH108" s="897"/>
      <c r="ROI108" s="897"/>
      <c r="ROJ108" s="897"/>
      <c r="ROK108" s="897"/>
      <c r="ROL108" s="897"/>
      <c r="ROM108" s="895"/>
      <c r="RON108" s="895"/>
      <c r="ROO108" s="896"/>
      <c r="ROP108" s="897"/>
      <c r="ROQ108" s="897"/>
      <c r="ROR108" s="897"/>
      <c r="ROS108" s="897"/>
      <c r="ROT108" s="897"/>
      <c r="ROU108" s="897"/>
      <c r="ROV108" s="897"/>
      <c r="ROW108" s="897"/>
      <c r="ROX108" s="895"/>
      <c r="ROY108" s="895"/>
      <c r="ROZ108" s="896"/>
      <c r="RPA108" s="897"/>
      <c r="RPB108" s="897"/>
      <c r="RPC108" s="897"/>
      <c r="RPD108" s="897"/>
      <c r="RPE108" s="897"/>
      <c r="RPF108" s="897"/>
      <c r="RPG108" s="897"/>
      <c r="RPH108" s="897"/>
      <c r="RPI108" s="895"/>
      <c r="RPJ108" s="895"/>
      <c r="RPK108" s="896"/>
      <c r="RPL108" s="897"/>
      <c r="RPM108" s="897"/>
      <c r="RPN108" s="897"/>
      <c r="RPO108" s="897"/>
      <c r="RPP108" s="897"/>
      <c r="RPQ108" s="897"/>
      <c r="RPR108" s="897"/>
      <c r="RPS108" s="897"/>
      <c r="RPT108" s="895"/>
      <c r="RPU108" s="895"/>
      <c r="RPV108" s="896"/>
      <c r="RPW108" s="897"/>
      <c r="RPX108" s="897"/>
      <c r="RPY108" s="897"/>
      <c r="RPZ108" s="897"/>
      <c r="RQA108" s="897"/>
      <c r="RQB108" s="897"/>
      <c r="RQC108" s="897"/>
      <c r="RQD108" s="897"/>
      <c r="RQE108" s="895"/>
      <c r="RQF108" s="895"/>
      <c r="RQG108" s="896"/>
      <c r="RQH108" s="897"/>
      <c r="RQI108" s="897"/>
      <c r="RQJ108" s="897"/>
      <c r="RQK108" s="897"/>
      <c r="RQL108" s="897"/>
      <c r="RQM108" s="897"/>
      <c r="RQN108" s="897"/>
      <c r="RQO108" s="897"/>
      <c r="RQP108" s="895"/>
      <c r="RQQ108" s="895"/>
      <c r="RQR108" s="896"/>
      <c r="RQS108" s="897"/>
      <c r="RQT108" s="897"/>
      <c r="RQU108" s="897"/>
      <c r="RQV108" s="897"/>
      <c r="RQW108" s="897"/>
      <c r="RQX108" s="897"/>
      <c r="RQY108" s="897"/>
      <c r="RQZ108" s="897"/>
      <c r="RRA108" s="895"/>
      <c r="RRB108" s="895"/>
      <c r="RRC108" s="896"/>
      <c r="RRD108" s="897"/>
      <c r="RRE108" s="897"/>
      <c r="RRF108" s="897"/>
      <c r="RRG108" s="897"/>
      <c r="RRH108" s="897"/>
      <c r="RRI108" s="897"/>
      <c r="RRJ108" s="897"/>
      <c r="RRK108" s="897"/>
      <c r="RRL108" s="895"/>
      <c r="RRM108" s="895"/>
      <c r="RRN108" s="896"/>
      <c r="RRO108" s="897"/>
      <c r="RRP108" s="897"/>
      <c r="RRQ108" s="897"/>
      <c r="RRR108" s="897"/>
      <c r="RRS108" s="897"/>
      <c r="RRT108" s="897"/>
      <c r="RRU108" s="897"/>
      <c r="RRV108" s="897"/>
      <c r="RRW108" s="895"/>
      <c r="RRX108" s="895"/>
      <c r="RRY108" s="896"/>
      <c r="RRZ108" s="897"/>
      <c r="RSA108" s="897"/>
      <c r="RSB108" s="897"/>
      <c r="RSC108" s="897"/>
      <c r="RSD108" s="897"/>
      <c r="RSE108" s="897"/>
      <c r="RSF108" s="897"/>
      <c r="RSG108" s="897"/>
      <c r="RSH108" s="895"/>
      <c r="RSI108" s="895"/>
      <c r="RSJ108" s="896"/>
      <c r="RSK108" s="897"/>
      <c r="RSL108" s="897"/>
      <c r="RSM108" s="897"/>
      <c r="RSN108" s="897"/>
      <c r="RSO108" s="897"/>
      <c r="RSP108" s="897"/>
      <c r="RSQ108" s="897"/>
      <c r="RSR108" s="897"/>
      <c r="RSS108" s="895"/>
      <c r="RST108" s="895"/>
      <c r="RSU108" s="896"/>
      <c r="RSV108" s="897"/>
      <c r="RSW108" s="897"/>
      <c r="RSX108" s="897"/>
      <c r="RSY108" s="897"/>
      <c r="RSZ108" s="897"/>
      <c r="RTA108" s="897"/>
      <c r="RTB108" s="897"/>
      <c r="RTC108" s="897"/>
      <c r="RTD108" s="895"/>
      <c r="RTE108" s="895"/>
      <c r="RTF108" s="896"/>
      <c r="RTG108" s="897"/>
      <c r="RTH108" s="897"/>
      <c r="RTI108" s="897"/>
      <c r="RTJ108" s="897"/>
      <c r="RTK108" s="897"/>
      <c r="RTL108" s="897"/>
      <c r="RTM108" s="897"/>
      <c r="RTN108" s="897"/>
      <c r="RTO108" s="895"/>
      <c r="RTP108" s="895"/>
      <c r="RTQ108" s="896"/>
      <c r="RTR108" s="897"/>
      <c r="RTS108" s="897"/>
      <c r="RTT108" s="897"/>
      <c r="RTU108" s="897"/>
      <c r="RTV108" s="897"/>
      <c r="RTW108" s="897"/>
      <c r="RTX108" s="897"/>
      <c r="RTY108" s="897"/>
      <c r="RTZ108" s="895"/>
      <c r="RUA108" s="895"/>
      <c r="RUB108" s="896"/>
      <c r="RUC108" s="897"/>
      <c r="RUD108" s="897"/>
      <c r="RUE108" s="897"/>
      <c r="RUF108" s="897"/>
      <c r="RUG108" s="897"/>
      <c r="RUH108" s="897"/>
      <c r="RUI108" s="897"/>
      <c r="RUJ108" s="897"/>
      <c r="RUK108" s="895"/>
      <c r="RUL108" s="895"/>
      <c r="RUM108" s="896"/>
      <c r="RUN108" s="897"/>
      <c r="RUO108" s="897"/>
      <c r="RUP108" s="897"/>
      <c r="RUQ108" s="897"/>
      <c r="RUR108" s="897"/>
      <c r="RUS108" s="897"/>
      <c r="RUT108" s="897"/>
      <c r="RUU108" s="897"/>
      <c r="RUV108" s="895"/>
      <c r="RUW108" s="895"/>
      <c r="RUX108" s="896"/>
      <c r="RUY108" s="897"/>
      <c r="RUZ108" s="897"/>
      <c r="RVA108" s="897"/>
      <c r="RVB108" s="897"/>
      <c r="RVC108" s="897"/>
      <c r="RVD108" s="897"/>
      <c r="RVE108" s="897"/>
      <c r="RVF108" s="897"/>
      <c r="RVG108" s="895"/>
      <c r="RVH108" s="895"/>
      <c r="RVI108" s="896"/>
      <c r="RVJ108" s="897"/>
      <c r="RVK108" s="897"/>
      <c r="RVL108" s="897"/>
      <c r="RVM108" s="897"/>
      <c r="RVN108" s="897"/>
      <c r="RVO108" s="897"/>
      <c r="RVP108" s="897"/>
      <c r="RVQ108" s="897"/>
      <c r="RVR108" s="895"/>
      <c r="RVS108" s="895"/>
      <c r="RVT108" s="896"/>
      <c r="RVU108" s="897"/>
      <c r="RVV108" s="897"/>
      <c r="RVW108" s="897"/>
      <c r="RVX108" s="897"/>
      <c r="RVY108" s="897"/>
      <c r="RVZ108" s="897"/>
      <c r="RWA108" s="897"/>
      <c r="RWB108" s="897"/>
      <c r="RWC108" s="895"/>
      <c r="RWD108" s="895"/>
      <c r="RWE108" s="896"/>
      <c r="RWF108" s="897"/>
      <c r="RWG108" s="897"/>
      <c r="RWH108" s="897"/>
      <c r="RWI108" s="897"/>
      <c r="RWJ108" s="897"/>
      <c r="RWK108" s="897"/>
      <c r="RWL108" s="897"/>
      <c r="RWM108" s="897"/>
      <c r="RWN108" s="895"/>
      <c r="RWO108" s="895"/>
      <c r="RWP108" s="896"/>
      <c r="RWQ108" s="897"/>
      <c r="RWR108" s="897"/>
      <c r="RWS108" s="897"/>
      <c r="RWT108" s="897"/>
      <c r="RWU108" s="897"/>
      <c r="RWV108" s="897"/>
      <c r="RWW108" s="897"/>
      <c r="RWX108" s="897"/>
      <c r="RWY108" s="895"/>
      <c r="RWZ108" s="895"/>
      <c r="RXA108" s="896"/>
      <c r="RXB108" s="897"/>
      <c r="RXC108" s="897"/>
      <c r="RXD108" s="897"/>
      <c r="RXE108" s="897"/>
      <c r="RXF108" s="897"/>
      <c r="RXG108" s="897"/>
      <c r="RXH108" s="897"/>
      <c r="RXI108" s="897"/>
      <c r="RXJ108" s="895"/>
      <c r="RXK108" s="895"/>
      <c r="RXL108" s="896"/>
      <c r="RXM108" s="897"/>
      <c r="RXN108" s="897"/>
      <c r="RXO108" s="897"/>
      <c r="RXP108" s="897"/>
      <c r="RXQ108" s="897"/>
      <c r="RXR108" s="897"/>
      <c r="RXS108" s="897"/>
      <c r="RXT108" s="897"/>
      <c r="RXU108" s="895"/>
      <c r="RXV108" s="895"/>
      <c r="RXW108" s="896"/>
      <c r="RXX108" s="897"/>
      <c r="RXY108" s="897"/>
      <c r="RXZ108" s="897"/>
      <c r="RYA108" s="897"/>
      <c r="RYB108" s="897"/>
      <c r="RYC108" s="897"/>
      <c r="RYD108" s="897"/>
      <c r="RYE108" s="897"/>
      <c r="RYF108" s="895"/>
      <c r="RYG108" s="895"/>
      <c r="RYH108" s="896"/>
      <c r="RYI108" s="897"/>
      <c r="RYJ108" s="897"/>
      <c r="RYK108" s="897"/>
      <c r="RYL108" s="897"/>
      <c r="RYM108" s="897"/>
      <c r="RYN108" s="897"/>
      <c r="RYO108" s="897"/>
      <c r="RYP108" s="897"/>
      <c r="RYQ108" s="895"/>
      <c r="RYR108" s="895"/>
      <c r="RYS108" s="896"/>
      <c r="RYT108" s="897"/>
      <c r="RYU108" s="897"/>
      <c r="RYV108" s="897"/>
      <c r="RYW108" s="897"/>
      <c r="RYX108" s="897"/>
      <c r="RYY108" s="897"/>
      <c r="RYZ108" s="897"/>
      <c r="RZA108" s="897"/>
      <c r="RZB108" s="895"/>
      <c r="RZC108" s="895"/>
      <c r="RZD108" s="896"/>
      <c r="RZE108" s="897"/>
      <c r="RZF108" s="897"/>
      <c r="RZG108" s="897"/>
      <c r="RZH108" s="897"/>
      <c r="RZI108" s="897"/>
      <c r="RZJ108" s="897"/>
      <c r="RZK108" s="897"/>
      <c r="RZL108" s="897"/>
      <c r="RZM108" s="895"/>
      <c r="RZN108" s="895"/>
      <c r="RZO108" s="896"/>
      <c r="RZP108" s="897"/>
      <c r="RZQ108" s="897"/>
      <c r="RZR108" s="897"/>
      <c r="RZS108" s="897"/>
      <c r="RZT108" s="897"/>
      <c r="RZU108" s="897"/>
      <c r="RZV108" s="897"/>
      <c r="RZW108" s="897"/>
      <c r="RZX108" s="895"/>
      <c r="RZY108" s="895"/>
      <c r="RZZ108" s="896"/>
      <c r="SAA108" s="897"/>
      <c r="SAB108" s="897"/>
      <c r="SAC108" s="897"/>
      <c r="SAD108" s="897"/>
      <c r="SAE108" s="897"/>
      <c r="SAF108" s="897"/>
      <c r="SAG108" s="897"/>
      <c r="SAH108" s="897"/>
      <c r="SAI108" s="895"/>
      <c r="SAJ108" s="895"/>
      <c r="SAK108" s="896"/>
      <c r="SAL108" s="897"/>
      <c r="SAM108" s="897"/>
      <c r="SAN108" s="897"/>
      <c r="SAO108" s="897"/>
      <c r="SAP108" s="897"/>
      <c r="SAQ108" s="897"/>
      <c r="SAR108" s="897"/>
      <c r="SAS108" s="897"/>
      <c r="SAT108" s="895"/>
      <c r="SAU108" s="895"/>
      <c r="SAV108" s="896"/>
      <c r="SAW108" s="897"/>
      <c r="SAX108" s="897"/>
      <c r="SAY108" s="897"/>
      <c r="SAZ108" s="897"/>
      <c r="SBA108" s="897"/>
      <c r="SBB108" s="897"/>
      <c r="SBC108" s="897"/>
      <c r="SBD108" s="897"/>
      <c r="SBE108" s="895"/>
      <c r="SBF108" s="895"/>
      <c r="SBG108" s="896"/>
      <c r="SBH108" s="897"/>
      <c r="SBI108" s="897"/>
      <c r="SBJ108" s="897"/>
      <c r="SBK108" s="897"/>
      <c r="SBL108" s="897"/>
      <c r="SBM108" s="897"/>
      <c r="SBN108" s="897"/>
      <c r="SBO108" s="897"/>
      <c r="SBP108" s="895"/>
      <c r="SBQ108" s="895"/>
      <c r="SBR108" s="896"/>
      <c r="SBS108" s="897"/>
      <c r="SBT108" s="897"/>
      <c r="SBU108" s="897"/>
      <c r="SBV108" s="897"/>
      <c r="SBW108" s="897"/>
      <c r="SBX108" s="897"/>
      <c r="SBY108" s="897"/>
      <c r="SBZ108" s="897"/>
      <c r="SCA108" s="895"/>
      <c r="SCB108" s="895"/>
      <c r="SCC108" s="896"/>
      <c r="SCD108" s="897"/>
      <c r="SCE108" s="897"/>
      <c r="SCF108" s="897"/>
      <c r="SCG108" s="897"/>
      <c r="SCH108" s="897"/>
      <c r="SCI108" s="897"/>
      <c r="SCJ108" s="897"/>
      <c r="SCK108" s="897"/>
      <c r="SCL108" s="895"/>
      <c r="SCM108" s="895"/>
      <c r="SCN108" s="896"/>
      <c r="SCO108" s="897"/>
      <c r="SCP108" s="897"/>
      <c r="SCQ108" s="897"/>
      <c r="SCR108" s="897"/>
      <c r="SCS108" s="897"/>
      <c r="SCT108" s="897"/>
      <c r="SCU108" s="897"/>
      <c r="SCV108" s="897"/>
      <c r="SCW108" s="895"/>
      <c r="SCX108" s="895"/>
      <c r="SCY108" s="896"/>
      <c r="SCZ108" s="897"/>
      <c r="SDA108" s="897"/>
      <c r="SDB108" s="897"/>
      <c r="SDC108" s="897"/>
      <c r="SDD108" s="897"/>
      <c r="SDE108" s="897"/>
      <c r="SDF108" s="897"/>
      <c r="SDG108" s="897"/>
      <c r="SDH108" s="895"/>
      <c r="SDI108" s="895"/>
      <c r="SDJ108" s="896"/>
      <c r="SDK108" s="897"/>
      <c r="SDL108" s="897"/>
      <c r="SDM108" s="897"/>
      <c r="SDN108" s="897"/>
      <c r="SDO108" s="897"/>
      <c r="SDP108" s="897"/>
      <c r="SDQ108" s="897"/>
      <c r="SDR108" s="897"/>
      <c r="SDS108" s="895"/>
      <c r="SDT108" s="895"/>
      <c r="SDU108" s="896"/>
      <c r="SDV108" s="897"/>
      <c r="SDW108" s="897"/>
      <c r="SDX108" s="897"/>
      <c r="SDY108" s="897"/>
      <c r="SDZ108" s="897"/>
      <c r="SEA108" s="897"/>
      <c r="SEB108" s="897"/>
      <c r="SEC108" s="897"/>
      <c r="SED108" s="895"/>
      <c r="SEE108" s="895"/>
      <c r="SEF108" s="896"/>
      <c r="SEG108" s="897"/>
      <c r="SEH108" s="897"/>
      <c r="SEI108" s="897"/>
      <c r="SEJ108" s="897"/>
      <c r="SEK108" s="897"/>
      <c r="SEL108" s="897"/>
      <c r="SEM108" s="897"/>
      <c r="SEN108" s="897"/>
      <c r="SEO108" s="895"/>
      <c r="SEP108" s="895"/>
      <c r="SEQ108" s="896"/>
      <c r="SER108" s="897"/>
      <c r="SES108" s="897"/>
      <c r="SET108" s="897"/>
      <c r="SEU108" s="897"/>
      <c r="SEV108" s="897"/>
      <c r="SEW108" s="897"/>
      <c r="SEX108" s="897"/>
      <c r="SEY108" s="897"/>
      <c r="SEZ108" s="895"/>
      <c r="SFA108" s="895"/>
      <c r="SFB108" s="896"/>
      <c r="SFC108" s="897"/>
      <c r="SFD108" s="897"/>
      <c r="SFE108" s="897"/>
      <c r="SFF108" s="897"/>
      <c r="SFG108" s="897"/>
      <c r="SFH108" s="897"/>
      <c r="SFI108" s="897"/>
      <c r="SFJ108" s="897"/>
      <c r="SFK108" s="895"/>
      <c r="SFL108" s="895"/>
      <c r="SFM108" s="896"/>
      <c r="SFN108" s="897"/>
      <c r="SFO108" s="897"/>
      <c r="SFP108" s="897"/>
      <c r="SFQ108" s="897"/>
      <c r="SFR108" s="897"/>
      <c r="SFS108" s="897"/>
      <c r="SFT108" s="897"/>
      <c r="SFU108" s="897"/>
      <c r="SFV108" s="895"/>
      <c r="SFW108" s="895"/>
      <c r="SFX108" s="896"/>
      <c r="SFY108" s="897"/>
      <c r="SFZ108" s="897"/>
      <c r="SGA108" s="897"/>
      <c r="SGB108" s="897"/>
      <c r="SGC108" s="897"/>
      <c r="SGD108" s="897"/>
      <c r="SGE108" s="897"/>
      <c r="SGF108" s="897"/>
      <c r="SGG108" s="895"/>
      <c r="SGH108" s="895"/>
      <c r="SGI108" s="896"/>
      <c r="SGJ108" s="897"/>
      <c r="SGK108" s="897"/>
      <c r="SGL108" s="897"/>
      <c r="SGM108" s="897"/>
      <c r="SGN108" s="897"/>
      <c r="SGO108" s="897"/>
      <c r="SGP108" s="897"/>
      <c r="SGQ108" s="897"/>
      <c r="SGR108" s="895"/>
      <c r="SGS108" s="895"/>
      <c r="SGT108" s="896"/>
      <c r="SGU108" s="897"/>
      <c r="SGV108" s="897"/>
      <c r="SGW108" s="897"/>
      <c r="SGX108" s="897"/>
      <c r="SGY108" s="897"/>
      <c r="SGZ108" s="897"/>
      <c r="SHA108" s="897"/>
      <c r="SHB108" s="897"/>
      <c r="SHC108" s="895"/>
      <c r="SHD108" s="895"/>
      <c r="SHE108" s="896"/>
      <c r="SHF108" s="897"/>
      <c r="SHG108" s="897"/>
      <c r="SHH108" s="897"/>
      <c r="SHI108" s="897"/>
      <c r="SHJ108" s="897"/>
      <c r="SHK108" s="897"/>
      <c r="SHL108" s="897"/>
      <c r="SHM108" s="897"/>
      <c r="SHN108" s="895"/>
      <c r="SHO108" s="895"/>
      <c r="SHP108" s="896"/>
      <c r="SHQ108" s="897"/>
      <c r="SHR108" s="897"/>
      <c r="SHS108" s="897"/>
      <c r="SHT108" s="897"/>
      <c r="SHU108" s="897"/>
      <c r="SHV108" s="897"/>
      <c r="SHW108" s="897"/>
      <c r="SHX108" s="897"/>
      <c r="SHY108" s="895"/>
      <c r="SHZ108" s="895"/>
      <c r="SIA108" s="896"/>
      <c r="SIB108" s="897"/>
      <c r="SIC108" s="897"/>
      <c r="SID108" s="897"/>
      <c r="SIE108" s="897"/>
      <c r="SIF108" s="897"/>
      <c r="SIG108" s="897"/>
      <c r="SIH108" s="897"/>
      <c r="SII108" s="897"/>
      <c r="SIJ108" s="895"/>
      <c r="SIK108" s="895"/>
      <c r="SIL108" s="896"/>
      <c r="SIM108" s="897"/>
      <c r="SIN108" s="897"/>
      <c r="SIO108" s="897"/>
      <c r="SIP108" s="897"/>
      <c r="SIQ108" s="897"/>
      <c r="SIR108" s="897"/>
      <c r="SIS108" s="897"/>
      <c r="SIT108" s="897"/>
      <c r="SIU108" s="895"/>
      <c r="SIV108" s="895"/>
      <c r="SIW108" s="896"/>
      <c r="SIX108" s="897"/>
      <c r="SIY108" s="897"/>
      <c r="SIZ108" s="897"/>
      <c r="SJA108" s="897"/>
      <c r="SJB108" s="897"/>
      <c r="SJC108" s="897"/>
      <c r="SJD108" s="897"/>
      <c r="SJE108" s="897"/>
      <c r="SJF108" s="895"/>
      <c r="SJG108" s="895"/>
      <c r="SJH108" s="896"/>
      <c r="SJI108" s="897"/>
      <c r="SJJ108" s="897"/>
      <c r="SJK108" s="897"/>
      <c r="SJL108" s="897"/>
      <c r="SJM108" s="897"/>
      <c r="SJN108" s="897"/>
      <c r="SJO108" s="897"/>
      <c r="SJP108" s="897"/>
      <c r="SJQ108" s="895"/>
      <c r="SJR108" s="895"/>
      <c r="SJS108" s="896"/>
      <c r="SJT108" s="897"/>
      <c r="SJU108" s="897"/>
      <c r="SJV108" s="897"/>
      <c r="SJW108" s="897"/>
      <c r="SJX108" s="897"/>
      <c r="SJY108" s="897"/>
      <c r="SJZ108" s="897"/>
      <c r="SKA108" s="897"/>
      <c r="SKB108" s="895"/>
      <c r="SKC108" s="895"/>
      <c r="SKD108" s="896"/>
      <c r="SKE108" s="897"/>
      <c r="SKF108" s="897"/>
      <c r="SKG108" s="897"/>
      <c r="SKH108" s="897"/>
      <c r="SKI108" s="897"/>
      <c r="SKJ108" s="897"/>
      <c r="SKK108" s="897"/>
      <c r="SKL108" s="897"/>
      <c r="SKM108" s="895"/>
      <c r="SKN108" s="895"/>
      <c r="SKO108" s="896"/>
      <c r="SKP108" s="897"/>
      <c r="SKQ108" s="897"/>
      <c r="SKR108" s="897"/>
      <c r="SKS108" s="897"/>
      <c r="SKT108" s="897"/>
      <c r="SKU108" s="897"/>
      <c r="SKV108" s="897"/>
      <c r="SKW108" s="897"/>
      <c r="SKX108" s="895"/>
      <c r="SKY108" s="895"/>
      <c r="SKZ108" s="896"/>
      <c r="SLA108" s="897"/>
      <c r="SLB108" s="897"/>
      <c r="SLC108" s="897"/>
      <c r="SLD108" s="897"/>
      <c r="SLE108" s="897"/>
      <c r="SLF108" s="897"/>
      <c r="SLG108" s="897"/>
      <c r="SLH108" s="897"/>
      <c r="SLI108" s="895"/>
      <c r="SLJ108" s="895"/>
      <c r="SLK108" s="896"/>
      <c r="SLL108" s="897"/>
      <c r="SLM108" s="897"/>
      <c r="SLN108" s="897"/>
      <c r="SLO108" s="897"/>
      <c r="SLP108" s="897"/>
      <c r="SLQ108" s="897"/>
      <c r="SLR108" s="897"/>
      <c r="SLS108" s="897"/>
      <c r="SLT108" s="895"/>
      <c r="SLU108" s="895"/>
      <c r="SLV108" s="896"/>
      <c r="SLW108" s="897"/>
      <c r="SLX108" s="897"/>
      <c r="SLY108" s="897"/>
      <c r="SLZ108" s="897"/>
      <c r="SMA108" s="897"/>
      <c r="SMB108" s="897"/>
      <c r="SMC108" s="897"/>
      <c r="SMD108" s="897"/>
      <c r="SME108" s="895"/>
      <c r="SMF108" s="895"/>
      <c r="SMG108" s="896"/>
      <c r="SMH108" s="897"/>
      <c r="SMI108" s="897"/>
      <c r="SMJ108" s="897"/>
      <c r="SMK108" s="897"/>
      <c r="SML108" s="897"/>
      <c r="SMM108" s="897"/>
      <c r="SMN108" s="897"/>
      <c r="SMO108" s="897"/>
      <c r="SMP108" s="895"/>
      <c r="SMQ108" s="895"/>
      <c r="SMR108" s="896"/>
      <c r="SMS108" s="897"/>
      <c r="SMT108" s="897"/>
      <c r="SMU108" s="897"/>
      <c r="SMV108" s="897"/>
      <c r="SMW108" s="897"/>
      <c r="SMX108" s="897"/>
      <c r="SMY108" s="897"/>
      <c r="SMZ108" s="897"/>
      <c r="SNA108" s="895"/>
      <c r="SNB108" s="895"/>
      <c r="SNC108" s="896"/>
      <c r="SND108" s="897"/>
      <c r="SNE108" s="897"/>
      <c r="SNF108" s="897"/>
      <c r="SNG108" s="897"/>
      <c r="SNH108" s="897"/>
      <c r="SNI108" s="897"/>
      <c r="SNJ108" s="897"/>
      <c r="SNK108" s="897"/>
      <c r="SNL108" s="895"/>
      <c r="SNM108" s="895"/>
      <c r="SNN108" s="896"/>
      <c r="SNO108" s="897"/>
      <c r="SNP108" s="897"/>
      <c r="SNQ108" s="897"/>
      <c r="SNR108" s="897"/>
      <c r="SNS108" s="897"/>
      <c r="SNT108" s="897"/>
      <c r="SNU108" s="897"/>
      <c r="SNV108" s="897"/>
      <c r="SNW108" s="895"/>
      <c r="SNX108" s="895"/>
      <c r="SNY108" s="896"/>
      <c r="SNZ108" s="897"/>
      <c r="SOA108" s="897"/>
      <c r="SOB108" s="897"/>
      <c r="SOC108" s="897"/>
      <c r="SOD108" s="897"/>
      <c r="SOE108" s="897"/>
      <c r="SOF108" s="897"/>
      <c r="SOG108" s="897"/>
      <c r="SOH108" s="895"/>
      <c r="SOI108" s="895"/>
      <c r="SOJ108" s="896"/>
      <c r="SOK108" s="897"/>
      <c r="SOL108" s="897"/>
      <c r="SOM108" s="897"/>
      <c r="SON108" s="897"/>
      <c r="SOO108" s="897"/>
      <c r="SOP108" s="897"/>
      <c r="SOQ108" s="897"/>
      <c r="SOR108" s="897"/>
      <c r="SOS108" s="895"/>
      <c r="SOT108" s="895"/>
      <c r="SOU108" s="896"/>
      <c r="SOV108" s="897"/>
      <c r="SOW108" s="897"/>
      <c r="SOX108" s="897"/>
      <c r="SOY108" s="897"/>
      <c r="SOZ108" s="897"/>
      <c r="SPA108" s="897"/>
      <c r="SPB108" s="897"/>
      <c r="SPC108" s="897"/>
      <c r="SPD108" s="895"/>
      <c r="SPE108" s="895"/>
      <c r="SPF108" s="896"/>
      <c r="SPG108" s="897"/>
      <c r="SPH108" s="897"/>
      <c r="SPI108" s="897"/>
      <c r="SPJ108" s="897"/>
      <c r="SPK108" s="897"/>
      <c r="SPL108" s="897"/>
      <c r="SPM108" s="897"/>
      <c r="SPN108" s="897"/>
      <c r="SPO108" s="895"/>
      <c r="SPP108" s="895"/>
      <c r="SPQ108" s="896"/>
      <c r="SPR108" s="897"/>
      <c r="SPS108" s="897"/>
      <c r="SPT108" s="897"/>
      <c r="SPU108" s="897"/>
      <c r="SPV108" s="897"/>
      <c r="SPW108" s="897"/>
      <c r="SPX108" s="897"/>
      <c r="SPY108" s="897"/>
      <c r="SPZ108" s="895"/>
      <c r="SQA108" s="895"/>
      <c r="SQB108" s="896"/>
      <c r="SQC108" s="897"/>
      <c r="SQD108" s="897"/>
      <c r="SQE108" s="897"/>
      <c r="SQF108" s="897"/>
      <c r="SQG108" s="897"/>
      <c r="SQH108" s="897"/>
      <c r="SQI108" s="897"/>
      <c r="SQJ108" s="897"/>
      <c r="SQK108" s="895"/>
      <c r="SQL108" s="895"/>
      <c r="SQM108" s="896"/>
      <c r="SQN108" s="897"/>
      <c r="SQO108" s="897"/>
      <c r="SQP108" s="897"/>
      <c r="SQQ108" s="897"/>
      <c r="SQR108" s="897"/>
      <c r="SQS108" s="897"/>
      <c r="SQT108" s="897"/>
      <c r="SQU108" s="897"/>
      <c r="SQV108" s="895"/>
      <c r="SQW108" s="895"/>
      <c r="SQX108" s="896"/>
      <c r="SQY108" s="897"/>
      <c r="SQZ108" s="897"/>
      <c r="SRA108" s="897"/>
      <c r="SRB108" s="897"/>
      <c r="SRC108" s="897"/>
      <c r="SRD108" s="897"/>
      <c r="SRE108" s="897"/>
      <c r="SRF108" s="897"/>
      <c r="SRG108" s="895"/>
      <c r="SRH108" s="895"/>
      <c r="SRI108" s="896"/>
      <c r="SRJ108" s="897"/>
      <c r="SRK108" s="897"/>
      <c r="SRL108" s="897"/>
      <c r="SRM108" s="897"/>
      <c r="SRN108" s="897"/>
      <c r="SRO108" s="897"/>
      <c r="SRP108" s="897"/>
      <c r="SRQ108" s="897"/>
      <c r="SRR108" s="895"/>
      <c r="SRS108" s="895"/>
      <c r="SRT108" s="896"/>
      <c r="SRU108" s="897"/>
      <c r="SRV108" s="897"/>
      <c r="SRW108" s="897"/>
      <c r="SRX108" s="897"/>
      <c r="SRY108" s="897"/>
      <c r="SRZ108" s="897"/>
      <c r="SSA108" s="897"/>
      <c r="SSB108" s="897"/>
      <c r="SSC108" s="895"/>
      <c r="SSD108" s="895"/>
      <c r="SSE108" s="896"/>
      <c r="SSF108" s="897"/>
      <c r="SSG108" s="897"/>
      <c r="SSH108" s="897"/>
      <c r="SSI108" s="897"/>
      <c r="SSJ108" s="897"/>
      <c r="SSK108" s="897"/>
      <c r="SSL108" s="897"/>
      <c r="SSM108" s="897"/>
      <c r="SSN108" s="895"/>
      <c r="SSO108" s="895"/>
      <c r="SSP108" s="896"/>
      <c r="SSQ108" s="897"/>
      <c r="SSR108" s="897"/>
      <c r="SSS108" s="897"/>
      <c r="SST108" s="897"/>
      <c r="SSU108" s="897"/>
      <c r="SSV108" s="897"/>
      <c r="SSW108" s="897"/>
      <c r="SSX108" s="897"/>
      <c r="SSY108" s="895"/>
      <c r="SSZ108" s="895"/>
      <c r="STA108" s="896"/>
      <c r="STB108" s="897"/>
      <c r="STC108" s="897"/>
      <c r="STD108" s="897"/>
      <c r="STE108" s="897"/>
      <c r="STF108" s="897"/>
      <c r="STG108" s="897"/>
      <c r="STH108" s="897"/>
      <c r="STI108" s="897"/>
      <c r="STJ108" s="895"/>
      <c r="STK108" s="895"/>
      <c r="STL108" s="896"/>
      <c r="STM108" s="897"/>
      <c r="STN108" s="897"/>
      <c r="STO108" s="897"/>
      <c r="STP108" s="897"/>
      <c r="STQ108" s="897"/>
      <c r="STR108" s="897"/>
      <c r="STS108" s="897"/>
      <c r="STT108" s="897"/>
      <c r="STU108" s="895"/>
      <c r="STV108" s="895"/>
      <c r="STW108" s="896"/>
      <c r="STX108" s="897"/>
      <c r="STY108" s="897"/>
      <c r="STZ108" s="897"/>
      <c r="SUA108" s="897"/>
      <c r="SUB108" s="897"/>
      <c r="SUC108" s="897"/>
      <c r="SUD108" s="897"/>
      <c r="SUE108" s="897"/>
      <c r="SUF108" s="895"/>
      <c r="SUG108" s="895"/>
      <c r="SUH108" s="896"/>
      <c r="SUI108" s="897"/>
      <c r="SUJ108" s="897"/>
      <c r="SUK108" s="897"/>
      <c r="SUL108" s="897"/>
      <c r="SUM108" s="897"/>
      <c r="SUN108" s="897"/>
      <c r="SUO108" s="897"/>
      <c r="SUP108" s="897"/>
      <c r="SUQ108" s="895"/>
      <c r="SUR108" s="895"/>
      <c r="SUS108" s="896"/>
      <c r="SUT108" s="897"/>
      <c r="SUU108" s="897"/>
      <c r="SUV108" s="897"/>
      <c r="SUW108" s="897"/>
      <c r="SUX108" s="897"/>
      <c r="SUY108" s="897"/>
      <c r="SUZ108" s="897"/>
      <c r="SVA108" s="897"/>
      <c r="SVB108" s="895"/>
      <c r="SVC108" s="895"/>
      <c r="SVD108" s="896"/>
      <c r="SVE108" s="897"/>
      <c r="SVF108" s="897"/>
      <c r="SVG108" s="897"/>
      <c r="SVH108" s="897"/>
      <c r="SVI108" s="897"/>
      <c r="SVJ108" s="897"/>
      <c r="SVK108" s="897"/>
      <c r="SVL108" s="897"/>
      <c r="SVM108" s="895"/>
      <c r="SVN108" s="895"/>
      <c r="SVO108" s="896"/>
      <c r="SVP108" s="897"/>
      <c r="SVQ108" s="897"/>
      <c r="SVR108" s="897"/>
      <c r="SVS108" s="897"/>
      <c r="SVT108" s="897"/>
      <c r="SVU108" s="897"/>
      <c r="SVV108" s="897"/>
      <c r="SVW108" s="897"/>
      <c r="SVX108" s="895"/>
      <c r="SVY108" s="895"/>
      <c r="SVZ108" s="896"/>
      <c r="SWA108" s="897"/>
      <c r="SWB108" s="897"/>
      <c r="SWC108" s="897"/>
      <c r="SWD108" s="897"/>
      <c r="SWE108" s="897"/>
      <c r="SWF108" s="897"/>
      <c r="SWG108" s="897"/>
      <c r="SWH108" s="897"/>
      <c r="SWI108" s="895"/>
      <c r="SWJ108" s="895"/>
      <c r="SWK108" s="896"/>
      <c r="SWL108" s="897"/>
      <c r="SWM108" s="897"/>
      <c r="SWN108" s="897"/>
      <c r="SWO108" s="897"/>
      <c r="SWP108" s="897"/>
      <c r="SWQ108" s="897"/>
      <c r="SWR108" s="897"/>
      <c r="SWS108" s="897"/>
      <c r="SWT108" s="895"/>
      <c r="SWU108" s="895"/>
      <c r="SWV108" s="896"/>
      <c r="SWW108" s="897"/>
      <c r="SWX108" s="897"/>
      <c r="SWY108" s="897"/>
      <c r="SWZ108" s="897"/>
      <c r="SXA108" s="897"/>
      <c r="SXB108" s="897"/>
      <c r="SXC108" s="897"/>
      <c r="SXD108" s="897"/>
      <c r="SXE108" s="895"/>
      <c r="SXF108" s="895"/>
      <c r="SXG108" s="896"/>
      <c r="SXH108" s="897"/>
      <c r="SXI108" s="897"/>
      <c r="SXJ108" s="897"/>
      <c r="SXK108" s="897"/>
      <c r="SXL108" s="897"/>
      <c r="SXM108" s="897"/>
      <c r="SXN108" s="897"/>
      <c r="SXO108" s="897"/>
      <c r="SXP108" s="895"/>
      <c r="SXQ108" s="895"/>
      <c r="SXR108" s="896"/>
      <c r="SXS108" s="897"/>
      <c r="SXT108" s="897"/>
      <c r="SXU108" s="897"/>
      <c r="SXV108" s="897"/>
      <c r="SXW108" s="897"/>
      <c r="SXX108" s="897"/>
      <c r="SXY108" s="897"/>
      <c r="SXZ108" s="897"/>
      <c r="SYA108" s="895"/>
      <c r="SYB108" s="895"/>
      <c r="SYC108" s="896"/>
      <c r="SYD108" s="897"/>
      <c r="SYE108" s="897"/>
      <c r="SYF108" s="897"/>
      <c r="SYG108" s="897"/>
      <c r="SYH108" s="897"/>
      <c r="SYI108" s="897"/>
      <c r="SYJ108" s="897"/>
      <c r="SYK108" s="897"/>
      <c r="SYL108" s="895"/>
      <c r="SYM108" s="895"/>
      <c r="SYN108" s="896"/>
      <c r="SYO108" s="897"/>
      <c r="SYP108" s="897"/>
      <c r="SYQ108" s="897"/>
      <c r="SYR108" s="897"/>
      <c r="SYS108" s="897"/>
      <c r="SYT108" s="897"/>
      <c r="SYU108" s="897"/>
      <c r="SYV108" s="897"/>
      <c r="SYW108" s="895"/>
      <c r="SYX108" s="895"/>
      <c r="SYY108" s="896"/>
      <c r="SYZ108" s="897"/>
      <c r="SZA108" s="897"/>
      <c r="SZB108" s="897"/>
      <c r="SZC108" s="897"/>
      <c r="SZD108" s="897"/>
      <c r="SZE108" s="897"/>
      <c r="SZF108" s="897"/>
      <c r="SZG108" s="897"/>
      <c r="SZH108" s="895"/>
      <c r="SZI108" s="895"/>
      <c r="SZJ108" s="896"/>
      <c r="SZK108" s="897"/>
      <c r="SZL108" s="897"/>
      <c r="SZM108" s="897"/>
      <c r="SZN108" s="897"/>
      <c r="SZO108" s="897"/>
      <c r="SZP108" s="897"/>
      <c r="SZQ108" s="897"/>
      <c r="SZR108" s="897"/>
      <c r="SZS108" s="895"/>
      <c r="SZT108" s="895"/>
      <c r="SZU108" s="896"/>
      <c r="SZV108" s="897"/>
      <c r="SZW108" s="897"/>
      <c r="SZX108" s="897"/>
      <c r="SZY108" s="897"/>
      <c r="SZZ108" s="897"/>
      <c r="TAA108" s="897"/>
      <c r="TAB108" s="897"/>
      <c r="TAC108" s="897"/>
      <c r="TAD108" s="895"/>
      <c r="TAE108" s="895"/>
      <c r="TAF108" s="896"/>
      <c r="TAG108" s="897"/>
      <c r="TAH108" s="897"/>
      <c r="TAI108" s="897"/>
      <c r="TAJ108" s="897"/>
      <c r="TAK108" s="897"/>
      <c r="TAL108" s="897"/>
      <c r="TAM108" s="897"/>
      <c r="TAN108" s="897"/>
      <c r="TAO108" s="895"/>
      <c r="TAP108" s="895"/>
      <c r="TAQ108" s="896"/>
      <c r="TAR108" s="897"/>
      <c r="TAS108" s="897"/>
      <c r="TAT108" s="897"/>
      <c r="TAU108" s="897"/>
      <c r="TAV108" s="897"/>
      <c r="TAW108" s="897"/>
      <c r="TAX108" s="897"/>
      <c r="TAY108" s="897"/>
      <c r="TAZ108" s="895"/>
      <c r="TBA108" s="895"/>
      <c r="TBB108" s="896"/>
      <c r="TBC108" s="897"/>
      <c r="TBD108" s="897"/>
      <c r="TBE108" s="897"/>
      <c r="TBF108" s="897"/>
      <c r="TBG108" s="897"/>
      <c r="TBH108" s="897"/>
      <c r="TBI108" s="897"/>
      <c r="TBJ108" s="897"/>
      <c r="TBK108" s="895"/>
      <c r="TBL108" s="895"/>
      <c r="TBM108" s="896"/>
      <c r="TBN108" s="897"/>
      <c r="TBO108" s="897"/>
      <c r="TBP108" s="897"/>
      <c r="TBQ108" s="897"/>
      <c r="TBR108" s="897"/>
      <c r="TBS108" s="897"/>
      <c r="TBT108" s="897"/>
      <c r="TBU108" s="897"/>
      <c r="TBV108" s="895"/>
      <c r="TBW108" s="895"/>
      <c r="TBX108" s="896"/>
      <c r="TBY108" s="897"/>
      <c r="TBZ108" s="897"/>
      <c r="TCA108" s="897"/>
      <c r="TCB108" s="897"/>
      <c r="TCC108" s="897"/>
      <c r="TCD108" s="897"/>
      <c r="TCE108" s="897"/>
      <c r="TCF108" s="897"/>
      <c r="TCG108" s="895"/>
      <c r="TCH108" s="895"/>
      <c r="TCI108" s="896"/>
      <c r="TCJ108" s="897"/>
      <c r="TCK108" s="897"/>
      <c r="TCL108" s="897"/>
      <c r="TCM108" s="897"/>
      <c r="TCN108" s="897"/>
      <c r="TCO108" s="897"/>
      <c r="TCP108" s="897"/>
      <c r="TCQ108" s="897"/>
      <c r="TCR108" s="895"/>
      <c r="TCS108" s="895"/>
      <c r="TCT108" s="896"/>
      <c r="TCU108" s="897"/>
      <c r="TCV108" s="897"/>
      <c r="TCW108" s="897"/>
      <c r="TCX108" s="897"/>
      <c r="TCY108" s="897"/>
      <c r="TCZ108" s="897"/>
      <c r="TDA108" s="897"/>
      <c r="TDB108" s="897"/>
      <c r="TDC108" s="895"/>
      <c r="TDD108" s="895"/>
      <c r="TDE108" s="896"/>
      <c r="TDF108" s="897"/>
      <c r="TDG108" s="897"/>
      <c r="TDH108" s="897"/>
      <c r="TDI108" s="897"/>
      <c r="TDJ108" s="897"/>
      <c r="TDK108" s="897"/>
      <c r="TDL108" s="897"/>
      <c r="TDM108" s="897"/>
      <c r="TDN108" s="895"/>
      <c r="TDO108" s="895"/>
      <c r="TDP108" s="896"/>
      <c r="TDQ108" s="897"/>
      <c r="TDR108" s="897"/>
      <c r="TDS108" s="897"/>
      <c r="TDT108" s="897"/>
      <c r="TDU108" s="897"/>
      <c r="TDV108" s="897"/>
      <c r="TDW108" s="897"/>
      <c r="TDX108" s="897"/>
      <c r="TDY108" s="895"/>
      <c r="TDZ108" s="895"/>
      <c r="TEA108" s="896"/>
      <c r="TEB108" s="897"/>
      <c r="TEC108" s="897"/>
      <c r="TED108" s="897"/>
      <c r="TEE108" s="897"/>
      <c r="TEF108" s="897"/>
      <c r="TEG108" s="897"/>
      <c r="TEH108" s="897"/>
      <c r="TEI108" s="897"/>
      <c r="TEJ108" s="895"/>
      <c r="TEK108" s="895"/>
      <c r="TEL108" s="896"/>
      <c r="TEM108" s="897"/>
      <c r="TEN108" s="897"/>
      <c r="TEO108" s="897"/>
      <c r="TEP108" s="897"/>
      <c r="TEQ108" s="897"/>
      <c r="TER108" s="897"/>
      <c r="TES108" s="897"/>
      <c r="TET108" s="897"/>
      <c r="TEU108" s="895"/>
      <c r="TEV108" s="895"/>
      <c r="TEW108" s="896"/>
      <c r="TEX108" s="897"/>
      <c r="TEY108" s="897"/>
      <c r="TEZ108" s="897"/>
      <c r="TFA108" s="897"/>
      <c r="TFB108" s="897"/>
      <c r="TFC108" s="897"/>
      <c r="TFD108" s="897"/>
      <c r="TFE108" s="897"/>
      <c r="TFF108" s="895"/>
      <c r="TFG108" s="895"/>
      <c r="TFH108" s="896"/>
      <c r="TFI108" s="897"/>
      <c r="TFJ108" s="897"/>
      <c r="TFK108" s="897"/>
      <c r="TFL108" s="897"/>
      <c r="TFM108" s="897"/>
      <c r="TFN108" s="897"/>
      <c r="TFO108" s="897"/>
      <c r="TFP108" s="897"/>
      <c r="TFQ108" s="895"/>
      <c r="TFR108" s="895"/>
      <c r="TFS108" s="896"/>
      <c r="TFT108" s="897"/>
      <c r="TFU108" s="897"/>
      <c r="TFV108" s="897"/>
      <c r="TFW108" s="897"/>
      <c r="TFX108" s="897"/>
      <c r="TFY108" s="897"/>
      <c r="TFZ108" s="897"/>
      <c r="TGA108" s="897"/>
      <c r="TGB108" s="895"/>
      <c r="TGC108" s="895"/>
      <c r="TGD108" s="896"/>
      <c r="TGE108" s="897"/>
      <c r="TGF108" s="897"/>
      <c r="TGG108" s="897"/>
      <c r="TGH108" s="897"/>
      <c r="TGI108" s="897"/>
      <c r="TGJ108" s="897"/>
      <c r="TGK108" s="897"/>
      <c r="TGL108" s="897"/>
      <c r="TGM108" s="895"/>
      <c r="TGN108" s="895"/>
      <c r="TGO108" s="896"/>
      <c r="TGP108" s="897"/>
      <c r="TGQ108" s="897"/>
      <c r="TGR108" s="897"/>
      <c r="TGS108" s="897"/>
      <c r="TGT108" s="897"/>
      <c r="TGU108" s="897"/>
      <c r="TGV108" s="897"/>
      <c r="TGW108" s="897"/>
      <c r="TGX108" s="895"/>
      <c r="TGY108" s="895"/>
      <c r="TGZ108" s="896"/>
      <c r="THA108" s="897"/>
      <c r="THB108" s="897"/>
      <c r="THC108" s="897"/>
      <c r="THD108" s="897"/>
      <c r="THE108" s="897"/>
      <c r="THF108" s="897"/>
      <c r="THG108" s="897"/>
      <c r="THH108" s="897"/>
      <c r="THI108" s="895"/>
      <c r="THJ108" s="895"/>
      <c r="THK108" s="896"/>
      <c r="THL108" s="897"/>
      <c r="THM108" s="897"/>
      <c r="THN108" s="897"/>
      <c r="THO108" s="897"/>
      <c r="THP108" s="897"/>
      <c r="THQ108" s="897"/>
      <c r="THR108" s="897"/>
      <c r="THS108" s="897"/>
      <c r="THT108" s="895"/>
      <c r="THU108" s="895"/>
      <c r="THV108" s="896"/>
      <c r="THW108" s="897"/>
      <c r="THX108" s="897"/>
      <c r="THY108" s="897"/>
      <c r="THZ108" s="897"/>
      <c r="TIA108" s="897"/>
      <c r="TIB108" s="897"/>
      <c r="TIC108" s="897"/>
      <c r="TID108" s="897"/>
      <c r="TIE108" s="895"/>
      <c r="TIF108" s="895"/>
      <c r="TIG108" s="896"/>
      <c r="TIH108" s="897"/>
      <c r="TII108" s="897"/>
      <c r="TIJ108" s="897"/>
      <c r="TIK108" s="897"/>
      <c r="TIL108" s="897"/>
      <c r="TIM108" s="897"/>
      <c r="TIN108" s="897"/>
      <c r="TIO108" s="897"/>
      <c r="TIP108" s="895"/>
      <c r="TIQ108" s="895"/>
      <c r="TIR108" s="896"/>
      <c r="TIS108" s="897"/>
      <c r="TIT108" s="897"/>
      <c r="TIU108" s="897"/>
      <c r="TIV108" s="897"/>
      <c r="TIW108" s="897"/>
      <c r="TIX108" s="897"/>
      <c r="TIY108" s="897"/>
      <c r="TIZ108" s="897"/>
      <c r="TJA108" s="895"/>
      <c r="TJB108" s="895"/>
      <c r="TJC108" s="896"/>
      <c r="TJD108" s="897"/>
      <c r="TJE108" s="897"/>
      <c r="TJF108" s="897"/>
      <c r="TJG108" s="897"/>
      <c r="TJH108" s="897"/>
      <c r="TJI108" s="897"/>
      <c r="TJJ108" s="897"/>
      <c r="TJK108" s="897"/>
      <c r="TJL108" s="895"/>
      <c r="TJM108" s="895"/>
      <c r="TJN108" s="896"/>
      <c r="TJO108" s="897"/>
      <c r="TJP108" s="897"/>
      <c r="TJQ108" s="897"/>
      <c r="TJR108" s="897"/>
      <c r="TJS108" s="897"/>
      <c r="TJT108" s="897"/>
      <c r="TJU108" s="897"/>
      <c r="TJV108" s="897"/>
      <c r="TJW108" s="895"/>
      <c r="TJX108" s="895"/>
      <c r="TJY108" s="896"/>
      <c r="TJZ108" s="897"/>
      <c r="TKA108" s="897"/>
      <c r="TKB108" s="897"/>
      <c r="TKC108" s="897"/>
      <c r="TKD108" s="897"/>
      <c r="TKE108" s="897"/>
      <c r="TKF108" s="897"/>
      <c r="TKG108" s="897"/>
      <c r="TKH108" s="895"/>
      <c r="TKI108" s="895"/>
      <c r="TKJ108" s="896"/>
      <c r="TKK108" s="897"/>
      <c r="TKL108" s="897"/>
      <c r="TKM108" s="897"/>
      <c r="TKN108" s="897"/>
      <c r="TKO108" s="897"/>
      <c r="TKP108" s="897"/>
      <c r="TKQ108" s="897"/>
      <c r="TKR108" s="897"/>
      <c r="TKS108" s="895"/>
      <c r="TKT108" s="895"/>
      <c r="TKU108" s="896"/>
      <c r="TKV108" s="897"/>
      <c r="TKW108" s="897"/>
      <c r="TKX108" s="897"/>
      <c r="TKY108" s="897"/>
      <c r="TKZ108" s="897"/>
      <c r="TLA108" s="897"/>
      <c r="TLB108" s="897"/>
      <c r="TLC108" s="897"/>
      <c r="TLD108" s="895"/>
      <c r="TLE108" s="895"/>
      <c r="TLF108" s="896"/>
      <c r="TLG108" s="897"/>
      <c r="TLH108" s="897"/>
      <c r="TLI108" s="897"/>
      <c r="TLJ108" s="897"/>
      <c r="TLK108" s="897"/>
      <c r="TLL108" s="897"/>
      <c r="TLM108" s="897"/>
      <c r="TLN108" s="897"/>
      <c r="TLO108" s="895"/>
      <c r="TLP108" s="895"/>
      <c r="TLQ108" s="896"/>
      <c r="TLR108" s="897"/>
      <c r="TLS108" s="897"/>
      <c r="TLT108" s="897"/>
      <c r="TLU108" s="897"/>
      <c r="TLV108" s="897"/>
      <c r="TLW108" s="897"/>
      <c r="TLX108" s="897"/>
      <c r="TLY108" s="897"/>
      <c r="TLZ108" s="895"/>
      <c r="TMA108" s="895"/>
      <c r="TMB108" s="896"/>
      <c r="TMC108" s="897"/>
      <c r="TMD108" s="897"/>
      <c r="TME108" s="897"/>
      <c r="TMF108" s="897"/>
      <c r="TMG108" s="897"/>
      <c r="TMH108" s="897"/>
      <c r="TMI108" s="897"/>
      <c r="TMJ108" s="897"/>
      <c r="TMK108" s="895"/>
      <c r="TML108" s="895"/>
      <c r="TMM108" s="896"/>
      <c r="TMN108" s="897"/>
      <c r="TMO108" s="897"/>
      <c r="TMP108" s="897"/>
      <c r="TMQ108" s="897"/>
      <c r="TMR108" s="897"/>
      <c r="TMS108" s="897"/>
      <c r="TMT108" s="897"/>
      <c r="TMU108" s="897"/>
      <c r="TMV108" s="895"/>
      <c r="TMW108" s="895"/>
      <c r="TMX108" s="896"/>
      <c r="TMY108" s="897"/>
      <c r="TMZ108" s="897"/>
      <c r="TNA108" s="897"/>
      <c r="TNB108" s="897"/>
      <c r="TNC108" s="897"/>
      <c r="TND108" s="897"/>
      <c r="TNE108" s="897"/>
      <c r="TNF108" s="897"/>
      <c r="TNG108" s="895"/>
      <c r="TNH108" s="895"/>
      <c r="TNI108" s="896"/>
      <c r="TNJ108" s="897"/>
      <c r="TNK108" s="897"/>
      <c r="TNL108" s="897"/>
      <c r="TNM108" s="897"/>
      <c r="TNN108" s="897"/>
      <c r="TNO108" s="897"/>
      <c r="TNP108" s="897"/>
      <c r="TNQ108" s="897"/>
      <c r="TNR108" s="895"/>
      <c r="TNS108" s="895"/>
      <c r="TNT108" s="896"/>
      <c r="TNU108" s="897"/>
      <c r="TNV108" s="897"/>
      <c r="TNW108" s="897"/>
      <c r="TNX108" s="897"/>
      <c r="TNY108" s="897"/>
      <c r="TNZ108" s="897"/>
      <c r="TOA108" s="897"/>
      <c r="TOB108" s="897"/>
      <c r="TOC108" s="895"/>
      <c r="TOD108" s="895"/>
      <c r="TOE108" s="896"/>
      <c r="TOF108" s="897"/>
      <c r="TOG108" s="897"/>
      <c r="TOH108" s="897"/>
      <c r="TOI108" s="897"/>
      <c r="TOJ108" s="897"/>
      <c r="TOK108" s="897"/>
      <c r="TOL108" s="897"/>
      <c r="TOM108" s="897"/>
      <c r="TON108" s="895"/>
      <c r="TOO108" s="895"/>
      <c r="TOP108" s="896"/>
      <c r="TOQ108" s="897"/>
      <c r="TOR108" s="897"/>
      <c r="TOS108" s="897"/>
      <c r="TOT108" s="897"/>
      <c r="TOU108" s="897"/>
      <c r="TOV108" s="897"/>
      <c r="TOW108" s="897"/>
      <c r="TOX108" s="897"/>
      <c r="TOY108" s="895"/>
      <c r="TOZ108" s="895"/>
      <c r="TPA108" s="896"/>
      <c r="TPB108" s="897"/>
      <c r="TPC108" s="897"/>
      <c r="TPD108" s="897"/>
      <c r="TPE108" s="897"/>
      <c r="TPF108" s="897"/>
      <c r="TPG108" s="897"/>
      <c r="TPH108" s="897"/>
      <c r="TPI108" s="897"/>
      <c r="TPJ108" s="895"/>
      <c r="TPK108" s="895"/>
      <c r="TPL108" s="896"/>
      <c r="TPM108" s="897"/>
      <c r="TPN108" s="897"/>
      <c r="TPO108" s="897"/>
      <c r="TPP108" s="897"/>
      <c r="TPQ108" s="897"/>
      <c r="TPR108" s="897"/>
      <c r="TPS108" s="897"/>
      <c r="TPT108" s="897"/>
      <c r="TPU108" s="895"/>
      <c r="TPV108" s="895"/>
      <c r="TPW108" s="896"/>
      <c r="TPX108" s="897"/>
      <c r="TPY108" s="897"/>
      <c r="TPZ108" s="897"/>
      <c r="TQA108" s="897"/>
      <c r="TQB108" s="897"/>
      <c r="TQC108" s="897"/>
      <c r="TQD108" s="897"/>
      <c r="TQE108" s="897"/>
      <c r="TQF108" s="895"/>
      <c r="TQG108" s="895"/>
      <c r="TQH108" s="896"/>
      <c r="TQI108" s="897"/>
      <c r="TQJ108" s="897"/>
      <c r="TQK108" s="897"/>
      <c r="TQL108" s="897"/>
      <c r="TQM108" s="897"/>
      <c r="TQN108" s="897"/>
      <c r="TQO108" s="897"/>
      <c r="TQP108" s="897"/>
      <c r="TQQ108" s="895"/>
      <c r="TQR108" s="895"/>
      <c r="TQS108" s="896"/>
      <c r="TQT108" s="897"/>
      <c r="TQU108" s="897"/>
      <c r="TQV108" s="897"/>
      <c r="TQW108" s="897"/>
      <c r="TQX108" s="897"/>
      <c r="TQY108" s="897"/>
      <c r="TQZ108" s="897"/>
      <c r="TRA108" s="897"/>
      <c r="TRB108" s="895"/>
      <c r="TRC108" s="895"/>
      <c r="TRD108" s="896"/>
      <c r="TRE108" s="897"/>
      <c r="TRF108" s="897"/>
      <c r="TRG108" s="897"/>
      <c r="TRH108" s="897"/>
      <c r="TRI108" s="897"/>
      <c r="TRJ108" s="897"/>
      <c r="TRK108" s="897"/>
      <c r="TRL108" s="897"/>
      <c r="TRM108" s="895"/>
      <c r="TRN108" s="895"/>
      <c r="TRO108" s="896"/>
      <c r="TRP108" s="897"/>
      <c r="TRQ108" s="897"/>
      <c r="TRR108" s="897"/>
      <c r="TRS108" s="897"/>
      <c r="TRT108" s="897"/>
      <c r="TRU108" s="897"/>
      <c r="TRV108" s="897"/>
      <c r="TRW108" s="897"/>
      <c r="TRX108" s="895"/>
      <c r="TRY108" s="895"/>
      <c r="TRZ108" s="896"/>
      <c r="TSA108" s="897"/>
      <c r="TSB108" s="897"/>
      <c r="TSC108" s="897"/>
      <c r="TSD108" s="897"/>
      <c r="TSE108" s="897"/>
      <c r="TSF108" s="897"/>
      <c r="TSG108" s="897"/>
      <c r="TSH108" s="897"/>
      <c r="TSI108" s="895"/>
      <c r="TSJ108" s="895"/>
      <c r="TSK108" s="896"/>
      <c r="TSL108" s="897"/>
      <c r="TSM108" s="897"/>
      <c r="TSN108" s="897"/>
      <c r="TSO108" s="897"/>
      <c r="TSP108" s="897"/>
      <c r="TSQ108" s="897"/>
      <c r="TSR108" s="897"/>
      <c r="TSS108" s="897"/>
      <c r="TST108" s="895"/>
      <c r="TSU108" s="895"/>
      <c r="TSV108" s="896"/>
      <c r="TSW108" s="897"/>
      <c r="TSX108" s="897"/>
      <c r="TSY108" s="897"/>
      <c r="TSZ108" s="897"/>
      <c r="TTA108" s="897"/>
      <c r="TTB108" s="897"/>
      <c r="TTC108" s="897"/>
      <c r="TTD108" s="897"/>
      <c r="TTE108" s="895"/>
      <c r="TTF108" s="895"/>
      <c r="TTG108" s="896"/>
      <c r="TTH108" s="897"/>
      <c r="TTI108" s="897"/>
      <c r="TTJ108" s="897"/>
      <c r="TTK108" s="897"/>
      <c r="TTL108" s="897"/>
      <c r="TTM108" s="897"/>
      <c r="TTN108" s="897"/>
      <c r="TTO108" s="897"/>
      <c r="TTP108" s="895"/>
      <c r="TTQ108" s="895"/>
      <c r="TTR108" s="896"/>
      <c r="TTS108" s="897"/>
      <c r="TTT108" s="897"/>
      <c r="TTU108" s="897"/>
      <c r="TTV108" s="897"/>
      <c r="TTW108" s="897"/>
      <c r="TTX108" s="897"/>
      <c r="TTY108" s="897"/>
      <c r="TTZ108" s="897"/>
      <c r="TUA108" s="895"/>
      <c r="TUB108" s="895"/>
      <c r="TUC108" s="896"/>
      <c r="TUD108" s="897"/>
      <c r="TUE108" s="897"/>
      <c r="TUF108" s="897"/>
      <c r="TUG108" s="897"/>
      <c r="TUH108" s="897"/>
      <c r="TUI108" s="897"/>
      <c r="TUJ108" s="897"/>
      <c r="TUK108" s="897"/>
      <c r="TUL108" s="895"/>
      <c r="TUM108" s="895"/>
      <c r="TUN108" s="896"/>
      <c r="TUO108" s="897"/>
      <c r="TUP108" s="897"/>
      <c r="TUQ108" s="897"/>
      <c r="TUR108" s="897"/>
      <c r="TUS108" s="897"/>
      <c r="TUT108" s="897"/>
      <c r="TUU108" s="897"/>
      <c r="TUV108" s="897"/>
      <c r="TUW108" s="895"/>
      <c r="TUX108" s="895"/>
      <c r="TUY108" s="896"/>
      <c r="TUZ108" s="897"/>
      <c r="TVA108" s="897"/>
      <c r="TVB108" s="897"/>
      <c r="TVC108" s="897"/>
      <c r="TVD108" s="897"/>
      <c r="TVE108" s="897"/>
      <c r="TVF108" s="897"/>
      <c r="TVG108" s="897"/>
      <c r="TVH108" s="895"/>
      <c r="TVI108" s="895"/>
      <c r="TVJ108" s="896"/>
      <c r="TVK108" s="897"/>
      <c r="TVL108" s="897"/>
      <c r="TVM108" s="897"/>
      <c r="TVN108" s="897"/>
      <c r="TVO108" s="897"/>
      <c r="TVP108" s="897"/>
      <c r="TVQ108" s="897"/>
      <c r="TVR108" s="897"/>
      <c r="TVS108" s="895"/>
      <c r="TVT108" s="895"/>
      <c r="TVU108" s="896"/>
      <c r="TVV108" s="897"/>
      <c r="TVW108" s="897"/>
      <c r="TVX108" s="897"/>
      <c r="TVY108" s="897"/>
      <c r="TVZ108" s="897"/>
      <c r="TWA108" s="897"/>
      <c r="TWB108" s="897"/>
      <c r="TWC108" s="897"/>
      <c r="TWD108" s="895"/>
      <c r="TWE108" s="895"/>
      <c r="TWF108" s="896"/>
      <c r="TWG108" s="897"/>
      <c r="TWH108" s="897"/>
      <c r="TWI108" s="897"/>
      <c r="TWJ108" s="897"/>
      <c r="TWK108" s="897"/>
      <c r="TWL108" s="897"/>
      <c r="TWM108" s="897"/>
      <c r="TWN108" s="897"/>
      <c r="TWO108" s="895"/>
      <c r="TWP108" s="895"/>
      <c r="TWQ108" s="896"/>
      <c r="TWR108" s="897"/>
      <c r="TWS108" s="897"/>
      <c r="TWT108" s="897"/>
      <c r="TWU108" s="897"/>
      <c r="TWV108" s="897"/>
      <c r="TWW108" s="897"/>
      <c r="TWX108" s="897"/>
      <c r="TWY108" s="897"/>
      <c r="TWZ108" s="895"/>
      <c r="TXA108" s="895"/>
      <c r="TXB108" s="896"/>
      <c r="TXC108" s="897"/>
      <c r="TXD108" s="897"/>
      <c r="TXE108" s="897"/>
      <c r="TXF108" s="897"/>
      <c r="TXG108" s="897"/>
      <c r="TXH108" s="897"/>
      <c r="TXI108" s="897"/>
      <c r="TXJ108" s="897"/>
      <c r="TXK108" s="895"/>
      <c r="TXL108" s="895"/>
      <c r="TXM108" s="896"/>
      <c r="TXN108" s="897"/>
      <c r="TXO108" s="897"/>
      <c r="TXP108" s="897"/>
      <c r="TXQ108" s="897"/>
      <c r="TXR108" s="897"/>
      <c r="TXS108" s="897"/>
      <c r="TXT108" s="897"/>
      <c r="TXU108" s="897"/>
      <c r="TXV108" s="895"/>
      <c r="TXW108" s="895"/>
      <c r="TXX108" s="896"/>
      <c r="TXY108" s="897"/>
      <c r="TXZ108" s="897"/>
      <c r="TYA108" s="897"/>
      <c r="TYB108" s="897"/>
      <c r="TYC108" s="897"/>
      <c r="TYD108" s="897"/>
      <c r="TYE108" s="897"/>
      <c r="TYF108" s="897"/>
      <c r="TYG108" s="895"/>
      <c r="TYH108" s="895"/>
      <c r="TYI108" s="896"/>
      <c r="TYJ108" s="897"/>
      <c r="TYK108" s="897"/>
      <c r="TYL108" s="897"/>
      <c r="TYM108" s="897"/>
      <c r="TYN108" s="897"/>
      <c r="TYO108" s="897"/>
      <c r="TYP108" s="897"/>
      <c r="TYQ108" s="897"/>
      <c r="TYR108" s="895"/>
      <c r="TYS108" s="895"/>
      <c r="TYT108" s="896"/>
      <c r="TYU108" s="897"/>
      <c r="TYV108" s="897"/>
      <c r="TYW108" s="897"/>
      <c r="TYX108" s="897"/>
      <c r="TYY108" s="897"/>
      <c r="TYZ108" s="897"/>
      <c r="TZA108" s="897"/>
      <c r="TZB108" s="897"/>
      <c r="TZC108" s="895"/>
      <c r="TZD108" s="895"/>
      <c r="TZE108" s="896"/>
      <c r="TZF108" s="897"/>
      <c r="TZG108" s="897"/>
      <c r="TZH108" s="897"/>
      <c r="TZI108" s="897"/>
      <c r="TZJ108" s="897"/>
      <c r="TZK108" s="897"/>
      <c r="TZL108" s="897"/>
      <c r="TZM108" s="897"/>
      <c r="TZN108" s="895"/>
      <c r="TZO108" s="895"/>
      <c r="TZP108" s="896"/>
      <c r="TZQ108" s="897"/>
      <c r="TZR108" s="897"/>
      <c r="TZS108" s="897"/>
      <c r="TZT108" s="897"/>
      <c r="TZU108" s="897"/>
      <c r="TZV108" s="897"/>
      <c r="TZW108" s="897"/>
      <c r="TZX108" s="897"/>
      <c r="TZY108" s="895"/>
      <c r="TZZ108" s="895"/>
      <c r="UAA108" s="896"/>
      <c r="UAB108" s="897"/>
      <c r="UAC108" s="897"/>
      <c r="UAD108" s="897"/>
      <c r="UAE108" s="897"/>
      <c r="UAF108" s="897"/>
      <c r="UAG108" s="897"/>
      <c r="UAH108" s="897"/>
      <c r="UAI108" s="897"/>
      <c r="UAJ108" s="895"/>
      <c r="UAK108" s="895"/>
      <c r="UAL108" s="896"/>
      <c r="UAM108" s="897"/>
      <c r="UAN108" s="897"/>
      <c r="UAO108" s="897"/>
      <c r="UAP108" s="897"/>
      <c r="UAQ108" s="897"/>
      <c r="UAR108" s="897"/>
      <c r="UAS108" s="897"/>
      <c r="UAT108" s="897"/>
      <c r="UAU108" s="895"/>
      <c r="UAV108" s="895"/>
      <c r="UAW108" s="896"/>
      <c r="UAX108" s="897"/>
      <c r="UAY108" s="897"/>
      <c r="UAZ108" s="897"/>
      <c r="UBA108" s="897"/>
      <c r="UBB108" s="897"/>
      <c r="UBC108" s="897"/>
      <c r="UBD108" s="897"/>
      <c r="UBE108" s="897"/>
      <c r="UBF108" s="895"/>
      <c r="UBG108" s="895"/>
      <c r="UBH108" s="896"/>
      <c r="UBI108" s="897"/>
      <c r="UBJ108" s="897"/>
      <c r="UBK108" s="897"/>
      <c r="UBL108" s="897"/>
      <c r="UBM108" s="897"/>
      <c r="UBN108" s="897"/>
      <c r="UBO108" s="897"/>
      <c r="UBP108" s="897"/>
      <c r="UBQ108" s="895"/>
      <c r="UBR108" s="895"/>
      <c r="UBS108" s="896"/>
      <c r="UBT108" s="897"/>
      <c r="UBU108" s="897"/>
      <c r="UBV108" s="897"/>
      <c r="UBW108" s="897"/>
      <c r="UBX108" s="897"/>
      <c r="UBY108" s="897"/>
      <c r="UBZ108" s="897"/>
      <c r="UCA108" s="897"/>
      <c r="UCB108" s="895"/>
      <c r="UCC108" s="895"/>
      <c r="UCD108" s="896"/>
      <c r="UCE108" s="897"/>
      <c r="UCF108" s="897"/>
      <c r="UCG108" s="897"/>
      <c r="UCH108" s="897"/>
      <c r="UCI108" s="897"/>
      <c r="UCJ108" s="897"/>
      <c r="UCK108" s="897"/>
      <c r="UCL108" s="897"/>
      <c r="UCM108" s="895"/>
      <c r="UCN108" s="895"/>
      <c r="UCO108" s="896"/>
      <c r="UCP108" s="897"/>
      <c r="UCQ108" s="897"/>
      <c r="UCR108" s="897"/>
      <c r="UCS108" s="897"/>
      <c r="UCT108" s="897"/>
      <c r="UCU108" s="897"/>
      <c r="UCV108" s="897"/>
      <c r="UCW108" s="897"/>
      <c r="UCX108" s="895"/>
      <c r="UCY108" s="895"/>
      <c r="UCZ108" s="896"/>
      <c r="UDA108" s="897"/>
      <c r="UDB108" s="897"/>
      <c r="UDC108" s="897"/>
      <c r="UDD108" s="897"/>
      <c r="UDE108" s="897"/>
      <c r="UDF108" s="897"/>
      <c r="UDG108" s="897"/>
      <c r="UDH108" s="897"/>
      <c r="UDI108" s="895"/>
      <c r="UDJ108" s="895"/>
      <c r="UDK108" s="896"/>
      <c r="UDL108" s="897"/>
      <c r="UDM108" s="897"/>
      <c r="UDN108" s="897"/>
      <c r="UDO108" s="897"/>
      <c r="UDP108" s="897"/>
      <c r="UDQ108" s="897"/>
      <c r="UDR108" s="897"/>
      <c r="UDS108" s="897"/>
      <c r="UDT108" s="895"/>
      <c r="UDU108" s="895"/>
      <c r="UDV108" s="896"/>
      <c r="UDW108" s="897"/>
      <c r="UDX108" s="897"/>
      <c r="UDY108" s="897"/>
      <c r="UDZ108" s="897"/>
      <c r="UEA108" s="897"/>
      <c r="UEB108" s="897"/>
      <c r="UEC108" s="897"/>
      <c r="UED108" s="897"/>
      <c r="UEE108" s="895"/>
      <c r="UEF108" s="895"/>
      <c r="UEG108" s="896"/>
      <c r="UEH108" s="897"/>
      <c r="UEI108" s="897"/>
      <c r="UEJ108" s="897"/>
      <c r="UEK108" s="897"/>
      <c r="UEL108" s="897"/>
      <c r="UEM108" s="897"/>
      <c r="UEN108" s="897"/>
      <c r="UEO108" s="897"/>
      <c r="UEP108" s="895"/>
      <c r="UEQ108" s="895"/>
      <c r="UER108" s="896"/>
      <c r="UES108" s="897"/>
      <c r="UET108" s="897"/>
      <c r="UEU108" s="897"/>
      <c r="UEV108" s="897"/>
      <c r="UEW108" s="897"/>
      <c r="UEX108" s="897"/>
      <c r="UEY108" s="897"/>
      <c r="UEZ108" s="897"/>
      <c r="UFA108" s="895"/>
      <c r="UFB108" s="895"/>
      <c r="UFC108" s="896"/>
      <c r="UFD108" s="897"/>
      <c r="UFE108" s="897"/>
      <c r="UFF108" s="897"/>
      <c r="UFG108" s="897"/>
      <c r="UFH108" s="897"/>
      <c r="UFI108" s="897"/>
      <c r="UFJ108" s="897"/>
      <c r="UFK108" s="897"/>
      <c r="UFL108" s="895"/>
      <c r="UFM108" s="895"/>
      <c r="UFN108" s="896"/>
      <c r="UFO108" s="897"/>
      <c r="UFP108" s="897"/>
      <c r="UFQ108" s="897"/>
      <c r="UFR108" s="897"/>
      <c r="UFS108" s="897"/>
      <c r="UFT108" s="897"/>
      <c r="UFU108" s="897"/>
      <c r="UFV108" s="897"/>
      <c r="UFW108" s="895"/>
      <c r="UFX108" s="895"/>
      <c r="UFY108" s="896"/>
      <c r="UFZ108" s="897"/>
      <c r="UGA108" s="897"/>
      <c r="UGB108" s="897"/>
      <c r="UGC108" s="897"/>
      <c r="UGD108" s="897"/>
      <c r="UGE108" s="897"/>
      <c r="UGF108" s="897"/>
      <c r="UGG108" s="897"/>
      <c r="UGH108" s="895"/>
      <c r="UGI108" s="895"/>
      <c r="UGJ108" s="896"/>
      <c r="UGK108" s="897"/>
      <c r="UGL108" s="897"/>
      <c r="UGM108" s="897"/>
      <c r="UGN108" s="897"/>
      <c r="UGO108" s="897"/>
      <c r="UGP108" s="897"/>
      <c r="UGQ108" s="897"/>
      <c r="UGR108" s="897"/>
      <c r="UGS108" s="895"/>
      <c r="UGT108" s="895"/>
      <c r="UGU108" s="896"/>
      <c r="UGV108" s="897"/>
      <c r="UGW108" s="897"/>
      <c r="UGX108" s="897"/>
      <c r="UGY108" s="897"/>
      <c r="UGZ108" s="897"/>
      <c r="UHA108" s="897"/>
      <c r="UHB108" s="897"/>
      <c r="UHC108" s="897"/>
      <c r="UHD108" s="895"/>
      <c r="UHE108" s="895"/>
      <c r="UHF108" s="896"/>
      <c r="UHG108" s="897"/>
      <c r="UHH108" s="897"/>
      <c r="UHI108" s="897"/>
      <c r="UHJ108" s="897"/>
      <c r="UHK108" s="897"/>
      <c r="UHL108" s="897"/>
      <c r="UHM108" s="897"/>
      <c r="UHN108" s="897"/>
      <c r="UHO108" s="895"/>
      <c r="UHP108" s="895"/>
      <c r="UHQ108" s="896"/>
      <c r="UHR108" s="897"/>
      <c r="UHS108" s="897"/>
      <c r="UHT108" s="897"/>
      <c r="UHU108" s="897"/>
      <c r="UHV108" s="897"/>
      <c r="UHW108" s="897"/>
      <c r="UHX108" s="897"/>
      <c r="UHY108" s="897"/>
      <c r="UHZ108" s="895"/>
      <c r="UIA108" s="895"/>
      <c r="UIB108" s="896"/>
      <c r="UIC108" s="897"/>
      <c r="UID108" s="897"/>
      <c r="UIE108" s="897"/>
      <c r="UIF108" s="897"/>
      <c r="UIG108" s="897"/>
      <c r="UIH108" s="897"/>
      <c r="UII108" s="897"/>
      <c r="UIJ108" s="897"/>
      <c r="UIK108" s="895"/>
      <c r="UIL108" s="895"/>
      <c r="UIM108" s="896"/>
      <c r="UIN108" s="897"/>
      <c r="UIO108" s="897"/>
      <c r="UIP108" s="897"/>
      <c r="UIQ108" s="897"/>
      <c r="UIR108" s="897"/>
      <c r="UIS108" s="897"/>
      <c r="UIT108" s="897"/>
      <c r="UIU108" s="897"/>
      <c r="UIV108" s="895"/>
      <c r="UIW108" s="895"/>
      <c r="UIX108" s="896"/>
      <c r="UIY108" s="897"/>
      <c r="UIZ108" s="897"/>
      <c r="UJA108" s="897"/>
      <c r="UJB108" s="897"/>
      <c r="UJC108" s="897"/>
      <c r="UJD108" s="897"/>
      <c r="UJE108" s="897"/>
      <c r="UJF108" s="897"/>
      <c r="UJG108" s="895"/>
      <c r="UJH108" s="895"/>
      <c r="UJI108" s="896"/>
      <c r="UJJ108" s="897"/>
      <c r="UJK108" s="897"/>
      <c r="UJL108" s="897"/>
      <c r="UJM108" s="897"/>
      <c r="UJN108" s="897"/>
      <c r="UJO108" s="897"/>
      <c r="UJP108" s="897"/>
      <c r="UJQ108" s="897"/>
      <c r="UJR108" s="895"/>
      <c r="UJS108" s="895"/>
      <c r="UJT108" s="896"/>
      <c r="UJU108" s="897"/>
      <c r="UJV108" s="897"/>
      <c r="UJW108" s="897"/>
      <c r="UJX108" s="897"/>
      <c r="UJY108" s="897"/>
      <c r="UJZ108" s="897"/>
      <c r="UKA108" s="897"/>
      <c r="UKB108" s="897"/>
      <c r="UKC108" s="895"/>
      <c r="UKD108" s="895"/>
      <c r="UKE108" s="896"/>
      <c r="UKF108" s="897"/>
      <c r="UKG108" s="897"/>
      <c r="UKH108" s="897"/>
      <c r="UKI108" s="897"/>
      <c r="UKJ108" s="897"/>
      <c r="UKK108" s="897"/>
      <c r="UKL108" s="897"/>
      <c r="UKM108" s="897"/>
      <c r="UKN108" s="895"/>
      <c r="UKO108" s="895"/>
      <c r="UKP108" s="896"/>
      <c r="UKQ108" s="897"/>
      <c r="UKR108" s="897"/>
      <c r="UKS108" s="897"/>
      <c r="UKT108" s="897"/>
      <c r="UKU108" s="897"/>
      <c r="UKV108" s="897"/>
      <c r="UKW108" s="897"/>
      <c r="UKX108" s="897"/>
      <c r="UKY108" s="895"/>
      <c r="UKZ108" s="895"/>
      <c r="ULA108" s="896"/>
      <c r="ULB108" s="897"/>
      <c r="ULC108" s="897"/>
      <c r="ULD108" s="897"/>
      <c r="ULE108" s="897"/>
      <c r="ULF108" s="897"/>
      <c r="ULG108" s="897"/>
      <c r="ULH108" s="897"/>
      <c r="ULI108" s="897"/>
      <c r="ULJ108" s="895"/>
      <c r="ULK108" s="895"/>
      <c r="ULL108" s="896"/>
      <c r="ULM108" s="897"/>
      <c r="ULN108" s="897"/>
      <c r="ULO108" s="897"/>
      <c r="ULP108" s="897"/>
      <c r="ULQ108" s="897"/>
      <c r="ULR108" s="897"/>
      <c r="ULS108" s="897"/>
      <c r="ULT108" s="897"/>
      <c r="ULU108" s="895"/>
      <c r="ULV108" s="895"/>
      <c r="ULW108" s="896"/>
      <c r="ULX108" s="897"/>
      <c r="ULY108" s="897"/>
      <c r="ULZ108" s="897"/>
      <c r="UMA108" s="897"/>
      <c r="UMB108" s="897"/>
      <c r="UMC108" s="897"/>
      <c r="UMD108" s="897"/>
      <c r="UME108" s="897"/>
      <c r="UMF108" s="895"/>
      <c r="UMG108" s="895"/>
      <c r="UMH108" s="896"/>
      <c r="UMI108" s="897"/>
      <c r="UMJ108" s="897"/>
      <c r="UMK108" s="897"/>
      <c r="UML108" s="897"/>
      <c r="UMM108" s="897"/>
      <c r="UMN108" s="897"/>
      <c r="UMO108" s="897"/>
      <c r="UMP108" s="897"/>
      <c r="UMQ108" s="895"/>
      <c r="UMR108" s="895"/>
      <c r="UMS108" s="896"/>
      <c r="UMT108" s="897"/>
      <c r="UMU108" s="897"/>
      <c r="UMV108" s="897"/>
      <c r="UMW108" s="897"/>
      <c r="UMX108" s="897"/>
      <c r="UMY108" s="897"/>
      <c r="UMZ108" s="897"/>
      <c r="UNA108" s="897"/>
      <c r="UNB108" s="895"/>
      <c r="UNC108" s="895"/>
      <c r="UND108" s="896"/>
      <c r="UNE108" s="897"/>
      <c r="UNF108" s="897"/>
      <c r="UNG108" s="897"/>
      <c r="UNH108" s="897"/>
      <c r="UNI108" s="897"/>
      <c r="UNJ108" s="897"/>
      <c r="UNK108" s="897"/>
      <c r="UNL108" s="897"/>
      <c r="UNM108" s="895"/>
      <c r="UNN108" s="895"/>
      <c r="UNO108" s="896"/>
      <c r="UNP108" s="897"/>
      <c r="UNQ108" s="897"/>
      <c r="UNR108" s="897"/>
      <c r="UNS108" s="897"/>
      <c r="UNT108" s="897"/>
      <c r="UNU108" s="897"/>
      <c r="UNV108" s="897"/>
      <c r="UNW108" s="897"/>
      <c r="UNX108" s="895"/>
      <c r="UNY108" s="895"/>
      <c r="UNZ108" s="896"/>
      <c r="UOA108" s="897"/>
      <c r="UOB108" s="897"/>
      <c r="UOC108" s="897"/>
      <c r="UOD108" s="897"/>
      <c r="UOE108" s="897"/>
      <c r="UOF108" s="897"/>
      <c r="UOG108" s="897"/>
      <c r="UOH108" s="897"/>
      <c r="UOI108" s="895"/>
      <c r="UOJ108" s="895"/>
      <c r="UOK108" s="896"/>
      <c r="UOL108" s="897"/>
      <c r="UOM108" s="897"/>
      <c r="UON108" s="897"/>
      <c r="UOO108" s="897"/>
      <c r="UOP108" s="897"/>
      <c r="UOQ108" s="897"/>
      <c r="UOR108" s="897"/>
      <c r="UOS108" s="897"/>
      <c r="UOT108" s="895"/>
      <c r="UOU108" s="895"/>
      <c r="UOV108" s="896"/>
      <c r="UOW108" s="897"/>
      <c r="UOX108" s="897"/>
      <c r="UOY108" s="897"/>
      <c r="UOZ108" s="897"/>
      <c r="UPA108" s="897"/>
      <c r="UPB108" s="897"/>
      <c r="UPC108" s="897"/>
      <c r="UPD108" s="897"/>
      <c r="UPE108" s="895"/>
      <c r="UPF108" s="895"/>
      <c r="UPG108" s="896"/>
      <c r="UPH108" s="897"/>
      <c r="UPI108" s="897"/>
      <c r="UPJ108" s="897"/>
      <c r="UPK108" s="897"/>
      <c r="UPL108" s="897"/>
      <c r="UPM108" s="897"/>
      <c r="UPN108" s="897"/>
      <c r="UPO108" s="897"/>
      <c r="UPP108" s="895"/>
      <c r="UPQ108" s="895"/>
      <c r="UPR108" s="896"/>
      <c r="UPS108" s="897"/>
      <c r="UPT108" s="897"/>
      <c r="UPU108" s="897"/>
      <c r="UPV108" s="897"/>
      <c r="UPW108" s="897"/>
      <c r="UPX108" s="897"/>
      <c r="UPY108" s="897"/>
      <c r="UPZ108" s="897"/>
      <c r="UQA108" s="895"/>
      <c r="UQB108" s="895"/>
      <c r="UQC108" s="896"/>
      <c r="UQD108" s="897"/>
      <c r="UQE108" s="897"/>
      <c r="UQF108" s="897"/>
      <c r="UQG108" s="897"/>
      <c r="UQH108" s="897"/>
      <c r="UQI108" s="897"/>
      <c r="UQJ108" s="897"/>
      <c r="UQK108" s="897"/>
      <c r="UQL108" s="895"/>
      <c r="UQM108" s="895"/>
      <c r="UQN108" s="896"/>
      <c r="UQO108" s="897"/>
      <c r="UQP108" s="897"/>
      <c r="UQQ108" s="897"/>
      <c r="UQR108" s="897"/>
      <c r="UQS108" s="897"/>
      <c r="UQT108" s="897"/>
      <c r="UQU108" s="897"/>
      <c r="UQV108" s="897"/>
      <c r="UQW108" s="895"/>
      <c r="UQX108" s="895"/>
      <c r="UQY108" s="896"/>
      <c r="UQZ108" s="897"/>
      <c r="URA108" s="897"/>
      <c r="URB108" s="897"/>
      <c r="URC108" s="897"/>
      <c r="URD108" s="897"/>
      <c r="URE108" s="897"/>
      <c r="URF108" s="897"/>
      <c r="URG108" s="897"/>
      <c r="URH108" s="895"/>
      <c r="URI108" s="895"/>
      <c r="URJ108" s="896"/>
      <c r="URK108" s="897"/>
      <c r="URL108" s="897"/>
      <c r="URM108" s="897"/>
      <c r="URN108" s="897"/>
      <c r="URO108" s="897"/>
      <c r="URP108" s="897"/>
      <c r="URQ108" s="897"/>
      <c r="URR108" s="897"/>
      <c r="URS108" s="895"/>
      <c r="URT108" s="895"/>
      <c r="URU108" s="896"/>
      <c r="URV108" s="897"/>
      <c r="URW108" s="897"/>
      <c r="URX108" s="897"/>
      <c r="URY108" s="897"/>
      <c r="URZ108" s="897"/>
      <c r="USA108" s="897"/>
      <c r="USB108" s="897"/>
      <c r="USC108" s="897"/>
      <c r="USD108" s="895"/>
      <c r="USE108" s="895"/>
      <c r="USF108" s="896"/>
      <c r="USG108" s="897"/>
      <c r="USH108" s="897"/>
      <c r="USI108" s="897"/>
      <c r="USJ108" s="897"/>
      <c r="USK108" s="897"/>
      <c r="USL108" s="897"/>
      <c r="USM108" s="897"/>
      <c r="USN108" s="897"/>
      <c r="USO108" s="895"/>
      <c r="USP108" s="895"/>
      <c r="USQ108" s="896"/>
      <c r="USR108" s="897"/>
      <c r="USS108" s="897"/>
      <c r="UST108" s="897"/>
      <c r="USU108" s="897"/>
      <c r="USV108" s="897"/>
      <c r="USW108" s="897"/>
      <c r="USX108" s="897"/>
      <c r="USY108" s="897"/>
      <c r="USZ108" s="895"/>
      <c r="UTA108" s="895"/>
      <c r="UTB108" s="896"/>
      <c r="UTC108" s="897"/>
      <c r="UTD108" s="897"/>
      <c r="UTE108" s="897"/>
      <c r="UTF108" s="897"/>
      <c r="UTG108" s="897"/>
      <c r="UTH108" s="897"/>
      <c r="UTI108" s="897"/>
      <c r="UTJ108" s="897"/>
      <c r="UTK108" s="895"/>
      <c r="UTL108" s="895"/>
      <c r="UTM108" s="896"/>
      <c r="UTN108" s="897"/>
      <c r="UTO108" s="897"/>
      <c r="UTP108" s="897"/>
      <c r="UTQ108" s="897"/>
      <c r="UTR108" s="897"/>
      <c r="UTS108" s="897"/>
      <c r="UTT108" s="897"/>
      <c r="UTU108" s="897"/>
      <c r="UTV108" s="895"/>
      <c r="UTW108" s="895"/>
      <c r="UTX108" s="896"/>
      <c r="UTY108" s="897"/>
      <c r="UTZ108" s="897"/>
      <c r="UUA108" s="897"/>
      <c r="UUB108" s="897"/>
      <c r="UUC108" s="897"/>
      <c r="UUD108" s="897"/>
      <c r="UUE108" s="897"/>
      <c r="UUF108" s="897"/>
      <c r="UUG108" s="895"/>
      <c r="UUH108" s="895"/>
      <c r="UUI108" s="896"/>
      <c r="UUJ108" s="897"/>
      <c r="UUK108" s="897"/>
      <c r="UUL108" s="897"/>
      <c r="UUM108" s="897"/>
      <c r="UUN108" s="897"/>
      <c r="UUO108" s="897"/>
      <c r="UUP108" s="897"/>
      <c r="UUQ108" s="897"/>
      <c r="UUR108" s="895"/>
      <c r="UUS108" s="895"/>
      <c r="UUT108" s="896"/>
      <c r="UUU108" s="897"/>
      <c r="UUV108" s="897"/>
      <c r="UUW108" s="897"/>
      <c r="UUX108" s="897"/>
      <c r="UUY108" s="897"/>
      <c r="UUZ108" s="897"/>
      <c r="UVA108" s="897"/>
      <c r="UVB108" s="897"/>
      <c r="UVC108" s="895"/>
      <c r="UVD108" s="895"/>
      <c r="UVE108" s="896"/>
      <c r="UVF108" s="897"/>
      <c r="UVG108" s="897"/>
      <c r="UVH108" s="897"/>
      <c r="UVI108" s="897"/>
      <c r="UVJ108" s="897"/>
      <c r="UVK108" s="897"/>
      <c r="UVL108" s="897"/>
      <c r="UVM108" s="897"/>
      <c r="UVN108" s="895"/>
      <c r="UVO108" s="895"/>
      <c r="UVP108" s="896"/>
      <c r="UVQ108" s="897"/>
      <c r="UVR108" s="897"/>
      <c r="UVS108" s="897"/>
      <c r="UVT108" s="897"/>
      <c r="UVU108" s="897"/>
      <c r="UVV108" s="897"/>
      <c r="UVW108" s="897"/>
      <c r="UVX108" s="897"/>
      <c r="UVY108" s="895"/>
      <c r="UVZ108" s="895"/>
      <c r="UWA108" s="896"/>
      <c r="UWB108" s="897"/>
      <c r="UWC108" s="897"/>
      <c r="UWD108" s="897"/>
      <c r="UWE108" s="897"/>
      <c r="UWF108" s="897"/>
      <c r="UWG108" s="897"/>
      <c r="UWH108" s="897"/>
      <c r="UWI108" s="897"/>
      <c r="UWJ108" s="895"/>
      <c r="UWK108" s="895"/>
      <c r="UWL108" s="896"/>
      <c r="UWM108" s="897"/>
      <c r="UWN108" s="897"/>
      <c r="UWO108" s="897"/>
      <c r="UWP108" s="897"/>
      <c r="UWQ108" s="897"/>
      <c r="UWR108" s="897"/>
      <c r="UWS108" s="897"/>
      <c r="UWT108" s="897"/>
      <c r="UWU108" s="895"/>
      <c r="UWV108" s="895"/>
      <c r="UWW108" s="896"/>
      <c r="UWX108" s="897"/>
      <c r="UWY108" s="897"/>
      <c r="UWZ108" s="897"/>
      <c r="UXA108" s="897"/>
      <c r="UXB108" s="897"/>
      <c r="UXC108" s="897"/>
      <c r="UXD108" s="897"/>
      <c r="UXE108" s="897"/>
      <c r="UXF108" s="895"/>
      <c r="UXG108" s="895"/>
      <c r="UXH108" s="896"/>
      <c r="UXI108" s="897"/>
      <c r="UXJ108" s="897"/>
      <c r="UXK108" s="897"/>
      <c r="UXL108" s="897"/>
      <c r="UXM108" s="897"/>
      <c r="UXN108" s="897"/>
      <c r="UXO108" s="897"/>
      <c r="UXP108" s="897"/>
      <c r="UXQ108" s="895"/>
      <c r="UXR108" s="895"/>
      <c r="UXS108" s="896"/>
      <c r="UXT108" s="897"/>
      <c r="UXU108" s="897"/>
      <c r="UXV108" s="897"/>
      <c r="UXW108" s="897"/>
      <c r="UXX108" s="897"/>
      <c r="UXY108" s="897"/>
      <c r="UXZ108" s="897"/>
      <c r="UYA108" s="897"/>
      <c r="UYB108" s="895"/>
      <c r="UYC108" s="895"/>
      <c r="UYD108" s="896"/>
      <c r="UYE108" s="897"/>
      <c r="UYF108" s="897"/>
      <c r="UYG108" s="897"/>
      <c r="UYH108" s="897"/>
      <c r="UYI108" s="897"/>
      <c r="UYJ108" s="897"/>
      <c r="UYK108" s="897"/>
      <c r="UYL108" s="897"/>
      <c r="UYM108" s="895"/>
      <c r="UYN108" s="895"/>
      <c r="UYO108" s="896"/>
      <c r="UYP108" s="897"/>
      <c r="UYQ108" s="897"/>
      <c r="UYR108" s="897"/>
      <c r="UYS108" s="897"/>
      <c r="UYT108" s="897"/>
      <c r="UYU108" s="897"/>
      <c r="UYV108" s="897"/>
      <c r="UYW108" s="897"/>
      <c r="UYX108" s="895"/>
      <c r="UYY108" s="895"/>
      <c r="UYZ108" s="896"/>
      <c r="UZA108" s="897"/>
      <c r="UZB108" s="897"/>
      <c r="UZC108" s="897"/>
      <c r="UZD108" s="897"/>
      <c r="UZE108" s="897"/>
      <c r="UZF108" s="897"/>
      <c r="UZG108" s="897"/>
      <c r="UZH108" s="897"/>
      <c r="UZI108" s="895"/>
      <c r="UZJ108" s="895"/>
      <c r="UZK108" s="896"/>
      <c r="UZL108" s="897"/>
      <c r="UZM108" s="897"/>
      <c r="UZN108" s="897"/>
      <c r="UZO108" s="897"/>
      <c r="UZP108" s="897"/>
      <c r="UZQ108" s="897"/>
      <c r="UZR108" s="897"/>
      <c r="UZS108" s="897"/>
      <c r="UZT108" s="895"/>
      <c r="UZU108" s="895"/>
      <c r="UZV108" s="896"/>
      <c r="UZW108" s="897"/>
      <c r="UZX108" s="897"/>
      <c r="UZY108" s="897"/>
      <c r="UZZ108" s="897"/>
      <c r="VAA108" s="897"/>
      <c r="VAB108" s="897"/>
      <c r="VAC108" s="897"/>
      <c r="VAD108" s="897"/>
      <c r="VAE108" s="895"/>
      <c r="VAF108" s="895"/>
      <c r="VAG108" s="896"/>
      <c r="VAH108" s="897"/>
      <c r="VAI108" s="897"/>
      <c r="VAJ108" s="897"/>
      <c r="VAK108" s="897"/>
      <c r="VAL108" s="897"/>
      <c r="VAM108" s="897"/>
      <c r="VAN108" s="897"/>
      <c r="VAO108" s="897"/>
      <c r="VAP108" s="895"/>
      <c r="VAQ108" s="895"/>
      <c r="VAR108" s="896"/>
      <c r="VAS108" s="897"/>
      <c r="VAT108" s="897"/>
      <c r="VAU108" s="897"/>
      <c r="VAV108" s="897"/>
      <c r="VAW108" s="897"/>
      <c r="VAX108" s="897"/>
      <c r="VAY108" s="897"/>
      <c r="VAZ108" s="897"/>
      <c r="VBA108" s="895"/>
      <c r="VBB108" s="895"/>
      <c r="VBC108" s="896"/>
      <c r="VBD108" s="897"/>
      <c r="VBE108" s="897"/>
      <c r="VBF108" s="897"/>
      <c r="VBG108" s="897"/>
      <c r="VBH108" s="897"/>
      <c r="VBI108" s="897"/>
      <c r="VBJ108" s="897"/>
      <c r="VBK108" s="897"/>
      <c r="VBL108" s="895"/>
      <c r="VBM108" s="895"/>
      <c r="VBN108" s="896"/>
      <c r="VBO108" s="897"/>
      <c r="VBP108" s="897"/>
      <c r="VBQ108" s="897"/>
      <c r="VBR108" s="897"/>
      <c r="VBS108" s="897"/>
      <c r="VBT108" s="897"/>
      <c r="VBU108" s="897"/>
      <c r="VBV108" s="897"/>
      <c r="VBW108" s="895"/>
      <c r="VBX108" s="895"/>
      <c r="VBY108" s="896"/>
      <c r="VBZ108" s="897"/>
      <c r="VCA108" s="897"/>
      <c r="VCB108" s="897"/>
      <c r="VCC108" s="897"/>
      <c r="VCD108" s="897"/>
      <c r="VCE108" s="897"/>
      <c r="VCF108" s="897"/>
      <c r="VCG108" s="897"/>
      <c r="VCH108" s="895"/>
      <c r="VCI108" s="895"/>
      <c r="VCJ108" s="896"/>
      <c r="VCK108" s="897"/>
      <c r="VCL108" s="897"/>
      <c r="VCM108" s="897"/>
      <c r="VCN108" s="897"/>
      <c r="VCO108" s="897"/>
      <c r="VCP108" s="897"/>
      <c r="VCQ108" s="897"/>
      <c r="VCR108" s="897"/>
      <c r="VCS108" s="895"/>
      <c r="VCT108" s="895"/>
      <c r="VCU108" s="896"/>
      <c r="VCV108" s="897"/>
      <c r="VCW108" s="897"/>
      <c r="VCX108" s="897"/>
      <c r="VCY108" s="897"/>
      <c r="VCZ108" s="897"/>
      <c r="VDA108" s="897"/>
      <c r="VDB108" s="897"/>
      <c r="VDC108" s="897"/>
      <c r="VDD108" s="895"/>
      <c r="VDE108" s="895"/>
      <c r="VDF108" s="896"/>
      <c r="VDG108" s="897"/>
      <c r="VDH108" s="897"/>
      <c r="VDI108" s="897"/>
      <c r="VDJ108" s="897"/>
      <c r="VDK108" s="897"/>
      <c r="VDL108" s="897"/>
      <c r="VDM108" s="897"/>
      <c r="VDN108" s="897"/>
      <c r="VDO108" s="895"/>
      <c r="VDP108" s="895"/>
      <c r="VDQ108" s="896"/>
      <c r="VDR108" s="897"/>
      <c r="VDS108" s="897"/>
      <c r="VDT108" s="897"/>
      <c r="VDU108" s="897"/>
      <c r="VDV108" s="897"/>
      <c r="VDW108" s="897"/>
      <c r="VDX108" s="897"/>
      <c r="VDY108" s="897"/>
      <c r="VDZ108" s="895"/>
      <c r="VEA108" s="895"/>
      <c r="VEB108" s="896"/>
      <c r="VEC108" s="897"/>
      <c r="VED108" s="897"/>
      <c r="VEE108" s="897"/>
      <c r="VEF108" s="897"/>
      <c r="VEG108" s="897"/>
      <c r="VEH108" s="897"/>
      <c r="VEI108" s="897"/>
      <c r="VEJ108" s="897"/>
      <c r="VEK108" s="895"/>
      <c r="VEL108" s="895"/>
      <c r="VEM108" s="896"/>
      <c r="VEN108" s="897"/>
      <c r="VEO108" s="897"/>
      <c r="VEP108" s="897"/>
      <c r="VEQ108" s="897"/>
      <c r="VER108" s="897"/>
      <c r="VES108" s="897"/>
      <c r="VET108" s="897"/>
      <c r="VEU108" s="897"/>
      <c r="VEV108" s="895"/>
      <c r="VEW108" s="895"/>
      <c r="VEX108" s="896"/>
      <c r="VEY108" s="897"/>
      <c r="VEZ108" s="897"/>
      <c r="VFA108" s="897"/>
      <c r="VFB108" s="897"/>
      <c r="VFC108" s="897"/>
      <c r="VFD108" s="897"/>
      <c r="VFE108" s="897"/>
      <c r="VFF108" s="897"/>
      <c r="VFG108" s="895"/>
      <c r="VFH108" s="895"/>
      <c r="VFI108" s="896"/>
      <c r="VFJ108" s="897"/>
      <c r="VFK108" s="897"/>
      <c r="VFL108" s="897"/>
      <c r="VFM108" s="897"/>
      <c r="VFN108" s="897"/>
      <c r="VFO108" s="897"/>
      <c r="VFP108" s="897"/>
      <c r="VFQ108" s="897"/>
      <c r="VFR108" s="895"/>
      <c r="VFS108" s="895"/>
      <c r="VFT108" s="896"/>
      <c r="VFU108" s="897"/>
      <c r="VFV108" s="897"/>
      <c r="VFW108" s="897"/>
      <c r="VFX108" s="897"/>
      <c r="VFY108" s="897"/>
      <c r="VFZ108" s="897"/>
      <c r="VGA108" s="897"/>
      <c r="VGB108" s="897"/>
      <c r="VGC108" s="895"/>
      <c r="VGD108" s="895"/>
      <c r="VGE108" s="896"/>
      <c r="VGF108" s="897"/>
      <c r="VGG108" s="897"/>
      <c r="VGH108" s="897"/>
      <c r="VGI108" s="897"/>
      <c r="VGJ108" s="897"/>
      <c r="VGK108" s="897"/>
      <c r="VGL108" s="897"/>
      <c r="VGM108" s="897"/>
      <c r="VGN108" s="895"/>
      <c r="VGO108" s="895"/>
      <c r="VGP108" s="896"/>
      <c r="VGQ108" s="897"/>
      <c r="VGR108" s="897"/>
      <c r="VGS108" s="897"/>
      <c r="VGT108" s="897"/>
      <c r="VGU108" s="897"/>
      <c r="VGV108" s="897"/>
      <c r="VGW108" s="897"/>
      <c r="VGX108" s="897"/>
      <c r="VGY108" s="895"/>
      <c r="VGZ108" s="895"/>
      <c r="VHA108" s="896"/>
      <c r="VHB108" s="897"/>
      <c r="VHC108" s="897"/>
      <c r="VHD108" s="897"/>
      <c r="VHE108" s="897"/>
      <c r="VHF108" s="897"/>
      <c r="VHG108" s="897"/>
      <c r="VHH108" s="897"/>
      <c r="VHI108" s="897"/>
      <c r="VHJ108" s="895"/>
      <c r="VHK108" s="895"/>
      <c r="VHL108" s="896"/>
      <c r="VHM108" s="897"/>
      <c r="VHN108" s="897"/>
      <c r="VHO108" s="897"/>
      <c r="VHP108" s="897"/>
      <c r="VHQ108" s="897"/>
      <c r="VHR108" s="897"/>
      <c r="VHS108" s="897"/>
      <c r="VHT108" s="897"/>
      <c r="VHU108" s="895"/>
      <c r="VHV108" s="895"/>
      <c r="VHW108" s="896"/>
      <c r="VHX108" s="897"/>
      <c r="VHY108" s="897"/>
      <c r="VHZ108" s="897"/>
      <c r="VIA108" s="897"/>
      <c r="VIB108" s="897"/>
      <c r="VIC108" s="897"/>
      <c r="VID108" s="897"/>
      <c r="VIE108" s="897"/>
      <c r="VIF108" s="895"/>
      <c r="VIG108" s="895"/>
      <c r="VIH108" s="896"/>
      <c r="VII108" s="897"/>
      <c r="VIJ108" s="897"/>
      <c r="VIK108" s="897"/>
      <c r="VIL108" s="897"/>
      <c r="VIM108" s="897"/>
      <c r="VIN108" s="897"/>
      <c r="VIO108" s="897"/>
      <c r="VIP108" s="897"/>
      <c r="VIQ108" s="895"/>
      <c r="VIR108" s="895"/>
      <c r="VIS108" s="896"/>
      <c r="VIT108" s="897"/>
      <c r="VIU108" s="897"/>
      <c r="VIV108" s="897"/>
      <c r="VIW108" s="897"/>
      <c r="VIX108" s="897"/>
      <c r="VIY108" s="897"/>
      <c r="VIZ108" s="897"/>
      <c r="VJA108" s="897"/>
      <c r="VJB108" s="895"/>
      <c r="VJC108" s="895"/>
      <c r="VJD108" s="896"/>
      <c r="VJE108" s="897"/>
      <c r="VJF108" s="897"/>
      <c r="VJG108" s="897"/>
      <c r="VJH108" s="897"/>
      <c r="VJI108" s="897"/>
      <c r="VJJ108" s="897"/>
      <c r="VJK108" s="897"/>
      <c r="VJL108" s="897"/>
      <c r="VJM108" s="895"/>
      <c r="VJN108" s="895"/>
      <c r="VJO108" s="896"/>
      <c r="VJP108" s="897"/>
      <c r="VJQ108" s="897"/>
      <c r="VJR108" s="897"/>
      <c r="VJS108" s="897"/>
      <c r="VJT108" s="897"/>
      <c r="VJU108" s="897"/>
      <c r="VJV108" s="897"/>
      <c r="VJW108" s="897"/>
      <c r="VJX108" s="895"/>
      <c r="VJY108" s="895"/>
      <c r="VJZ108" s="896"/>
      <c r="VKA108" s="897"/>
      <c r="VKB108" s="897"/>
      <c r="VKC108" s="897"/>
      <c r="VKD108" s="897"/>
      <c r="VKE108" s="897"/>
      <c r="VKF108" s="897"/>
      <c r="VKG108" s="897"/>
      <c r="VKH108" s="897"/>
      <c r="VKI108" s="895"/>
      <c r="VKJ108" s="895"/>
      <c r="VKK108" s="896"/>
      <c r="VKL108" s="897"/>
      <c r="VKM108" s="897"/>
      <c r="VKN108" s="897"/>
      <c r="VKO108" s="897"/>
      <c r="VKP108" s="897"/>
      <c r="VKQ108" s="897"/>
      <c r="VKR108" s="897"/>
      <c r="VKS108" s="897"/>
      <c r="VKT108" s="895"/>
      <c r="VKU108" s="895"/>
      <c r="VKV108" s="896"/>
      <c r="VKW108" s="897"/>
      <c r="VKX108" s="897"/>
      <c r="VKY108" s="897"/>
      <c r="VKZ108" s="897"/>
      <c r="VLA108" s="897"/>
      <c r="VLB108" s="897"/>
      <c r="VLC108" s="897"/>
      <c r="VLD108" s="897"/>
      <c r="VLE108" s="895"/>
      <c r="VLF108" s="895"/>
      <c r="VLG108" s="896"/>
      <c r="VLH108" s="897"/>
      <c r="VLI108" s="897"/>
      <c r="VLJ108" s="897"/>
      <c r="VLK108" s="897"/>
      <c r="VLL108" s="897"/>
      <c r="VLM108" s="897"/>
      <c r="VLN108" s="897"/>
      <c r="VLO108" s="897"/>
      <c r="VLP108" s="895"/>
      <c r="VLQ108" s="895"/>
      <c r="VLR108" s="896"/>
      <c r="VLS108" s="897"/>
      <c r="VLT108" s="897"/>
      <c r="VLU108" s="897"/>
      <c r="VLV108" s="897"/>
      <c r="VLW108" s="897"/>
      <c r="VLX108" s="897"/>
      <c r="VLY108" s="897"/>
      <c r="VLZ108" s="897"/>
      <c r="VMA108" s="895"/>
      <c r="VMB108" s="895"/>
      <c r="VMC108" s="896"/>
      <c r="VMD108" s="897"/>
      <c r="VME108" s="897"/>
      <c r="VMF108" s="897"/>
      <c r="VMG108" s="897"/>
      <c r="VMH108" s="897"/>
      <c r="VMI108" s="897"/>
      <c r="VMJ108" s="897"/>
      <c r="VMK108" s="897"/>
      <c r="VML108" s="895"/>
      <c r="VMM108" s="895"/>
      <c r="VMN108" s="896"/>
      <c r="VMO108" s="897"/>
      <c r="VMP108" s="897"/>
      <c r="VMQ108" s="897"/>
      <c r="VMR108" s="897"/>
      <c r="VMS108" s="897"/>
      <c r="VMT108" s="897"/>
      <c r="VMU108" s="897"/>
      <c r="VMV108" s="897"/>
      <c r="VMW108" s="895"/>
      <c r="VMX108" s="895"/>
      <c r="VMY108" s="896"/>
      <c r="VMZ108" s="897"/>
      <c r="VNA108" s="897"/>
      <c r="VNB108" s="897"/>
      <c r="VNC108" s="897"/>
      <c r="VND108" s="897"/>
      <c r="VNE108" s="897"/>
      <c r="VNF108" s="897"/>
      <c r="VNG108" s="897"/>
      <c r="VNH108" s="895"/>
      <c r="VNI108" s="895"/>
      <c r="VNJ108" s="896"/>
      <c r="VNK108" s="897"/>
      <c r="VNL108" s="897"/>
      <c r="VNM108" s="897"/>
      <c r="VNN108" s="897"/>
      <c r="VNO108" s="897"/>
      <c r="VNP108" s="897"/>
      <c r="VNQ108" s="897"/>
      <c r="VNR108" s="897"/>
      <c r="VNS108" s="895"/>
      <c r="VNT108" s="895"/>
      <c r="VNU108" s="896"/>
      <c r="VNV108" s="897"/>
      <c r="VNW108" s="897"/>
      <c r="VNX108" s="897"/>
      <c r="VNY108" s="897"/>
      <c r="VNZ108" s="897"/>
      <c r="VOA108" s="897"/>
      <c r="VOB108" s="897"/>
      <c r="VOC108" s="897"/>
      <c r="VOD108" s="895"/>
      <c r="VOE108" s="895"/>
      <c r="VOF108" s="896"/>
      <c r="VOG108" s="897"/>
      <c r="VOH108" s="897"/>
      <c r="VOI108" s="897"/>
      <c r="VOJ108" s="897"/>
      <c r="VOK108" s="897"/>
      <c r="VOL108" s="897"/>
      <c r="VOM108" s="897"/>
      <c r="VON108" s="897"/>
      <c r="VOO108" s="895"/>
      <c r="VOP108" s="895"/>
      <c r="VOQ108" s="896"/>
      <c r="VOR108" s="897"/>
      <c r="VOS108" s="897"/>
      <c r="VOT108" s="897"/>
      <c r="VOU108" s="897"/>
      <c r="VOV108" s="897"/>
      <c r="VOW108" s="897"/>
      <c r="VOX108" s="897"/>
      <c r="VOY108" s="897"/>
      <c r="VOZ108" s="895"/>
      <c r="VPA108" s="895"/>
      <c r="VPB108" s="896"/>
      <c r="VPC108" s="897"/>
      <c r="VPD108" s="897"/>
      <c r="VPE108" s="897"/>
      <c r="VPF108" s="897"/>
      <c r="VPG108" s="897"/>
      <c r="VPH108" s="897"/>
      <c r="VPI108" s="897"/>
      <c r="VPJ108" s="897"/>
      <c r="VPK108" s="895"/>
      <c r="VPL108" s="895"/>
      <c r="VPM108" s="896"/>
      <c r="VPN108" s="897"/>
      <c r="VPO108" s="897"/>
      <c r="VPP108" s="897"/>
      <c r="VPQ108" s="897"/>
      <c r="VPR108" s="897"/>
      <c r="VPS108" s="897"/>
      <c r="VPT108" s="897"/>
      <c r="VPU108" s="897"/>
      <c r="VPV108" s="895"/>
      <c r="VPW108" s="895"/>
      <c r="VPX108" s="896"/>
      <c r="VPY108" s="897"/>
      <c r="VPZ108" s="897"/>
      <c r="VQA108" s="897"/>
      <c r="VQB108" s="897"/>
      <c r="VQC108" s="897"/>
      <c r="VQD108" s="897"/>
      <c r="VQE108" s="897"/>
      <c r="VQF108" s="897"/>
      <c r="VQG108" s="895"/>
      <c r="VQH108" s="895"/>
      <c r="VQI108" s="896"/>
      <c r="VQJ108" s="897"/>
      <c r="VQK108" s="897"/>
      <c r="VQL108" s="897"/>
      <c r="VQM108" s="897"/>
      <c r="VQN108" s="897"/>
      <c r="VQO108" s="897"/>
      <c r="VQP108" s="897"/>
      <c r="VQQ108" s="897"/>
      <c r="VQR108" s="895"/>
      <c r="VQS108" s="895"/>
      <c r="VQT108" s="896"/>
      <c r="VQU108" s="897"/>
      <c r="VQV108" s="897"/>
      <c r="VQW108" s="897"/>
      <c r="VQX108" s="897"/>
      <c r="VQY108" s="897"/>
      <c r="VQZ108" s="897"/>
      <c r="VRA108" s="897"/>
      <c r="VRB108" s="897"/>
      <c r="VRC108" s="895"/>
      <c r="VRD108" s="895"/>
      <c r="VRE108" s="896"/>
      <c r="VRF108" s="897"/>
      <c r="VRG108" s="897"/>
      <c r="VRH108" s="897"/>
      <c r="VRI108" s="897"/>
      <c r="VRJ108" s="897"/>
      <c r="VRK108" s="897"/>
      <c r="VRL108" s="897"/>
      <c r="VRM108" s="897"/>
      <c r="VRN108" s="895"/>
      <c r="VRO108" s="895"/>
      <c r="VRP108" s="896"/>
      <c r="VRQ108" s="897"/>
      <c r="VRR108" s="897"/>
      <c r="VRS108" s="897"/>
      <c r="VRT108" s="897"/>
      <c r="VRU108" s="897"/>
      <c r="VRV108" s="897"/>
      <c r="VRW108" s="897"/>
      <c r="VRX108" s="897"/>
      <c r="VRY108" s="895"/>
      <c r="VRZ108" s="895"/>
      <c r="VSA108" s="896"/>
      <c r="VSB108" s="897"/>
      <c r="VSC108" s="897"/>
      <c r="VSD108" s="897"/>
      <c r="VSE108" s="897"/>
      <c r="VSF108" s="897"/>
      <c r="VSG108" s="897"/>
      <c r="VSH108" s="897"/>
      <c r="VSI108" s="897"/>
      <c r="VSJ108" s="895"/>
      <c r="VSK108" s="895"/>
      <c r="VSL108" s="896"/>
      <c r="VSM108" s="897"/>
      <c r="VSN108" s="897"/>
      <c r="VSO108" s="897"/>
      <c r="VSP108" s="897"/>
      <c r="VSQ108" s="897"/>
      <c r="VSR108" s="897"/>
      <c r="VSS108" s="897"/>
      <c r="VST108" s="897"/>
      <c r="VSU108" s="895"/>
      <c r="VSV108" s="895"/>
      <c r="VSW108" s="896"/>
      <c r="VSX108" s="897"/>
      <c r="VSY108" s="897"/>
      <c r="VSZ108" s="897"/>
      <c r="VTA108" s="897"/>
      <c r="VTB108" s="897"/>
      <c r="VTC108" s="897"/>
      <c r="VTD108" s="897"/>
      <c r="VTE108" s="897"/>
      <c r="VTF108" s="895"/>
      <c r="VTG108" s="895"/>
      <c r="VTH108" s="896"/>
      <c r="VTI108" s="897"/>
      <c r="VTJ108" s="897"/>
      <c r="VTK108" s="897"/>
      <c r="VTL108" s="897"/>
      <c r="VTM108" s="897"/>
      <c r="VTN108" s="897"/>
      <c r="VTO108" s="897"/>
      <c r="VTP108" s="897"/>
      <c r="VTQ108" s="895"/>
      <c r="VTR108" s="895"/>
      <c r="VTS108" s="896"/>
      <c r="VTT108" s="897"/>
      <c r="VTU108" s="897"/>
      <c r="VTV108" s="897"/>
      <c r="VTW108" s="897"/>
      <c r="VTX108" s="897"/>
      <c r="VTY108" s="897"/>
      <c r="VTZ108" s="897"/>
      <c r="VUA108" s="897"/>
      <c r="VUB108" s="895"/>
      <c r="VUC108" s="895"/>
      <c r="VUD108" s="896"/>
      <c r="VUE108" s="897"/>
      <c r="VUF108" s="897"/>
      <c r="VUG108" s="897"/>
      <c r="VUH108" s="897"/>
      <c r="VUI108" s="897"/>
      <c r="VUJ108" s="897"/>
      <c r="VUK108" s="897"/>
      <c r="VUL108" s="897"/>
      <c r="VUM108" s="895"/>
      <c r="VUN108" s="895"/>
      <c r="VUO108" s="896"/>
      <c r="VUP108" s="897"/>
      <c r="VUQ108" s="897"/>
      <c r="VUR108" s="897"/>
      <c r="VUS108" s="897"/>
      <c r="VUT108" s="897"/>
      <c r="VUU108" s="897"/>
      <c r="VUV108" s="897"/>
      <c r="VUW108" s="897"/>
      <c r="VUX108" s="895"/>
      <c r="VUY108" s="895"/>
      <c r="VUZ108" s="896"/>
      <c r="VVA108" s="897"/>
      <c r="VVB108" s="897"/>
      <c r="VVC108" s="897"/>
      <c r="VVD108" s="897"/>
      <c r="VVE108" s="897"/>
      <c r="VVF108" s="897"/>
      <c r="VVG108" s="897"/>
      <c r="VVH108" s="897"/>
      <c r="VVI108" s="895"/>
      <c r="VVJ108" s="895"/>
      <c r="VVK108" s="896"/>
      <c r="VVL108" s="897"/>
      <c r="VVM108" s="897"/>
      <c r="VVN108" s="897"/>
      <c r="VVO108" s="897"/>
      <c r="VVP108" s="897"/>
      <c r="VVQ108" s="897"/>
      <c r="VVR108" s="897"/>
      <c r="VVS108" s="897"/>
      <c r="VVT108" s="895"/>
      <c r="VVU108" s="895"/>
      <c r="VVV108" s="896"/>
      <c r="VVW108" s="897"/>
      <c r="VVX108" s="897"/>
      <c r="VVY108" s="897"/>
      <c r="VVZ108" s="897"/>
      <c r="VWA108" s="897"/>
      <c r="VWB108" s="897"/>
      <c r="VWC108" s="897"/>
      <c r="VWD108" s="897"/>
      <c r="VWE108" s="895"/>
      <c r="VWF108" s="895"/>
      <c r="VWG108" s="896"/>
      <c r="VWH108" s="897"/>
      <c r="VWI108" s="897"/>
      <c r="VWJ108" s="897"/>
      <c r="VWK108" s="897"/>
      <c r="VWL108" s="897"/>
      <c r="VWM108" s="897"/>
      <c r="VWN108" s="897"/>
      <c r="VWO108" s="897"/>
      <c r="VWP108" s="895"/>
      <c r="VWQ108" s="895"/>
      <c r="VWR108" s="896"/>
      <c r="VWS108" s="897"/>
      <c r="VWT108" s="897"/>
      <c r="VWU108" s="897"/>
      <c r="VWV108" s="897"/>
      <c r="VWW108" s="897"/>
      <c r="VWX108" s="897"/>
      <c r="VWY108" s="897"/>
      <c r="VWZ108" s="897"/>
      <c r="VXA108" s="895"/>
      <c r="VXB108" s="895"/>
      <c r="VXC108" s="896"/>
      <c r="VXD108" s="897"/>
      <c r="VXE108" s="897"/>
      <c r="VXF108" s="897"/>
      <c r="VXG108" s="897"/>
      <c r="VXH108" s="897"/>
      <c r="VXI108" s="897"/>
      <c r="VXJ108" s="897"/>
      <c r="VXK108" s="897"/>
      <c r="VXL108" s="895"/>
      <c r="VXM108" s="895"/>
      <c r="VXN108" s="896"/>
      <c r="VXO108" s="897"/>
      <c r="VXP108" s="897"/>
      <c r="VXQ108" s="897"/>
      <c r="VXR108" s="897"/>
      <c r="VXS108" s="897"/>
      <c r="VXT108" s="897"/>
      <c r="VXU108" s="897"/>
      <c r="VXV108" s="897"/>
      <c r="VXW108" s="895"/>
      <c r="VXX108" s="895"/>
      <c r="VXY108" s="896"/>
      <c r="VXZ108" s="897"/>
      <c r="VYA108" s="897"/>
      <c r="VYB108" s="897"/>
      <c r="VYC108" s="897"/>
      <c r="VYD108" s="897"/>
      <c r="VYE108" s="897"/>
      <c r="VYF108" s="897"/>
      <c r="VYG108" s="897"/>
      <c r="VYH108" s="895"/>
      <c r="VYI108" s="895"/>
      <c r="VYJ108" s="896"/>
      <c r="VYK108" s="897"/>
      <c r="VYL108" s="897"/>
      <c r="VYM108" s="897"/>
      <c r="VYN108" s="897"/>
      <c r="VYO108" s="897"/>
      <c r="VYP108" s="897"/>
      <c r="VYQ108" s="897"/>
      <c r="VYR108" s="897"/>
      <c r="VYS108" s="895"/>
      <c r="VYT108" s="895"/>
      <c r="VYU108" s="896"/>
      <c r="VYV108" s="897"/>
      <c r="VYW108" s="897"/>
      <c r="VYX108" s="897"/>
      <c r="VYY108" s="897"/>
      <c r="VYZ108" s="897"/>
      <c r="VZA108" s="897"/>
      <c r="VZB108" s="897"/>
      <c r="VZC108" s="897"/>
      <c r="VZD108" s="895"/>
      <c r="VZE108" s="895"/>
      <c r="VZF108" s="896"/>
      <c r="VZG108" s="897"/>
      <c r="VZH108" s="897"/>
      <c r="VZI108" s="897"/>
      <c r="VZJ108" s="897"/>
      <c r="VZK108" s="897"/>
      <c r="VZL108" s="897"/>
      <c r="VZM108" s="897"/>
      <c r="VZN108" s="897"/>
      <c r="VZO108" s="895"/>
      <c r="VZP108" s="895"/>
      <c r="VZQ108" s="896"/>
      <c r="VZR108" s="897"/>
      <c r="VZS108" s="897"/>
      <c r="VZT108" s="897"/>
      <c r="VZU108" s="897"/>
      <c r="VZV108" s="897"/>
      <c r="VZW108" s="897"/>
      <c r="VZX108" s="897"/>
      <c r="VZY108" s="897"/>
      <c r="VZZ108" s="895"/>
      <c r="WAA108" s="895"/>
      <c r="WAB108" s="896"/>
      <c r="WAC108" s="897"/>
      <c r="WAD108" s="897"/>
      <c r="WAE108" s="897"/>
      <c r="WAF108" s="897"/>
      <c r="WAG108" s="897"/>
      <c r="WAH108" s="897"/>
      <c r="WAI108" s="897"/>
      <c r="WAJ108" s="897"/>
      <c r="WAK108" s="895"/>
      <c r="WAL108" s="895"/>
      <c r="WAM108" s="896"/>
      <c r="WAN108" s="897"/>
      <c r="WAO108" s="897"/>
      <c r="WAP108" s="897"/>
      <c r="WAQ108" s="897"/>
      <c r="WAR108" s="897"/>
      <c r="WAS108" s="897"/>
      <c r="WAT108" s="897"/>
      <c r="WAU108" s="897"/>
      <c r="WAV108" s="895"/>
      <c r="WAW108" s="895"/>
      <c r="WAX108" s="896"/>
      <c r="WAY108" s="897"/>
      <c r="WAZ108" s="897"/>
      <c r="WBA108" s="897"/>
      <c r="WBB108" s="897"/>
      <c r="WBC108" s="897"/>
      <c r="WBD108" s="897"/>
      <c r="WBE108" s="897"/>
      <c r="WBF108" s="897"/>
      <c r="WBG108" s="895"/>
      <c r="WBH108" s="895"/>
      <c r="WBI108" s="896"/>
      <c r="WBJ108" s="897"/>
      <c r="WBK108" s="897"/>
      <c r="WBL108" s="897"/>
      <c r="WBM108" s="897"/>
      <c r="WBN108" s="897"/>
      <c r="WBO108" s="897"/>
      <c r="WBP108" s="897"/>
      <c r="WBQ108" s="897"/>
      <c r="WBR108" s="895"/>
      <c r="WBS108" s="895"/>
      <c r="WBT108" s="896"/>
      <c r="WBU108" s="897"/>
      <c r="WBV108" s="897"/>
      <c r="WBW108" s="897"/>
      <c r="WBX108" s="897"/>
      <c r="WBY108" s="897"/>
      <c r="WBZ108" s="897"/>
      <c r="WCA108" s="897"/>
      <c r="WCB108" s="897"/>
      <c r="WCC108" s="895"/>
      <c r="WCD108" s="895"/>
      <c r="WCE108" s="896"/>
      <c r="WCF108" s="897"/>
      <c r="WCG108" s="897"/>
      <c r="WCH108" s="897"/>
      <c r="WCI108" s="897"/>
      <c r="WCJ108" s="897"/>
      <c r="WCK108" s="897"/>
      <c r="WCL108" s="897"/>
      <c r="WCM108" s="897"/>
      <c r="WCN108" s="895"/>
      <c r="WCO108" s="895"/>
      <c r="WCP108" s="896"/>
      <c r="WCQ108" s="897"/>
      <c r="WCR108" s="897"/>
      <c r="WCS108" s="897"/>
      <c r="WCT108" s="897"/>
      <c r="WCU108" s="897"/>
      <c r="WCV108" s="897"/>
      <c r="WCW108" s="897"/>
      <c r="WCX108" s="897"/>
      <c r="WCY108" s="895"/>
      <c r="WCZ108" s="895"/>
      <c r="WDA108" s="896"/>
      <c r="WDB108" s="897"/>
      <c r="WDC108" s="897"/>
      <c r="WDD108" s="897"/>
      <c r="WDE108" s="897"/>
      <c r="WDF108" s="897"/>
      <c r="WDG108" s="897"/>
      <c r="WDH108" s="897"/>
      <c r="WDI108" s="897"/>
      <c r="WDJ108" s="895"/>
      <c r="WDK108" s="895"/>
      <c r="WDL108" s="896"/>
      <c r="WDM108" s="897"/>
      <c r="WDN108" s="897"/>
      <c r="WDO108" s="897"/>
      <c r="WDP108" s="897"/>
      <c r="WDQ108" s="897"/>
      <c r="WDR108" s="897"/>
      <c r="WDS108" s="897"/>
      <c r="WDT108" s="897"/>
      <c r="WDU108" s="895"/>
      <c r="WDV108" s="895"/>
      <c r="WDW108" s="896"/>
      <c r="WDX108" s="897"/>
      <c r="WDY108" s="897"/>
      <c r="WDZ108" s="897"/>
      <c r="WEA108" s="897"/>
      <c r="WEB108" s="897"/>
      <c r="WEC108" s="897"/>
      <c r="WED108" s="897"/>
      <c r="WEE108" s="897"/>
      <c r="WEF108" s="895"/>
      <c r="WEG108" s="895"/>
      <c r="WEH108" s="896"/>
      <c r="WEI108" s="897"/>
      <c r="WEJ108" s="897"/>
      <c r="WEK108" s="897"/>
      <c r="WEL108" s="897"/>
      <c r="WEM108" s="897"/>
      <c r="WEN108" s="897"/>
      <c r="WEO108" s="897"/>
      <c r="WEP108" s="897"/>
      <c r="WEQ108" s="895"/>
      <c r="WER108" s="895"/>
      <c r="WES108" s="896"/>
      <c r="WET108" s="897"/>
      <c r="WEU108" s="897"/>
      <c r="WEV108" s="897"/>
      <c r="WEW108" s="897"/>
      <c r="WEX108" s="897"/>
      <c r="WEY108" s="897"/>
      <c r="WEZ108" s="897"/>
      <c r="WFA108" s="897"/>
      <c r="WFB108" s="895"/>
      <c r="WFC108" s="895"/>
      <c r="WFD108" s="896"/>
      <c r="WFE108" s="897"/>
      <c r="WFF108" s="897"/>
      <c r="WFG108" s="897"/>
      <c r="WFH108" s="897"/>
      <c r="WFI108" s="897"/>
      <c r="WFJ108" s="897"/>
      <c r="WFK108" s="897"/>
      <c r="WFL108" s="897"/>
      <c r="WFM108" s="895"/>
      <c r="WFN108" s="895"/>
      <c r="WFO108" s="896"/>
      <c r="WFP108" s="897"/>
      <c r="WFQ108" s="897"/>
      <c r="WFR108" s="897"/>
      <c r="WFS108" s="897"/>
      <c r="WFT108" s="897"/>
      <c r="WFU108" s="897"/>
      <c r="WFV108" s="897"/>
      <c r="WFW108" s="897"/>
      <c r="WFX108" s="895"/>
      <c r="WFY108" s="895"/>
      <c r="WFZ108" s="896"/>
      <c r="WGA108" s="897"/>
      <c r="WGB108" s="897"/>
      <c r="WGC108" s="897"/>
      <c r="WGD108" s="897"/>
      <c r="WGE108" s="897"/>
      <c r="WGF108" s="897"/>
      <c r="WGG108" s="897"/>
      <c r="WGH108" s="897"/>
      <c r="WGI108" s="895"/>
      <c r="WGJ108" s="895"/>
      <c r="WGK108" s="896"/>
      <c r="WGL108" s="897"/>
      <c r="WGM108" s="897"/>
      <c r="WGN108" s="897"/>
      <c r="WGO108" s="897"/>
      <c r="WGP108" s="897"/>
      <c r="WGQ108" s="897"/>
      <c r="WGR108" s="897"/>
      <c r="WGS108" s="897"/>
      <c r="WGT108" s="895"/>
      <c r="WGU108" s="895"/>
      <c r="WGV108" s="896"/>
      <c r="WGW108" s="897"/>
      <c r="WGX108" s="897"/>
      <c r="WGY108" s="897"/>
      <c r="WGZ108" s="897"/>
      <c r="WHA108" s="897"/>
      <c r="WHB108" s="897"/>
      <c r="WHC108" s="897"/>
      <c r="WHD108" s="897"/>
      <c r="WHE108" s="895"/>
      <c r="WHF108" s="895"/>
      <c r="WHG108" s="896"/>
      <c r="WHH108" s="897"/>
      <c r="WHI108" s="897"/>
      <c r="WHJ108" s="897"/>
      <c r="WHK108" s="897"/>
      <c r="WHL108" s="897"/>
      <c r="WHM108" s="897"/>
      <c r="WHN108" s="897"/>
      <c r="WHO108" s="897"/>
      <c r="WHP108" s="895"/>
      <c r="WHQ108" s="895"/>
      <c r="WHR108" s="896"/>
      <c r="WHS108" s="897"/>
      <c r="WHT108" s="897"/>
      <c r="WHU108" s="897"/>
      <c r="WHV108" s="897"/>
      <c r="WHW108" s="897"/>
      <c r="WHX108" s="897"/>
      <c r="WHY108" s="897"/>
      <c r="WHZ108" s="897"/>
      <c r="WIA108" s="895"/>
      <c r="WIB108" s="895"/>
      <c r="WIC108" s="896"/>
      <c r="WID108" s="897"/>
      <c r="WIE108" s="897"/>
      <c r="WIF108" s="897"/>
      <c r="WIG108" s="897"/>
      <c r="WIH108" s="897"/>
      <c r="WII108" s="897"/>
      <c r="WIJ108" s="897"/>
      <c r="WIK108" s="897"/>
      <c r="WIL108" s="895"/>
      <c r="WIM108" s="895"/>
      <c r="WIN108" s="896"/>
      <c r="WIO108" s="897"/>
      <c r="WIP108" s="897"/>
      <c r="WIQ108" s="897"/>
      <c r="WIR108" s="897"/>
      <c r="WIS108" s="897"/>
      <c r="WIT108" s="897"/>
      <c r="WIU108" s="897"/>
      <c r="WIV108" s="897"/>
      <c r="WIW108" s="895"/>
      <c r="WIX108" s="895"/>
      <c r="WIY108" s="896"/>
      <c r="WIZ108" s="897"/>
      <c r="WJA108" s="897"/>
      <c r="WJB108" s="897"/>
      <c r="WJC108" s="897"/>
      <c r="WJD108" s="897"/>
      <c r="WJE108" s="897"/>
      <c r="WJF108" s="897"/>
      <c r="WJG108" s="897"/>
      <c r="WJH108" s="895"/>
      <c r="WJI108" s="895"/>
      <c r="WJJ108" s="896"/>
      <c r="WJK108" s="897"/>
      <c r="WJL108" s="897"/>
      <c r="WJM108" s="897"/>
      <c r="WJN108" s="897"/>
      <c r="WJO108" s="897"/>
      <c r="WJP108" s="897"/>
      <c r="WJQ108" s="897"/>
      <c r="WJR108" s="897"/>
      <c r="WJS108" s="895"/>
      <c r="WJT108" s="895"/>
      <c r="WJU108" s="896"/>
      <c r="WJV108" s="897"/>
      <c r="WJW108" s="897"/>
      <c r="WJX108" s="897"/>
      <c r="WJY108" s="897"/>
      <c r="WJZ108" s="897"/>
      <c r="WKA108" s="897"/>
      <c r="WKB108" s="897"/>
      <c r="WKC108" s="897"/>
      <c r="WKD108" s="895"/>
      <c r="WKE108" s="895"/>
      <c r="WKF108" s="896"/>
      <c r="WKG108" s="897"/>
      <c r="WKH108" s="897"/>
      <c r="WKI108" s="897"/>
      <c r="WKJ108" s="897"/>
      <c r="WKK108" s="897"/>
      <c r="WKL108" s="897"/>
      <c r="WKM108" s="897"/>
      <c r="WKN108" s="897"/>
      <c r="WKO108" s="895"/>
      <c r="WKP108" s="895"/>
      <c r="WKQ108" s="896"/>
      <c r="WKR108" s="897"/>
      <c r="WKS108" s="897"/>
      <c r="WKT108" s="897"/>
      <c r="WKU108" s="897"/>
      <c r="WKV108" s="897"/>
      <c r="WKW108" s="897"/>
      <c r="WKX108" s="897"/>
      <c r="WKY108" s="897"/>
      <c r="WKZ108" s="895"/>
      <c r="WLA108" s="895"/>
      <c r="WLB108" s="896"/>
      <c r="WLC108" s="897"/>
      <c r="WLD108" s="897"/>
      <c r="WLE108" s="897"/>
      <c r="WLF108" s="897"/>
      <c r="WLG108" s="897"/>
      <c r="WLH108" s="897"/>
      <c r="WLI108" s="897"/>
      <c r="WLJ108" s="897"/>
      <c r="WLK108" s="895"/>
      <c r="WLL108" s="895"/>
      <c r="WLM108" s="896"/>
      <c r="WLN108" s="897"/>
      <c r="WLO108" s="897"/>
      <c r="WLP108" s="897"/>
      <c r="WLQ108" s="897"/>
      <c r="WLR108" s="897"/>
      <c r="WLS108" s="897"/>
      <c r="WLT108" s="897"/>
      <c r="WLU108" s="897"/>
      <c r="WLV108" s="895"/>
      <c r="WLW108" s="895"/>
      <c r="WLX108" s="896"/>
      <c r="WLY108" s="897"/>
      <c r="WLZ108" s="897"/>
      <c r="WMA108" s="897"/>
      <c r="WMB108" s="897"/>
      <c r="WMC108" s="897"/>
      <c r="WMD108" s="897"/>
      <c r="WME108" s="897"/>
      <c r="WMF108" s="897"/>
      <c r="WMG108" s="895"/>
      <c r="WMH108" s="895"/>
      <c r="WMI108" s="896"/>
      <c r="WMJ108" s="897"/>
      <c r="WMK108" s="897"/>
      <c r="WML108" s="897"/>
      <c r="WMM108" s="897"/>
      <c r="WMN108" s="897"/>
      <c r="WMO108" s="897"/>
      <c r="WMP108" s="897"/>
      <c r="WMQ108" s="897"/>
      <c r="WMR108" s="895"/>
      <c r="WMS108" s="895"/>
      <c r="WMT108" s="896"/>
      <c r="WMU108" s="897"/>
      <c r="WMV108" s="897"/>
      <c r="WMW108" s="897"/>
      <c r="WMX108" s="897"/>
      <c r="WMY108" s="897"/>
      <c r="WMZ108" s="897"/>
      <c r="WNA108" s="897"/>
      <c r="WNB108" s="897"/>
      <c r="WNC108" s="895"/>
      <c r="WND108" s="895"/>
      <c r="WNE108" s="896"/>
      <c r="WNF108" s="897"/>
      <c r="WNG108" s="897"/>
      <c r="WNH108" s="897"/>
      <c r="WNI108" s="897"/>
      <c r="WNJ108" s="897"/>
      <c r="WNK108" s="897"/>
      <c r="WNL108" s="897"/>
      <c r="WNM108" s="897"/>
      <c r="WNN108" s="895"/>
      <c r="WNO108" s="895"/>
      <c r="WNP108" s="896"/>
      <c r="WNQ108" s="897"/>
      <c r="WNR108" s="897"/>
      <c r="WNS108" s="897"/>
      <c r="WNT108" s="897"/>
      <c r="WNU108" s="897"/>
      <c r="WNV108" s="897"/>
      <c r="WNW108" s="897"/>
      <c r="WNX108" s="897"/>
      <c r="WNY108" s="895"/>
      <c r="WNZ108" s="895"/>
      <c r="WOA108" s="896"/>
      <c r="WOB108" s="897"/>
      <c r="WOC108" s="897"/>
      <c r="WOD108" s="897"/>
      <c r="WOE108" s="897"/>
      <c r="WOF108" s="897"/>
      <c r="WOG108" s="897"/>
      <c r="WOH108" s="897"/>
      <c r="WOI108" s="897"/>
      <c r="WOJ108" s="895"/>
      <c r="WOK108" s="895"/>
      <c r="WOL108" s="896"/>
      <c r="WOM108" s="897"/>
      <c r="WON108" s="897"/>
      <c r="WOO108" s="897"/>
      <c r="WOP108" s="897"/>
      <c r="WOQ108" s="897"/>
      <c r="WOR108" s="897"/>
      <c r="WOS108" s="897"/>
      <c r="WOT108" s="897"/>
      <c r="WOU108" s="895"/>
      <c r="WOV108" s="895"/>
      <c r="WOW108" s="896"/>
      <c r="WOX108" s="897"/>
      <c r="WOY108" s="897"/>
      <c r="WOZ108" s="897"/>
      <c r="WPA108" s="897"/>
      <c r="WPB108" s="897"/>
      <c r="WPC108" s="897"/>
      <c r="WPD108" s="897"/>
      <c r="WPE108" s="897"/>
      <c r="WPF108" s="895"/>
      <c r="WPG108" s="895"/>
      <c r="WPH108" s="896"/>
      <c r="WPI108" s="897"/>
      <c r="WPJ108" s="897"/>
      <c r="WPK108" s="897"/>
      <c r="WPL108" s="897"/>
      <c r="WPM108" s="897"/>
      <c r="WPN108" s="897"/>
      <c r="WPO108" s="897"/>
      <c r="WPP108" s="897"/>
      <c r="WPQ108" s="895"/>
      <c r="WPR108" s="895"/>
      <c r="WPS108" s="896"/>
      <c r="WPT108" s="897"/>
      <c r="WPU108" s="897"/>
      <c r="WPV108" s="897"/>
      <c r="WPW108" s="897"/>
      <c r="WPX108" s="897"/>
      <c r="WPY108" s="897"/>
      <c r="WPZ108" s="897"/>
      <c r="WQA108" s="897"/>
      <c r="WQB108" s="895"/>
      <c r="WQC108" s="895"/>
      <c r="WQD108" s="896"/>
      <c r="WQE108" s="897"/>
      <c r="WQF108" s="897"/>
      <c r="WQG108" s="897"/>
      <c r="WQH108" s="897"/>
      <c r="WQI108" s="897"/>
      <c r="WQJ108" s="897"/>
      <c r="WQK108" s="897"/>
      <c r="WQL108" s="897"/>
      <c r="WQM108" s="895"/>
      <c r="WQN108" s="895"/>
      <c r="WQO108" s="896"/>
      <c r="WQP108" s="897"/>
      <c r="WQQ108" s="897"/>
      <c r="WQR108" s="897"/>
      <c r="WQS108" s="897"/>
      <c r="WQT108" s="897"/>
      <c r="WQU108" s="897"/>
      <c r="WQV108" s="897"/>
      <c r="WQW108" s="897"/>
      <c r="WQX108" s="895"/>
      <c r="WQY108" s="895"/>
      <c r="WQZ108" s="896"/>
      <c r="WRA108" s="897"/>
      <c r="WRB108" s="897"/>
      <c r="WRC108" s="897"/>
      <c r="WRD108" s="897"/>
      <c r="WRE108" s="897"/>
      <c r="WRF108" s="897"/>
      <c r="WRG108" s="897"/>
      <c r="WRH108" s="897"/>
      <c r="WRI108" s="895"/>
      <c r="WRJ108" s="895"/>
      <c r="WRK108" s="896"/>
      <c r="WRL108" s="897"/>
      <c r="WRM108" s="897"/>
      <c r="WRN108" s="897"/>
      <c r="WRO108" s="897"/>
      <c r="WRP108" s="897"/>
      <c r="WRQ108" s="897"/>
      <c r="WRR108" s="897"/>
      <c r="WRS108" s="897"/>
      <c r="WRT108" s="895"/>
      <c r="WRU108" s="895"/>
      <c r="WRV108" s="896"/>
      <c r="WRW108" s="897"/>
      <c r="WRX108" s="897"/>
      <c r="WRY108" s="897"/>
      <c r="WRZ108" s="897"/>
      <c r="WSA108" s="897"/>
      <c r="WSB108" s="897"/>
      <c r="WSC108" s="897"/>
      <c r="WSD108" s="897"/>
      <c r="WSE108" s="895"/>
      <c r="WSF108" s="895"/>
      <c r="WSG108" s="896"/>
      <c r="WSH108" s="897"/>
      <c r="WSI108" s="897"/>
      <c r="WSJ108" s="897"/>
      <c r="WSK108" s="897"/>
      <c r="WSL108" s="897"/>
      <c r="WSM108" s="897"/>
      <c r="WSN108" s="897"/>
      <c r="WSO108" s="897"/>
      <c r="WSP108" s="895"/>
      <c r="WSQ108" s="895"/>
      <c r="WSR108" s="896"/>
      <c r="WSS108" s="897"/>
      <c r="WST108" s="897"/>
      <c r="WSU108" s="897"/>
      <c r="WSV108" s="897"/>
      <c r="WSW108" s="897"/>
      <c r="WSX108" s="897"/>
      <c r="WSY108" s="897"/>
      <c r="WSZ108" s="897"/>
      <c r="WTA108" s="895"/>
      <c r="WTB108" s="895"/>
      <c r="WTC108" s="896"/>
      <c r="WTD108" s="897"/>
      <c r="WTE108" s="897"/>
      <c r="WTF108" s="897"/>
      <c r="WTG108" s="897"/>
      <c r="WTH108" s="897"/>
      <c r="WTI108" s="897"/>
      <c r="WTJ108" s="897"/>
      <c r="WTK108" s="897"/>
      <c r="WTL108" s="895"/>
      <c r="WTM108" s="895"/>
      <c r="WTN108" s="896"/>
      <c r="WTO108" s="897"/>
      <c r="WTP108" s="897"/>
      <c r="WTQ108" s="897"/>
      <c r="WTR108" s="897"/>
      <c r="WTS108" s="897"/>
      <c r="WTT108" s="897"/>
      <c r="WTU108" s="897"/>
      <c r="WTV108" s="897"/>
      <c r="WTW108" s="895"/>
      <c r="WTX108" s="895"/>
      <c r="WTY108" s="896"/>
      <c r="WTZ108" s="897"/>
      <c r="WUA108" s="897"/>
      <c r="WUB108" s="897"/>
      <c r="WUC108" s="897"/>
      <c r="WUD108" s="897"/>
      <c r="WUE108" s="897"/>
      <c r="WUF108" s="897"/>
      <c r="WUG108" s="897"/>
      <c r="WUH108" s="895"/>
      <c r="WUI108" s="895"/>
      <c r="WUJ108" s="896"/>
      <c r="WUK108" s="897"/>
      <c r="WUL108" s="897"/>
      <c r="WUM108" s="897"/>
      <c r="WUN108" s="897"/>
      <c r="WUO108" s="897"/>
      <c r="WUP108" s="897"/>
      <c r="WUQ108" s="897"/>
      <c r="WUR108" s="897"/>
      <c r="WUS108" s="895"/>
      <c r="WUT108" s="895"/>
      <c r="WUU108" s="896"/>
      <c r="WUV108" s="897"/>
      <c r="WUW108" s="897"/>
      <c r="WUX108" s="897"/>
      <c r="WUY108" s="897"/>
      <c r="WUZ108" s="897"/>
      <c r="WVA108" s="897"/>
      <c r="WVB108" s="897"/>
      <c r="WVC108" s="897"/>
      <c r="WVD108" s="895"/>
      <c r="WVE108" s="895"/>
      <c r="WVF108" s="896"/>
      <c r="WVG108" s="897"/>
      <c r="WVH108" s="897"/>
      <c r="WVI108" s="897"/>
      <c r="WVJ108" s="897"/>
      <c r="WVK108" s="897"/>
      <c r="WVL108" s="897"/>
      <c r="WVM108" s="897"/>
      <c r="WVN108" s="897"/>
      <c r="WVO108" s="895"/>
      <c r="WVP108" s="895"/>
      <c r="WVQ108" s="896"/>
      <c r="WVR108" s="897"/>
      <c r="WVS108" s="897"/>
      <c r="WVT108" s="897"/>
      <c r="WVU108" s="897"/>
      <c r="WVV108" s="897"/>
      <c r="WVW108" s="897"/>
      <c r="WVX108" s="897"/>
      <c r="WVY108" s="897"/>
      <c r="WVZ108" s="895"/>
      <c r="WWA108" s="895"/>
      <c r="WWB108" s="896"/>
      <c r="WWC108" s="897"/>
      <c r="WWD108" s="897"/>
      <c r="WWE108" s="897"/>
      <c r="WWF108" s="897"/>
      <c r="WWG108" s="897"/>
      <c r="WWH108" s="897"/>
      <c r="WWI108" s="897"/>
      <c r="WWJ108" s="897"/>
      <c r="WWK108" s="895"/>
      <c r="WWL108" s="895"/>
      <c r="WWM108" s="896"/>
      <c r="WWN108" s="897"/>
      <c r="WWO108" s="897"/>
      <c r="WWP108" s="897"/>
      <c r="WWQ108" s="897"/>
      <c r="WWR108" s="897"/>
      <c r="WWS108" s="897"/>
      <c r="WWT108" s="897"/>
      <c r="WWU108" s="897"/>
      <c r="WWV108" s="895"/>
      <c r="WWW108" s="895"/>
      <c r="WWX108" s="896"/>
      <c r="WWY108" s="897"/>
      <c r="WWZ108" s="897"/>
      <c r="WXA108" s="897"/>
      <c r="WXB108" s="897"/>
      <c r="WXC108" s="897"/>
      <c r="WXD108" s="897"/>
      <c r="WXE108" s="897"/>
      <c r="WXF108" s="897"/>
      <c r="WXG108" s="895"/>
      <c r="WXH108" s="895"/>
      <c r="WXI108" s="896"/>
      <c r="WXJ108" s="897"/>
      <c r="WXK108" s="897"/>
      <c r="WXL108" s="897"/>
      <c r="WXM108" s="897"/>
      <c r="WXN108" s="897"/>
      <c r="WXO108" s="897"/>
      <c r="WXP108" s="897"/>
      <c r="WXQ108" s="897"/>
      <c r="WXR108" s="895"/>
      <c r="WXS108" s="895"/>
      <c r="WXT108" s="896"/>
      <c r="WXU108" s="897"/>
      <c r="WXV108" s="897"/>
      <c r="WXW108" s="897"/>
      <c r="WXX108" s="897"/>
      <c r="WXY108" s="897"/>
      <c r="WXZ108" s="897"/>
      <c r="WYA108" s="897"/>
      <c r="WYB108" s="897"/>
      <c r="WYC108" s="895"/>
      <c r="WYD108" s="895"/>
      <c r="WYE108" s="896"/>
      <c r="WYF108" s="897"/>
      <c r="WYG108" s="897"/>
      <c r="WYH108" s="897"/>
      <c r="WYI108" s="897"/>
      <c r="WYJ108" s="897"/>
      <c r="WYK108" s="897"/>
      <c r="WYL108" s="897"/>
      <c r="WYM108" s="897"/>
      <c r="WYN108" s="895"/>
      <c r="WYO108" s="895"/>
      <c r="WYP108" s="896"/>
      <c r="WYQ108" s="897"/>
      <c r="WYR108" s="897"/>
      <c r="WYS108" s="897"/>
      <c r="WYT108" s="897"/>
      <c r="WYU108" s="897"/>
      <c r="WYV108" s="897"/>
      <c r="WYW108" s="897"/>
      <c r="WYX108" s="897"/>
      <c r="WYY108" s="895"/>
      <c r="WYZ108" s="895"/>
      <c r="WZA108" s="896"/>
      <c r="WZB108" s="897"/>
      <c r="WZC108" s="897"/>
      <c r="WZD108" s="897"/>
      <c r="WZE108" s="897"/>
      <c r="WZF108" s="897"/>
      <c r="WZG108" s="897"/>
      <c r="WZH108" s="897"/>
      <c r="WZI108" s="897"/>
      <c r="WZJ108" s="895"/>
      <c r="WZK108" s="895"/>
      <c r="WZL108" s="896"/>
      <c r="WZM108" s="897"/>
      <c r="WZN108" s="897"/>
      <c r="WZO108" s="897"/>
      <c r="WZP108" s="897"/>
      <c r="WZQ108" s="897"/>
      <c r="WZR108" s="897"/>
      <c r="WZS108" s="897"/>
      <c r="WZT108" s="897"/>
      <c r="WZU108" s="895"/>
      <c r="WZV108" s="895"/>
      <c r="WZW108" s="896"/>
      <c r="WZX108" s="897"/>
      <c r="WZY108" s="897"/>
      <c r="WZZ108" s="897"/>
      <c r="XAA108" s="897"/>
      <c r="XAB108" s="897"/>
      <c r="XAC108" s="897"/>
      <c r="XAD108" s="897"/>
      <c r="XAE108" s="897"/>
      <c r="XAF108" s="895"/>
      <c r="XAG108" s="895"/>
      <c r="XAH108" s="896"/>
      <c r="XAI108" s="897"/>
      <c r="XAJ108" s="897"/>
      <c r="XAK108" s="897"/>
      <c r="XAL108" s="897"/>
      <c r="XAM108" s="897"/>
      <c r="XAN108" s="897"/>
      <c r="XAO108" s="897"/>
      <c r="XAP108" s="897"/>
      <c r="XAQ108" s="895"/>
      <c r="XAR108" s="895"/>
      <c r="XAS108" s="896"/>
      <c r="XAT108" s="897"/>
      <c r="XAU108" s="897"/>
      <c r="XAV108" s="897"/>
      <c r="XAW108" s="897"/>
      <c r="XAX108" s="897"/>
      <c r="XAY108" s="897"/>
      <c r="XAZ108" s="897"/>
      <c r="XBA108" s="897"/>
      <c r="XBB108" s="895"/>
      <c r="XBC108" s="895"/>
      <c r="XBD108" s="896"/>
      <c r="XBE108" s="897"/>
      <c r="XBF108" s="897"/>
      <c r="XBG108" s="897"/>
      <c r="XBH108" s="897"/>
      <c r="XBI108" s="897"/>
      <c r="XBJ108" s="897"/>
      <c r="XBK108" s="897"/>
      <c r="XBL108" s="897"/>
      <c r="XBM108" s="895"/>
      <c r="XBN108" s="895"/>
      <c r="XBO108" s="896"/>
      <c r="XBP108" s="897"/>
      <c r="XBQ108" s="897"/>
      <c r="XBR108" s="897"/>
      <c r="XBS108" s="897"/>
      <c r="XBT108" s="897"/>
      <c r="XBU108" s="897"/>
      <c r="XBV108" s="897"/>
      <c r="XBW108" s="897"/>
      <c r="XBX108" s="895"/>
      <c r="XBY108" s="895"/>
      <c r="XBZ108" s="896"/>
      <c r="XCA108" s="897"/>
      <c r="XCB108" s="897"/>
      <c r="XCC108" s="897"/>
      <c r="XCD108" s="897"/>
      <c r="XCE108" s="897"/>
      <c r="XCF108" s="897"/>
      <c r="XCG108" s="897"/>
      <c r="XCH108" s="897"/>
      <c r="XCI108" s="895"/>
      <c r="XCJ108" s="895"/>
      <c r="XCK108" s="896"/>
      <c r="XCL108" s="897"/>
      <c r="XCM108" s="897"/>
      <c r="XCN108" s="897"/>
      <c r="XCO108" s="897"/>
      <c r="XCP108" s="897"/>
      <c r="XCQ108" s="897"/>
      <c r="XCR108" s="897"/>
      <c r="XCS108" s="897"/>
      <c r="XCT108" s="895"/>
      <c r="XCU108" s="895"/>
      <c r="XCV108" s="896"/>
      <c r="XCW108" s="897"/>
      <c r="XCX108" s="897"/>
      <c r="XCY108" s="897"/>
      <c r="XCZ108" s="897"/>
      <c r="XDA108" s="897"/>
      <c r="XDB108" s="897"/>
      <c r="XDC108" s="897"/>
      <c r="XDD108" s="897"/>
      <c r="XDE108" s="895"/>
      <c r="XDF108" s="895"/>
      <c r="XDG108" s="896"/>
      <c r="XDH108" s="897"/>
      <c r="XDI108" s="897"/>
      <c r="XDJ108" s="897"/>
      <c r="XDK108" s="897"/>
      <c r="XDL108" s="897"/>
      <c r="XDM108" s="897"/>
      <c r="XDN108" s="897"/>
      <c r="XDO108" s="897"/>
      <c r="XDP108" s="895"/>
      <c r="XDQ108" s="895"/>
      <c r="XDR108" s="896"/>
      <c r="XDS108" s="897"/>
      <c r="XDT108" s="897"/>
      <c r="XDU108" s="897"/>
      <c r="XDV108" s="897"/>
      <c r="XDW108" s="897"/>
      <c r="XDX108" s="897"/>
      <c r="XDY108" s="897"/>
      <c r="XDZ108" s="897"/>
      <c r="XEA108" s="895"/>
      <c r="XEB108" s="895"/>
      <c r="XEC108" s="896"/>
      <c r="XED108" s="897"/>
      <c r="XEE108" s="897"/>
      <c r="XEF108" s="897"/>
      <c r="XEG108" s="897"/>
      <c r="XEH108" s="897"/>
      <c r="XEI108" s="897"/>
      <c r="XEJ108" s="897"/>
      <c r="XEK108" s="897"/>
      <c r="XEL108" s="895"/>
      <c r="XEM108" s="895"/>
      <c r="XEN108" s="896"/>
      <c r="XEO108" s="897"/>
      <c r="XEP108" s="897"/>
      <c r="XEQ108" s="897"/>
      <c r="XER108" s="897"/>
      <c r="XES108" s="897"/>
      <c r="XET108" s="897"/>
      <c r="XEU108" s="897"/>
      <c r="XEV108" s="897"/>
      <c r="XEW108" s="895"/>
      <c r="XEX108" s="895"/>
      <c r="XEY108" s="896"/>
      <c r="XEZ108" s="897"/>
      <c r="XFA108" s="897"/>
    </row>
    <row r="109" spans="1:16381" s="831" customFormat="1" ht="1.5" hidden="1" customHeight="1">
      <c r="A109" s="842"/>
      <c r="B109" s="843"/>
      <c r="C109" s="843"/>
      <c r="D109" s="841"/>
      <c r="E109" s="841"/>
      <c r="F109" s="841"/>
      <c r="G109" s="841"/>
      <c r="H109" s="841"/>
      <c r="I109" s="841"/>
      <c r="J109" s="841"/>
      <c r="K109" s="841"/>
      <c r="L109" s="917"/>
      <c r="M109" s="917"/>
      <c r="N109" s="917"/>
    </row>
  </sheetData>
  <autoFilter ref="A10:K10"/>
  <mergeCells count="294">
    <mergeCell ref="O85:O86"/>
    <mergeCell ref="O87:O88"/>
    <mergeCell ref="O90:O92"/>
    <mergeCell ref="O93:O97"/>
    <mergeCell ref="O100:O106"/>
    <mergeCell ref="O13:O15"/>
    <mergeCell ref="O16:O17"/>
    <mergeCell ref="O18:O19"/>
    <mergeCell ref="O20:O24"/>
    <mergeCell ref="O26:O31"/>
    <mergeCell ref="O32:O36"/>
    <mergeCell ref="O37:O39"/>
    <mergeCell ref="O53:O54"/>
    <mergeCell ref="O58:O66"/>
    <mergeCell ref="O67:O78"/>
    <mergeCell ref="O82:O83"/>
    <mergeCell ref="O41:O44"/>
    <mergeCell ref="O46:O47"/>
    <mergeCell ref="O48:O49"/>
    <mergeCell ref="O50:O51"/>
    <mergeCell ref="N85:N86"/>
    <mergeCell ref="N87:N88"/>
    <mergeCell ref="N90:N92"/>
    <mergeCell ref="N93:N97"/>
    <mergeCell ref="N100:N106"/>
    <mergeCell ref="N48:N49"/>
    <mergeCell ref="N50:N51"/>
    <mergeCell ref="N53:N54"/>
    <mergeCell ref="N58:N66"/>
    <mergeCell ref="N67:N78"/>
    <mergeCell ref="N82:N83"/>
    <mergeCell ref="M82:M83"/>
    <mergeCell ref="M85:M86"/>
    <mergeCell ref="M87:M88"/>
    <mergeCell ref="M90:M92"/>
    <mergeCell ref="M93:M97"/>
    <mergeCell ref="M41:M44"/>
    <mergeCell ref="M46:M47"/>
    <mergeCell ref="M48:M49"/>
    <mergeCell ref="M50:M51"/>
    <mergeCell ref="M53:M54"/>
    <mergeCell ref="M58:M66"/>
    <mergeCell ref="N13:N15"/>
    <mergeCell ref="N16:N17"/>
    <mergeCell ref="N18:N19"/>
    <mergeCell ref="N20:N24"/>
    <mergeCell ref="N26:N31"/>
    <mergeCell ref="N32:N36"/>
    <mergeCell ref="N37:N39"/>
    <mergeCell ref="N41:N44"/>
    <mergeCell ref="N46:N47"/>
    <mergeCell ref="L90:L92"/>
    <mergeCell ref="L93:L97"/>
    <mergeCell ref="L100:L106"/>
    <mergeCell ref="M13:M15"/>
    <mergeCell ref="M16:M17"/>
    <mergeCell ref="M18:M19"/>
    <mergeCell ref="M20:M24"/>
    <mergeCell ref="M26:M31"/>
    <mergeCell ref="M32:M36"/>
    <mergeCell ref="M37:M39"/>
    <mergeCell ref="L53:L54"/>
    <mergeCell ref="L58:L66"/>
    <mergeCell ref="L67:L78"/>
    <mergeCell ref="L82:L83"/>
    <mergeCell ref="L85:L86"/>
    <mergeCell ref="L87:L88"/>
    <mergeCell ref="L32:L36"/>
    <mergeCell ref="L37:L39"/>
    <mergeCell ref="L41:L44"/>
    <mergeCell ref="L46:L47"/>
    <mergeCell ref="L48:L49"/>
    <mergeCell ref="L50:L51"/>
    <mergeCell ref="M100:M106"/>
    <mergeCell ref="M67:M78"/>
    <mergeCell ref="H100:H106"/>
    <mergeCell ref="I100:I106"/>
    <mergeCell ref="J100:J106"/>
    <mergeCell ref="K100:K106"/>
    <mergeCell ref="L13:L15"/>
    <mergeCell ref="L16:L17"/>
    <mergeCell ref="L18:L19"/>
    <mergeCell ref="L20:L24"/>
    <mergeCell ref="L26:L31"/>
    <mergeCell ref="K87:K88"/>
    <mergeCell ref="J90:J92"/>
    <mergeCell ref="J85:J86"/>
    <mergeCell ref="K85:K86"/>
    <mergeCell ref="K82:K83"/>
    <mergeCell ref="I67:I78"/>
    <mergeCell ref="J67:J78"/>
    <mergeCell ref="K67:K78"/>
    <mergeCell ref="K53:K54"/>
    <mergeCell ref="J50:J51"/>
    <mergeCell ref="K50:K51"/>
    <mergeCell ref="K48:K49"/>
    <mergeCell ref="H46:H47"/>
    <mergeCell ref="I46:I47"/>
    <mergeCell ref="J46:J47"/>
    <mergeCell ref="A100:A106"/>
    <mergeCell ref="B100:B106"/>
    <mergeCell ref="D100:D106"/>
    <mergeCell ref="E100:E106"/>
    <mergeCell ref="F100:F106"/>
    <mergeCell ref="G100:G106"/>
    <mergeCell ref="K90:K92"/>
    <mergeCell ref="B93:B97"/>
    <mergeCell ref="D93:D97"/>
    <mergeCell ref="E93:E97"/>
    <mergeCell ref="F93:F97"/>
    <mergeCell ref="G93:G97"/>
    <mergeCell ref="H93:H97"/>
    <mergeCell ref="I93:I97"/>
    <mergeCell ref="J93:J97"/>
    <mergeCell ref="K93:K97"/>
    <mergeCell ref="A90:A98"/>
    <mergeCell ref="B90:B92"/>
    <mergeCell ref="D90:D92"/>
    <mergeCell ref="E90:E92"/>
    <mergeCell ref="F90:F92"/>
    <mergeCell ref="G90:G92"/>
    <mergeCell ref="H90:H92"/>
    <mergeCell ref="I90:I92"/>
    <mergeCell ref="I87:I88"/>
    <mergeCell ref="J87:J88"/>
    <mergeCell ref="I82:I83"/>
    <mergeCell ref="J82:J83"/>
    <mergeCell ref="B85:B86"/>
    <mergeCell ref="D85:D86"/>
    <mergeCell ref="E85:E86"/>
    <mergeCell ref="F85:F86"/>
    <mergeCell ref="G85:G86"/>
    <mergeCell ref="H85:H86"/>
    <mergeCell ref="I85:I86"/>
    <mergeCell ref="A82:A88"/>
    <mergeCell ref="B82:B83"/>
    <mergeCell ref="D82:D83"/>
    <mergeCell ref="E82:E83"/>
    <mergeCell ref="F82:F83"/>
    <mergeCell ref="G82:G83"/>
    <mergeCell ref="H82:H83"/>
    <mergeCell ref="B67:B78"/>
    <mergeCell ref="D67:D78"/>
    <mergeCell ref="E67:E78"/>
    <mergeCell ref="F67:F78"/>
    <mergeCell ref="G67:G78"/>
    <mergeCell ref="H67:H78"/>
    <mergeCell ref="A46:A80"/>
    <mergeCell ref="B87:B88"/>
    <mergeCell ref="D87:D88"/>
    <mergeCell ref="E87:E88"/>
    <mergeCell ref="F87:F88"/>
    <mergeCell ref="G87:G88"/>
    <mergeCell ref="H87:H88"/>
    <mergeCell ref="B58:B66"/>
    <mergeCell ref="D58:D66"/>
    <mergeCell ref="E58:E66"/>
    <mergeCell ref="F58:F66"/>
    <mergeCell ref="J58:J66"/>
    <mergeCell ref="K58:K66"/>
    <mergeCell ref="B53:B54"/>
    <mergeCell ref="D53:D54"/>
    <mergeCell ref="E53:E54"/>
    <mergeCell ref="F53:F54"/>
    <mergeCell ref="G53:G54"/>
    <mergeCell ref="H53:H54"/>
    <mergeCell ref="I53:I54"/>
    <mergeCell ref="J53:J54"/>
    <mergeCell ref="B50:B51"/>
    <mergeCell ref="D50:D51"/>
    <mergeCell ref="E50:E51"/>
    <mergeCell ref="F50:F51"/>
    <mergeCell ref="G50:G51"/>
    <mergeCell ref="H50:H51"/>
    <mergeCell ref="I50:I51"/>
    <mergeCell ref="G58:G66"/>
    <mergeCell ref="H58:H66"/>
    <mergeCell ref="I58:I66"/>
    <mergeCell ref="K46:K47"/>
    <mergeCell ref="B48:B49"/>
    <mergeCell ref="D48:D49"/>
    <mergeCell ref="E48:E49"/>
    <mergeCell ref="F48:F49"/>
    <mergeCell ref="G48:G49"/>
    <mergeCell ref="H48:H49"/>
    <mergeCell ref="H41:H44"/>
    <mergeCell ref="I41:I44"/>
    <mergeCell ref="J41:J44"/>
    <mergeCell ref="K41:K44"/>
    <mergeCell ref="B46:B47"/>
    <mergeCell ref="D46:D47"/>
    <mergeCell ref="E46:E47"/>
    <mergeCell ref="F46:F47"/>
    <mergeCell ref="G46:G47"/>
    <mergeCell ref="I48:I49"/>
    <mergeCell ref="J48:J49"/>
    <mergeCell ref="A41:A44"/>
    <mergeCell ref="B41:B44"/>
    <mergeCell ref="D41:D44"/>
    <mergeCell ref="E41:E44"/>
    <mergeCell ref="F41:F44"/>
    <mergeCell ref="G41:G44"/>
    <mergeCell ref="K32:K36"/>
    <mergeCell ref="B37:B39"/>
    <mergeCell ref="D37:D39"/>
    <mergeCell ref="E37:E39"/>
    <mergeCell ref="F37:F39"/>
    <mergeCell ref="G37:G39"/>
    <mergeCell ref="H37:H39"/>
    <mergeCell ref="I37:I39"/>
    <mergeCell ref="J37:J39"/>
    <mergeCell ref="K37:K39"/>
    <mergeCell ref="A26:A39"/>
    <mergeCell ref="K26:K31"/>
    <mergeCell ref="B32:B36"/>
    <mergeCell ref="D32:D36"/>
    <mergeCell ref="E32:E36"/>
    <mergeCell ref="F32:F36"/>
    <mergeCell ref="G32:G36"/>
    <mergeCell ref="H32:H36"/>
    <mergeCell ref="I32:I36"/>
    <mergeCell ref="J32:J36"/>
    <mergeCell ref="B26:B31"/>
    <mergeCell ref="D26:D31"/>
    <mergeCell ref="E26:E31"/>
    <mergeCell ref="F26:F31"/>
    <mergeCell ref="G26:G31"/>
    <mergeCell ref="H26:H31"/>
    <mergeCell ref="I26:I31"/>
    <mergeCell ref="J26:J31"/>
    <mergeCell ref="I18:I19"/>
    <mergeCell ref="J18:J19"/>
    <mergeCell ref="K18:K19"/>
    <mergeCell ref="B20:B24"/>
    <mergeCell ref="D20:D24"/>
    <mergeCell ref="E20:E24"/>
    <mergeCell ref="F20:F24"/>
    <mergeCell ref="G20:G24"/>
    <mergeCell ref="H20:H24"/>
    <mergeCell ref="I20:I24"/>
    <mergeCell ref="B18:B19"/>
    <mergeCell ref="D18:D19"/>
    <mergeCell ref="E18:E19"/>
    <mergeCell ref="F18:F19"/>
    <mergeCell ref="G18:G19"/>
    <mergeCell ref="H18:H19"/>
    <mergeCell ref="J20:J24"/>
    <mergeCell ref="K20:K24"/>
    <mergeCell ref="B16:B17"/>
    <mergeCell ref="D16:D17"/>
    <mergeCell ref="E16:E17"/>
    <mergeCell ref="F16:F17"/>
    <mergeCell ref="G16:G17"/>
    <mergeCell ref="H16:H17"/>
    <mergeCell ref="I16:I17"/>
    <mergeCell ref="J16:J17"/>
    <mergeCell ref="K16:K17"/>
    <mergeCell ref="P16:P17"/>
    <mergeCell ref="P18:P19"/>
    <mergeCell ref="P20:P24"/>
    <mergeCell ref="P26:P31"/>
    <mergeCell ref="P32:P36"/>
    <mergeCell ref="P37:P39"/>
    <mergeCell ref="P13:P15"/>
    <mergeCell ref="B2:K2"/>
    <mergeCell ref="A3:C4"/>
    <mergeCell ref="D3:K4"/>
    <mergeCell ref="A6:C6"/>
    <mergeCell ref="D6:G6"/>
    <mergeCell ref="H6:K6"/>
    <mergeCell ref="D9:K9"/>
    <mergeCell ref="A13:A24"/>
    <mergeCell ref="B13:B15"/>
    <mergeCell ref="D13:D15"/>
    <mergeCell ref="E13:E15"/>
    <mergeCell ref="F13:F15"/>
    <mergeCell ref="G13:G15"/>
    <mergeCell ref="H13:H15"/>
    <mergeCell ref="I13:I15"/>
    <mergeCell ref="J13:J15"/>
    <mergeCell ref="K13:K15"/>
    <mergeCell ref="P87:P88"/>
    <mergeCell ref="P90:P92"/>
    <mergeCell ref="P93:P97"/>
    <mergeCell ref="P100:P106"/>
    <mergeCell ref="P41:P44"/>
    <mergeCell ref="P46:P47"/>
    <mergeCell ref="P48:P49"/>
    <mergeCell ref="P50:P51"/>
    <mergeCell ref="P53:P54"/>
    <mergeCell ref="P58:P66"/>
    <mergeCell ref="P67:P78"/>
    <mergeCell ref="P82:P83"/>
    <mergeCell ref="P85:P86"/>
  </mergeCells>
  <pageMargins left="0.70866141732283472" right="0.70866141732283472" top="0.74803149606299213" bottom="0.74803149606299213" header="0.31496062992125984" footer="0.31496062992125984"/>
  <pageSetup paperSize="1002" scale="15" orientation="landscape" r:id="rId1"/>
  <rowBreaks count="3" manualBreakCount="3">
    <brk id="31" max="44" man="1"/>
    <brk id="81" max="44" man="1"/>
    <brk id="109"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P446"/>
  <sheetViews>
    <sheetView zoomScale="110" zoomScaleNormal="110" zoomScalePageLayoutView="110" workbookViewId="0">
      <pane xSplit="10" ySplit="1" topLeftCell="K8" activePane="bottomRight" state="frozen"/>
      <selection pane="topRight" activeCell="L1" sqref="L1"/>
      <selection pane="bottomLeft" activeCell="A5" sqref="A5"/>
      <selection pane="bottomRight" activeCell="K12" sqref="K12"/>
    </sheetView>
  </sheetViews>
  <sheetFormatPr baseColWidth="10" defaultColWidth="11.44140625" defaultRowHeight="14.4"/>
  <cols>
    <col min="1" max="1" width="3.33203125" style="386" customWidth="1"/>
    <col min="2" max="2" width="3.109375" style="386" customWidth="1"/>
    <col min="3" max="3" width="3.33203125" style="386" customWidth="1"/>
    <col min="4" max="4" width="4.109375" style="386" customWidth="1"/>
    <col min="5" max="5" width="3.33203125" style="386" customWidth="1"/>
    <col min="6" max="6" width="37" style="386" hidden="1" customWidth="1"/>
    <col min="7" max="7" width="6.33203125" style="387" customWidth="1"/>
    <col min="8" max="8" width="6.6640625" style="388" customWidth="1"/>
    <col min="9" max="9" width="29.44140625" style="389" customWidth="1"/>
    <col min="10" max="10" width="13.6640625" style="390" customWidth="1"/>
    <col min="11" max="11" width="12.109375" style="234" customWidth="1"/>
    <col min="12" max="12" width="24.6640625" style="90" customWidth="1"/>
    <col min="13" max="13" width="22.44140625" style="89" customWidth="1"/>
    <col min="14" max="14" width="23" style="90" customWidth="1"/>
    <col min="15" max="15" width="24" style="90" customWidth="1"/>
    <col min="16" max="16384" width="11.44140625" style="90"/>
  </cols>
  <sheetData>
    <row r="1" spans="1:15" ht="17.25" customHeight="1" thickBot="1">
      <c r="A1" s="1782" t="s">
        <v>181</v>
      </c>
      <c r="B1" s="1783"/>
      <c r="C1" s="1783"/>
      <c r="D1" s="1783"/>
      <c r="E1" s="1783"/>
      <c r="F1" s="1783"/>
      <c r="G1" s="1783"/>
      <c r="H1" s="1783"/>
      <c r="I1" s="1783"/>
      <c r="J1" s="1783"/>
      <c r="K1" s="1783"/>
      <c r="L1" s="1784"/>
    </row>
    <row r="2" spans="1:15" ht="48.75" customHeight="1" thickBot="1">
      <c r="A2" s="1785" t="s">
        <v>182</v>
      </c>
      <c r="B2" s="1786"/>
      <c r="C2" s="1786"/>
      <c r="D2" s="1786"/>
      <c r="E2" s="1786"/>
      <c r="F2" s="1786"/>
      <c r="G2" s="1786"/>
      <c r="H2" s="1786"/>
      <c r="I2" s="1786"/>
      <c r="J2" s="1786"/>
      <c r="K2" s="1786"/>
      <c r="L2" s="1787"/>
    </row>
    <row r="3" spans="1:15" ht="15" thickBot="1">
      <c r="A3" s="91"/>
      <c r="B3" s="91"/>
      <c r="C3" s="91"/>
      <c r="D3" s="91"/>
      <c r="E3" s="91"/>
      <c r="F3" s="92"/>
      <c r="G3" s="91"/>
      <c r="H3" s="91"/>
      <c r="I3" s="93"/>
      <c r="J3" s="94"/>
      <c r="K3" s="95"/>
      <c r="L3" s="96"/>
    </row>
    <row r="4" spans="1:15" ht="23.25" customHeight="1" thickBot="1">
      <c r="A4" s="1788" t="s">
        <v>183</v>
      </c>
      <c r="B4" s="1789"/>
      <c r="C4" s="1789"/>
      <c r="D4" s="1789"/>
      <c r="E4" s="1789"/>
      <c r="F4" s="1789"/>
      <c r="G4" s="1789"/>
      <c r="H4" s="1789"/>
      <c r="I4" s="1789"/>
      <c r="J4" s="1789"/>
      <c r="K4" s="1789"/>
      <c r="L4" s="1790"/>
    </row>
    <row r="5" spans="1:15" ht="52.5" customHeight="1" thickBot="1">
      <c r="A5" s="97" t="s">
        <v>184</v>
      </c>
      <c r="B5" s="98" t="s">
        <v>185</v>
      </c>
      <c r="C5" s="98" t="s">
        <v>186</v>
      </c>
      <c r="D5" s="98" t="s">
        <v>187</v>
      </c>
      <c r="E5" s="98" t="s">
        <v>188</v>
      </c>
      <c r="F5" s="99" t="s">
        <v>189</v>
      </c>
      <c r="G5" s="98" t="s">
        <v>190</v>
      </c>
      <c r="H5" s="100" t="s">
        <v>191</v>
      </c>
      <c r="I5" s="101" t="s">
        <v>192</v>
      </c>
      <c r="J5" s="102" t="s">
        <v>193</v>
      </c>
      <c r="K5" s="103" t="s">
        <v>194</v>
      </c>
      <c r="L5" s="104" t="s">
        <v>8</v>
      </c>
      <c r="M5" s="105" t="s">
        <v>8</v>
      </c>
    </row>
    <row r="6" spans="1:15" ht="57.75" customHeight="1" thickBot="1">
      <c r="A6" s="106" t="s">
        <v>195</v>
      </c>
      <c r="B6" s="107"/>
      <c r="C6" s="107"/>
      <c r="D6" s="107"/>
      <c r="E6" s="107"/>
      <c r="F6" s="108"/>
      <c r="G6" s="109"/>
      <c r="H6" s="109"/>
      <c r="I6" s="110" t="s">
        <v>196</v>
      </c>
      <c r="J6" s="111"/>
      <c r="K6" s="112"/>
      <c r="L6" s="113"/>
      <c r="M6" s="114"/>
    </row>
    <row r="7" spans="1:15" ht="26.25" customHeight="1">
      <c r="A7" s="115" t="s">
        <v>195</v>
      </c>
      <c r="B7" s="116" t="s">
        <v>197</v>
      </c>
      <c r="C7" s="116"/>
      <c r="D7" s="116"/>
      <c r="E7" s="116"/>
      <c r="F7" s="117"/>
      <c r="G7" s="116"/>
      <c r="H7" s="116"/>
      <c r="I7" s="118" t="s">
        <v>198</v>
      </c>
      <c r="J7" s="119"/>
      <c r="K7" s="120"/>
      <c r="L7" s="121"/>
      <c r="M7" s="122"/>
    </row>
    <row r="8" spans="1:15" ht="26.25" customHeight="1">
      <c r="A8" s="123" t="s">
        <v>195</v>
      </c>
      <c r="B8" s="124" t="s">
        <v>197</v>
      </c>
      <c r="C8" s="124" t="s">
        <v>199</v>
      </c>
      <c r="D8" s="124"/>
      <c r="E8" s="124"/>
      <c r="F8" s="125"/>
      <c r="G8" s="124"/>
      <c r="H8" s="124"/>
      <c r="I8" s="126" t="s">
        <v>200</v>
      </c>
      <c r="J8" s="127"/>
      <c r="K8" s="128"/>
      <c r="L8" s="129"/>
      <c r="M8" s="130"/>
      <c r="O8" s="131"/>
    </row>
    <row r="9" spans="1:15" ht="26.25" customHeight="1">
      <c r="A9" s="123" t="s">
        <v>195</v>
      </c>
      <c r="B9" s="124" t="s">
        <v>197</v>
      </c>
      <c r="C9" s="124" t="s">
        <v>199</v>
      </c>
      <c r="D9" s="124" t="s">
        <v>201</v>
      </c>
      <c r="E9" s="124"/>
      <c r="F9" s="125"/>
      <c r="G9" s="124"/>
      <c r="H9" s="124"/>
      <c r="I9" s="132" t="s">
        <v>202</v>
      </c>
      <c r="J9" s="133"/>
      <c r="K9" s="128"/>
      <c r="L9" s="129"/>
      <c r="M9" s="130"/>
    </row>
    <row r="10" spans="1:15" ht="45.75" customHeight="1" thickBot="1">
      <c r="A10" s="134" t="s">
        <v>195</v>
      </c>
      <c r="B10" s="135" t="s">
        <v>197</v>
      </c>
      <c r="C10" s="135" t="s">
        <v>199</v>
      </c>
      <c r="D10" s="135" t="s">
        <v>201</v>
      </c>
      <c r="E10" s="135" t="s">
        <v>203</v>
      </c>
      <c r="F10" s="136"/>
      <c r="G10" s="135"/>
      <c r="H10" s="135"/>
      <c r="I10" s="137" t="s">
        <v>204</v>
      </c>
      <c r="J10" s="138"/>
      <c r="K10" s="139"/>
      <c r="L10" s="140"/>
      <c r="M10" s="539">
        <v>70000000</v>
      </c>
      <c r="N10" s="234">
        <f>'[1]POAI 2020'!$N$32+'[1]POAI 2020'!$N$14+M10</f>
        <v>190000000</v>
      </c>
    </row>
    <row r="11" spans="1:15" ht="99.75" customHeight="1">
      <c r="A11" s="142" t="s">
        <v>195</v>
      </c>
      <c r="B11" s="143" t="s">
        <v>197</v>
      </c>
      <c r="C11" s="143" t="s">
        <v>199</v>
      </c>
      <c r="D11" s="143" t="s">
        <v>201</v>
      </c>
      <c r="E11" s="143" t="s">
        <v>203</v>
      </c>
      <c r="F11" s="144" t="s">
        <v>205</v>
      </c>
      <c r="G11" s="143" t="s">
        <v>206</v>
      </c>
      <c r="H11" s="143" t="s">
        <v>207</v>
      </c>
      <c r="I11" s="145" t="s">
        <v>208</v>
      </c>
      <c r="J11" s="146"/>
      <c r="K11" s="147"/>
      <c r="L11" s="687">
        <f>+K12</f>
        <v>70000000</v>
      </c>
      <c r="M11" s="149"/>
    </row>
    <row r="12" spans="1:15" ht="21" thickBot="1">
      <c r="A12" s="150"/>
      <c r="B12" s="151"/>
      <c r="C12" s="151"/>
      <c r="D12" s="151"/>
      <c r="E12" s="151"/>
      <c r="F12" s="152"/>
      <c r="G12" s="151"/>
      <c r="H12" s="151"/>
      <c r="I12" s="153"/>
      <c r="J12" s="154" t="s">
        <v>209</v>
      </c>
      <c r="K12" s="155">
        <v>70000000</v>
      </c>
      <c r="L12" s="156"/>
      <c r="M12" s="157"/>
    </row>
    <row r="13" spans="1:15" ht="41.25" customHeight="1">
      <c r="A13" s="115" t="s">
        <v>195</v>
      </c>
      <c r="B13" s="116" t="s">
        <v>197</v>
      </c>
      <c r="C13" s="116" t="s">
        <v>199</v>
      </c>
      <c r="D13" s="116" t="s">
        <v>210</v>
      </c>
      <c r="E13" s="116"/>
      <c r="F13" s="117"/>
      <c r="G13" s="116"/>
      <c r="H13" s="116"/>
      <c r="I13" s="118" t="s">
        <v>211</v>
      </c>
      <c r="J13" s="119"/>
      <c r="K13" s="120"/>
      <c r="L13" s="121"/>
      <c r="M13" s="122"/>
    </row>
    <row r="14" spans="1:15" ht="33.75" customHeight="1" thickBot="1">
      <c r="A14" s="134" t="s">
        <v>195</v>
      </c>
      <c r="B14" s="135" t="s">
        <v>197</v>
      </c>
      <c r="C14" s="135" t="s">
        <v>199</v>
      </c>
      <c r="D14" s="135" t="s">
        <v>210</v>
      </c>
      <c r="E14" s="135" t="s">
        <v>212</v>
      </c>
      <c r="F14" s="136"/>
      <c r="G14" s="135"/>
      <c r="H14" s="135"/>
      <c r="I14" s="137" t="s">
        <v>213</v>
      </c>
      <c r="J14" s="138"/>
      <c r="K14" s="139"/>
      <c r="L14" s="140"/>
      <c r="M14" s="539">
        <v>100000000</v>
      </c>
    </row>
    <row r="15" spans="1:15" ht="80.25" customHeight="1">
      <c r="A15" s="158" t="s">
        <v>195</v>
      </c>
      <c r="B15" s="159" t="s">
        <v>197</v>
      </c>
      <c r="C15" s="159" t="s">
        <v>199</v>
      </c>
      <c r="D15" s="159" t="s">
        <v>210</v>
      </c>
      <c r="E15" s="159" t="s">
        <v>212</v>
      </c>
      <c r="F15" s="144" t="s">
        <v>214</v>
      </c>
      <c r="G15" s="143" t="s">
        <v>215</v>
      </c>
      <c r="H15" s="143" t="s">
        <v>207</v>
      </c>
      <c r="I15" s="145" t="s">
        <v>216</v>
      </c>
      <c r="J15" s="146"/>
      <c r="K15" s="147"/>
      <c r="L15" s="148">
        <f>SUM(K16:K18)</f>
        <v>100000000</v>
      </c>
      <c r="M15" s="149"/>
    </row>
    <row r="16" spans="1:15" ht="36" customHeight="1">
      <c r="A16" s="160"/>
      <c r="B16" s="161"/>
      <c r="C16" s="161"/>
      <c r="D16" s="161"/>
      <c r="E16" s="161"/>
      <c r="F16" s="125"/>
      <c r="G16" s="124"/>
      <c r="H16" s="124"/>
      <c r="I16" s="162"/>
      <c r="J16" s="163" t="s">
        <v>209</v>
      </c>
      <c r="K16" s="164">
        <v>2500000</v>
      </c>
      <c r="L16" s="165"/>
      <c r="M16" s="130"/>
    </row>
    <row r="17" spans="1:14" ht="45.75" customHeight="1">
      <c r="A17" s="160"/>
      <c r="B17" s="161"/>
      <c r="C17" s="161"/>
      <c r="D17" s="161"/>
      <c r="E17" s="161"/>
      <c r="F17" s="125"/>
      <c r="G17" s="124"/>
      <c r="H17" s="124"/>
      <c r="I17" s="162"/>
      <c r="J17" s="395" t="s">
        <v>217</v>
      </c>
      <c r="K17" s="396">
        <v>96000000</v>
      </c>
      <c r="L17" s="165"/>
      <c r="M17" s="130"/>
    </row>
    <row r="18" spans="1:14" ht="49.5" customHeight="1" thickBot="1">
      <c r="A18" s="168"/>
      <c r="B18" s="169"/>
      <c r="C18" s="169"/>
      <c r="D18" s="169"/>
      <c r="E18" s="169"/>
      <c r="F18" s="152"/>
      <c r="G18" s="151"/>
      <c r="H18" s="151"/>
      <c r="I18" s="153"/>
      <c r="J18" s="397" t="s">
        <v>218</v>
      </c>
      <c r="K18" s="398">
        <v>1500000</v>
      </c>
      <c r="L18" s="156"/>
      <c r="M18" s="157"/>
    </row>
    <row r="19" spans="1:14" ht="39" customHeight="1">
      <c r="A19" s="115" t="s">
        <v>195</v>
      </c>
      <c r="B19" s="116" t="s">
        <v>197</v>
      </c>
      <c r="C19" s="116" t="s">
        <v>219</v>
      </c>
      <c r="D19" s="116"/>
      <c r="E19" s="116"/>
      <c r="F19" s="117"/>
      <c r="G19" s="116"/>
      <c r="H19" s="116"/>
      <c r="I19" s="170" t="s">
        <v>220</v>
      </c>
      <c r="J19" s="171"/>
      <c r="K19" s="120"/>
      <c r="L19" s="121"/>
      <c r="M19" s="122"/>
    </row>
    <row r="20" spans="1:14" ht="34.5" customHeight="1">
      <c r="A20" s="123" t="s">
        <v>195</v>
      </c>
      <c r="B20" s="124" t="s">
        <v>197</v>
      </c>
      <c r="C20" s="124" t="s">
        <v>219</v>
      </c>
      <c r="D20" s="124" t="s">
        <v>221</v>
      </c>
      <c r="E20" s="124"/>
      <c r="F20" s="125"/>
      <c r="G20" s="124"/>
      <c r="H20" s="124"/>
      <c r="I20" s="132" t="s">
        <v>222</v>
      </c>
      <c r="J20" s="133"/>
      <c r="K20" s="128"/>
      <c r="L20" s="129"/>
      <c r="M20" s="130"/>
    </row>
    <row r="21" spans="1:14" ht="28.5" customHeight="1" thickBot="1">
      <c r="A21" s="134" t="s">
        <v>195</v>
      </c>
      <c r="B21" s="135" t="s">
        <v>197</v>
      </c>
      <c r="C21" s="135" t="s">
        <v>219</v>
      </c>
      <c r="D21" s="135" t="s">
        <v>221</v>
      </c>
      <c r="E21" s="135" t="s">
        <v>223</v>
      </c>
      <c r="F21" s="136"/>
      <c r="G21" s="135"/>
      <c r="H21" s="135"/>
      <c r="I21" s="137" t="s">
        <v>224</v>
      </c>
      <c r="J21" s="138"/>
      <c r="K21" s="139"/>
      <c r="L21" s="140"/>
      <c r="M21" s="539">
        <v>50000000</v>
      </c>
    </row>
    <row r="22" spans="1:14" ht="91.5" customHeight="1">
      <c r="A22" s="142" t="s">
        <v>195</v>
      </c>
      <c r="B22" s="143" t="s">
        <v>197</v>
      </c>
      <c r="C22" s="143" t="s">
        <v>219</v>
      </c>
      <c r="D22" s="143" t="s">
        <v>221</v>
      </c>
      <c r="E22" s="143" t="s">
        <v>223</v>
      </c>
      <c r="F22" s="144" t="s">
        <v>225</v>
      </c>
      <c r="G22" s="143" t="s">
        <v>226</v>
      </c>
      <c r="H22" s="143" t="s">
        <v>207</v>
      </c>
      <c r="I22" s="145" t="s">
        <v>227</v>
      </c>
      <c r="J22" s="172"/>
      <c r="K22" s="173"/>
      <c r="L22" s="148">
        <f>+K23</f>
        <v>50000000</v>
      </c>
      <c r="M22" s="149"/>
    </row>
    <row r="23" spans="1:14" ht="43.5" customHeight="1" thickBot="1">
      <c r="A23" s="150"/>
      <c r="B23" s="151"/>
      <c r="C23" s="151"/>
      <c r="D23" s="151"/>
      <c r="E23" s="151"/>
      <c r="F23" s="152"/>
      <c r="G23" s="151"/>
      <c r="H23" s="151"/>
      <c r="I23" s="153"/>
      <c r="J23" s="154" t="s">
        <v>209</v>
      </c>
      <c r="K23" s="155">
        <v>50000000</v>
      </c>
      <c r="L23" s="156"/>
      <c r="M23" s="157"/>
    </row>
    <row r="24" spans="1:14" ht="30" customHeight="1">
      <c r="A24" s="115" t="s">
        <v>195</v>
      </c>
      <c r="B24" s="116" t="s">
        <v>197</v>
      </c>
      <c r="C24" s="116" t="s">
        <v>219</v>
      </c>
      <c r="D24" s="116" t="s">
        <v>228</v>
      </c>
      <c r="E24" s="116"/>
      <c r="F24" s="117"/>
      <c r="G24" s="116"/>
      <c r="H24" s="116"/>
      <c r="I24" s="118" t="s">
        <v>229</v>
      </c>
      <c r="J24" s="119"/>
      <c r="K24" s="120"/>
      <c r="L24" s="174"/>
      <c r="M24" s="122"/>
    </row>
    <row r="25" spans="1:14" ht="40.5" customHeight="1" thickBot="1">
      <c r="A25" s="134" t="s">
        <v>195</v>
      </c>
      <c r="B25" s="135" t="s">
        <v>197</v>
      </c>
      <c r="C25" s="135" t="s">
        <v>219</v>
      </c>
      <c r="D25" s="135" t="s">
        <v>228</v>
      </c>
      <c r="E25" s="135" t="s">
        <v>230</v>
      </c>
      <c r="F25" s="136"/>
      <c r="G25" s="135"/>
      <c r="H25" s="135"/>
      <c r="I25" s="137" t="s">
        <v>231</v>
      </c>
      <c r="J25" s="138"/>
      <c r="K25" s="139"/>
      <c r="L25" s="175"/>
      <c r="M25" s="539">
        <v>100000000</v>
      </c>
    </row>
    <row r="26" spans="1:14" ht="77.25" customHeight="1">
      <c r="A26" s="142" t="s">
        <v>195</v>
      </c>
      <c r="B26" s="143" t="s">
        <v>197</v>
      </c>
      <c r="C26" s="143" t="s">
        <v>219</v>
      </c>
      <c r="D26" s="143" t="s">
        <v>228</v>
      </c>
      <c r="E26" s="143" t="s">
        <v>230</v>
      </c>
      <c r="F26" s="144" t="s">
        <v>232</v>
      </c>
      <c r="G26" s="143" t="s">
        <v>233</v>
      </c>
      <c r="H26" s="143" t="s">
        <v>207</v>
      </c>
      <c r="I26" s="145" t="s">
        <v>234</v>
      </c>
      <c r="J26" s="172"/>
      <c r="K26" s="173"/>
      <c r="L26" s="148">
        <f>+K27</f>
        <v>100000000</v>
      </c>
      <c r="M26" s="149"/>
    </row>
    <row r="27" spans="1:14" ht="45.75" customHeight="1" thickBot="1">
      <c r="A27" s="150"/>
      <c r="B27" s="151"/>
      <c r="C27" s="151"/>
      <c r="D27" s="151"/>
      <c r="E27" s="151"/>
      <c r="F27" s="152"/>
      <c r="G27" s="151"/>
      <c r="H27" s="151"/>
      <c r="I27" s="153"/>
      <c r="J27" s="154" t="s">
        <v>209</v>
      </c>
      <c r="K27" s="155">
        <v>100000000</v>
      </c>
      <c r="L27" s="156"/>
      <c r="M27" s="157"/>
    </row>
    <row r="28" spans="1:14" ht="40.200000000000003" thickBot="1">
      <c r="A28" s="106" t="s">
        <v>235</v>
      </c>
      <c r="B28" s="107"/>
      <c r="C28" s="107"/>
      <c r="D28" s="107"/>
      <c r="E28" s="107"/>
      <c r="F28" s="176"/>
      <c r="G28" s="109"/>
      <c r="H28" s="109"/>
      <c r="I28" s="110" t="s">
        <v>236</v>
      </c>
      <c r="J28" s="177"/>
      <c r="K28" s="178"/>
      <c r="L28" s="113"/>
      <c r="M28" s="114"/>
    </row>
    <row r="29" spans="1:14" ht="26.25" customHeight="1">
      <c r="A29" s="115" t="s">
        <v>235</v>
      </c>
      <c r="B29" s="116" t="s">
        <v>197</v>
      </c>
      <c r="C29" s="116"/>
      <c r="D29" s="116"/>
      <c r="E29" s="116"/>
      <c r="F29" s="117"/>
      <c r="G29" s="116"/>
      <c r="H29" s="116"/>
      <c r="I29" s="118" t="s">
        <v>198</v>
      </c>
      <c r="J29" s="119"/>
      <c r="K29" s="120"/>
      <c r="L29" s="121"/>
      <c r="M29" s="122"/>
    </row>
    <row r="30" spans="1:14" ht="26.25" customHeight="1">
      <c r="A30" s="123" t="s">
        <v>235</v>
      </c>
      <c r="B30" s="124" t="s">
        <v>197</v>
      </c>
      <c r="C30" s="124" t="s">
        <v>199</v>
      </c>
      <c r="D30" s="124"/>
      <c r="E30" s="124"/>
      <c r="F30" s="125"/>
      <c r="G30" s="124"/>
      <c r="H30" s="124"/>
      <c r="I30" s="126" t="s">
        <v>200</v>
      </c>
      <c r="J30" s="127"/>
      <c r="K30" s="128"/>
      <c r="L30" s="129"/>
      <c r="M30" s="130"/>
    </row>
    <row r="31" spans="1:14" ht="26.25" customHeight="1">
      <c r="A31" s="123" t="s">
        <v>235</v>
      </c>
      <c r="B31" s="124" t="s">
        <v>197</v>
      </c>
      <c r="C31" s="124" t="s">
        <v>199</v>
      </c>
      <c r="D31" s="124" t="s">
        <v>201</v>
      </c>
      <c r="E31" s="124"/>
      <c r="F31" s="125"/>
      <c r="G31" s="124"/>
      <c r="H31" s="124"/>
      <c r="I31" s="132" t="s">
        <v>202</v>
      </c>
      <c r="J31" s="133"/>
      <c r="K31" s="128"/>
      <c r="L31" s="129"/>
      <c r="M31" s="130"/>
    </row>
    <row r="32" spans="1:14" ht="43.5" customHeight="1" thickBot="1">
      <c r="A32" s="134" t="s">
        <v>235</v>
      </c>
      <c r="B32" s="135" t="s">
        <v>197</v>
      </c>
      <c r="C32" s="135" t="s">
        <v>199</v>
      </c>
      <c r="D32" s="135" t="s">
        <v>201</v>
      </c>
      <c r="E32" s="135" t="s">
        <v>237</v>
      </c>
      <c r="F32" s="136"/>
      <c r="G32" s="135"/>
      <c r="H32" s="135"/>
      <c r="I32" s="137" t="s">
        <v>238</v>
      </c>
      <c r="J32" s="138"/>
      <c r="K32" s="139"/>
      <c r="L32" s="140"/>
      <c r="M32" s="539">
        <v>100000000</v>
      </c>
      <c r="N32" s="234">
        <f>M32+M57+M71+M332+'[1]POAI 2020'!$N$20+'[1]POAI 2020'!$N$21+'[1]POAI 2020'!$N$35</f>
        <v>1261044150</v>
      </c>
    </row>
    <row r="33" spans="1:14" ht="66">
      <c r="A33" s="142" t="s">
        <v>235</v>
      </c>
      <c r="B33" s="143" t="s">
        <v>197</v>
      </c>
      <c r="C33" s="143" t="s">
        <v>199</v>
      </c>
      <c r="D33" s="143" t="s">
        <v>201</v>
      </c>
      <c r="E33" s="143" t="s">
        <v>237</v>
      </c>
      <c r="F33" s="179">
        <v>2019005810004</v>
      </c>
      <c r="G33" s="143" t="s">
        <v>239</v>
      </c>
      <c r="H33" s="143" t="s">
        <v>207</v>
      </c>
      <c r="I33" s="180" t="s">
        <v>240</v>
      </c>
      <c r="J33" s="181"/>
      <c r="K33" s="182"/>
      <c r="L33" s="183">
        <f>SUM(K34:K36)</f>
        <v>100000000</v>
      </c>
      <c r="M33" s="149"/>
      <c r="N33" s="234">
        <f>L33+L58++K73+K75+L333+'[1]POAI 2020'!$N$35+'[1]POAI 2020'!$N$20+'[1]POAI 2020'!$N$21</f>
        <v>1261044150</v>
      </c>
    </row>
    <row r="34" spans="1:14" ht="36.75" customHeight="1">
      <c r="A34" s="123"/>
      <c r="B34" s="124"/>
      <c r="C34" s="124"/>
      <c r="D34" s="124"/>
      <c r="E34" s="124"/>
      <c r="F34" s="184"/>
      <c r="G34" s="124"/>
      <c r="H34" s="124"/>
      <c r="I34" s="185"/>
      <c r="J34" s="163" t="s">
        <v>209</v>
      </c>
      <c r="K34" s="186">
        <v>20055000</v>
      </c>
      <c r="L34" s="187"/>
      <c r="M34" s="130"/>
    </row>
    <row r="35" spans="1:14" ht="47.25" customHeight="1">
      <c r="A35" s="123"/>
      <c r="B35" s="124"/>
      <c r="C35" s="124"/>
      <c r="D35" s="124"/>
      <c r="E35" s="124"/>
      <c r="F35" s="184"/>
      <c r="G35" s="124"/>
      <c r="H35" s="124"/>
      <c r="I35" s="185"/>
      <c r="J35" s="163" t="s">
        <v>241</v>
      </c>
      <c r="K35" s="186">
        <v>44225000</v>
      </c>
      <c r="L35" s="187"/>
      <c r="M35" s="130"/>
    </row>
    <row r="36" spans="1:14" ht="42" customHeight="1" thickBot="1">
      <c r="A36" s="150"/>
      <c r="B36" s="151"/>
      <c r="C36" s="151"/>
      <c r="D36" s="151"/>
      <c r="E36" s="151"/>
      <c r="F36" s="188"/>
      <c r="G36" s="151"/>
      <c r="H36" s="151"/>
      <c r="I36" s="189"/>
      <c r="J36" s="154" t="s">
        <v>242</v>
      </c>
      <c r="K36" s="436">
        <v>35720000</v>
      </c>
      <c r="L36" s="190"/>
      <c r="M36" s="157"/>
    </row>
    <row r="37" spans="1:14" ht="42.75" customHeight="1" thickBot="1">
      <c r="A37" s="106" t="s">
        <v>197</v>
      </c>
      <c r="B37" s="107"/>
      <c r="C37" s="107"/>
      <c r="D37" s="107"/>
      <c r="E37" s="107"/>
      <c r="F37" s="176"/>
      <c r="G37" s="109"/>
      <c r="H37" s="109"/>
      <c r="I37" s="110" t="s">
        <v>243</v>
      </c>
      <c r="J37" s="177"/>
      <c r="K37" s="178"/>
      <c r="L37" s="113"/>
      <c r="M37" s="114"/>
    </row>
    <row r="38" spans="1:14" ht="36.75" customHeight="1">
      <c r="A38" s="191" t="s">
        <v>197</v>
      </c>
      <c r="B38" s="192" t="s">
        <v>244</v>
      </c>
      <c r="C38" s="192"/>
      <c r="D38" s="192"/>
      <c r="E38" s="192"/>
      <c r="F38" s="193"/>
      <c r="G38" s="192"/>
      <c r="H38" s="192"/>
      <c r="I38" s="194" t="s">
        <v>245</v>
      </c>
      <c r="J38" s="195"/>
      <c r="K38" s="196"/>
      <c r="L38" s="197"/>
      <c r="M38" s="149"/>
    </row>
    <row r="39" spans="1:14" ht="36.75" customHeight="1">
      <c r="A39" s="123" t="s">
        <v>197</v>
      </c>
      <c r="B39" s="124" t="s">
        <v>244</v>
      </c>
      <c r="C39" s="124" t="s">
        <v>195</v>
      </c>
      <c r="D39" s="124"/>
      <c r="E39" s="124"/>
      <c r="F39" s="125"/>
      <c r="G39" s="124"/>
      <c r="H39" s="124"/>
      <c r="I39" s="126" t="s">
        <v>246</v>
      </c>
      <c r="J39" s="127"/>
      <c r="K39" s="128"/>
      <c r="L39" s="129"/>
      <c r="M39" s="130"/>
    </row>
    <row r="40" spans="1:14" ht="36" customHeight="1">
      <c r="A40" s="123" t="s">
        <v>197</v>
      </c>
      <c r="B40" s="124" t="s">
        <v>244</v>
      </c>
      <c r="C40" s="124" t="s">
        <v>195</v>
      </c>
      <c r="D40" s="124" t="s">
        <v>247</v>
      </c>
      <c r="E40" s="124"/>
      <c r="F40" s="125"/>
      <c r="G40" s="124"/>
      <c r="H40" s="124"/>
      <c r="I40" s="132" t="s">
        <v>248</v>
      </c>
      <c r="J40" s="133"/>
      <c r="K40" s="128"/>
      <c r="L40" s="129"/>
      <c r="M40" s="130"/>
    </row>
    <row r="41" spans="1:14" ht="31.2" thickBot="1">
      <c r="A41" s="134" t="s">
        <v>197</v>
      </c>
      <c r="B41" s="135" t="s">
        <v>244</v>
      </c>
      <c r="C41" s="135" t="s">
        <v>195</v>
      </c>
      <c r="D41" s="135" t="s">
        <v>247</v>
      </c>
      <c r="E41" s="135" t="s">
        <v>249</v>
      </c>
      <c r="F41" s="136"/>
      <c r="G41" s="135"/>
      <c r="H41" s="135"/>
      <c r="I41" s="137" t="s">
        <v>250</v>
      </c>
      <c r="J41" s="138"/>
      <c r="K41" s="139"/>
      <c r="L41" s="140"/>
      <c r="M41" s="539">
        <v>251000000</v>
      </c>
      <c r="N41" s="234"/>
    </row>
    <row r="42" spans="1:14" ht="128.25" customHeight="1">
      <c r="A42" s="142" t="s">
        <v>197</v>
      </c>
      <c r="B42" s="143" t="s">
        <v>244</v>
      </c>
      <c r="C42" s="143" t="s">
        <v>195</v>
      </c>
      <c r="D42" s="143" t="s">
        <v>247</v>
      </c>
      <c r="E42" s="143" t="s">
        <v>249</v>
      </c>
      <c r="F42" s="144">
        <v>2019005810182</v>
      </c>
      <c r="G42" s="143" t="s">
        <v>251</v>
      </c>
      <c r="H42" s="143" t="s">
        <v>252</v>
      </c>
      <c r="I42" s="145" t="s">
        <v>253</v>
      </c>
      <c r="J42" s="172"/>
      <c r="K42" s="173"/>
      <c r="L42" s="148">
        <f>+K43</f>
        <v>51000000</v>
      </c>
      <c r="M42" s="149"/>
    </row>
    <row r="43" spans="1:14" ht="45.75" customHeight="1" thickBot="1">
      <c r="A43" s="134"/>
      <c r="B43" s="135"/>
      <c r="C43" s="135"/>
      <c r="D43" s="135"/>
      <c r="E43" s="135"/>
      <c r="F43" s="136"/>
      <c r="G43" s="135"/>
      <c r="H43" s="135"/>
      <c r="I43" s="198"/>
      <c r="J43" s="432" t="s">
        <v>209</v>
      </c>
      <c r="K43" s="433">
        <v>51000000</v>
      </c>
      <c r="L43" s="200"/>
      <c r="M43" s="130"/>
    </row>
    <row r="44" spans="1:14" ht="67.5" customHeight="1">
      <c r="A44" s="201" t="s">
        <v>197</v>
      </c>
      <c r="B44" s="202" t="s">
        <v>244</v>
      </c>
      <c r="C44" s="202" t="s">
        <v>195</v>
      </c>
      <c r="D44" s="202" t="s">
        <v>247</v>
      </c>
      <c r="E44" s="202" t="s">
        <v>249</v>
      </c>
      <c r="F44" s="203">
        <v>2019005810180</v>
      </c>
      <c r="G44" s="202" t="s">
        <v>254</v>
      </c>
      <c r="H44" s="202" t="s">
        <v>252</v>
      </c>
      <c r="I44" s="204" t="s">
        <v>255</v>
      </c>
      <c r="J44" s="119"/>
      <c r="K44" s="120"/>
      <c r="L44" s="121">
        <f>SUM(K45:K47)</f>
        <v>100000000</v>
      </c>
      <c r="M44" s="130"/>
    </row>
    <row r="45" spans="1:14" ht="47.25" customHeight="1">
      <c r="A45" s="123"/>
      <c r="B45" s="124"/>
      <c r="C45" s="124"/>
      <c r="D45" s="124"/>
      <c r="E45" s="124"/>
      <c r="F45" s="125"/>
      <c r="G45" s="124"/>
      <c r="H45" s="124"/>
      <c r="I45" s="132"/>
      <c r="J45" s="437" t="s">
        <v>256</v>
      </c>
      <c r="K45" s="228">
        <v>74000000</v>
      </c>
      <c r="L45" s="129"/>
      <c r="M45" s="130"/>
    </row>
    <row r="46" spans="1:14" ht="57" customHeight="1">
      <c r="A46" s="123"/>
      <c r="B46" s="124"/>
      <c r="C46" s="124"/>
      <c r="D46" s="124"/>
      <c r="E46" s="124"/>
      <c r="F46" s="125"/>
      <c r="G46" s="124"/>
      <c r="H46" s="124"/>
      <c r="I46" s="132"/>
      <c r="J46" s="163" t="s">
        <v>257</v>
      </c>
      <c r="K46" s="228">
        <v>11000000</v>
      </c>
      <c r="L46" s="129"/>
      <c r="M46" s="130"/>
    </row>
    <row r="47" spans="1:14" ht="51" customHeight="1" thickBot="1">
      <c r="A47" s="134"/>
      <c r="B47" s="135"/>
      <c r="C47" s="135"/>
      <c r="D47" s="135"/>
      <c r="E47" s="135"/>
      <c r="F47" s="136"/>
      <c r="G47" s="135"/>
      <c r="H47" s="135"/>
      <c r="I47" s="137"/>
      <c r="J47" s="199" t="s">
        <v>258</v>
      </c>
      <c r="K47" s="438">
        <v>15000000</v>
      </c>
      <c r="L47" s="140"/>
      <c r="M47" s="130"/>
    </row>
    <row r="48" spans="1:14" ht="94.5" customHeight="1">
      <c r="A48" s="201" t="s">
        <v>197</v>
      </c>
      <c r="B48" s="202" t="s">
        <v>244</v>
      </c>
      <c r="C48" s="202" t="s">
        <v>195</v>
      </c>
      <c r="D48" s="202" t="s">
        <v>247</v>
      </c>
      <c r="E48" s="202" t="s">
        <v>249</v>
      </c>
      <c r="F48" s="205">
        <v>2019005810153</v>
      </c>
      <c r="G48" s="202" t="s">
        <v>259</v>
      </c>
      <c r="H48" s="202" t="s">
        <v>252</v>
      </c>
      <c r="I48" s="206" t="s">
        <v>260</v>
      </c>
      <c r="J48" s="207"/>
      <c r="K48" s="208"/>
      <c r="L48" s="209">
        <f>+K49</f>
        <v>100000000</v>
      </c>
      <c r="M48" s="130"/>
    </row>
    <row r="49" spans="1:14" ht="42" customHeight="1" thickBot="1">
      <c r="A49" s="150"/>
      <c r="B49" s="151"/>
      <c r="C49" s="151"/>
      <c r="D49" s="151"/>
      <c r="E49" s="151"/>
      <c r="F49" s="188"/>
      <c r="G49" s="151"/>
      <c r="H49" s="151"/>
      <c r="I49" s="189"/>
      <c r="J49" s="439" t="s">
        <v>256</v>
      </c>
      <c r="K49" s="436">
        <v>100000000</v>
      </c>
      <c r="L49" s="190"/>
      <c r="M49" s="157"/>
    </row>
    <row r="50" spans="1:14" ht="45" customHeight="1" thickBot="1">
      <c r="A50" s="210" t="s">
        <v>197</v>
      </c>
      <c r="B50" s="211" t="s">
        <v>244</v>
      </c>
      <c r="C50" s="211" t="s">
        <v>195</v>
      </c>
      <c r="D50" s="211" t="s">
        <v>247</v>
      </c>
      <c r="E50" s="211" t="s">
        <v>261</v>
      </c>
      <c r="F50" s="212"/>
      <c r="G50" s="211"/>
      <c r="H50" s="211"/>
      <c r="I50" s="213" t="s">
        <v>262</v>
      </c>
      <c r="J50" s="177"/>
      <c r="K50" s="178"/>
      <c r="L50" s="113"/>
      <c r="M50" s="540">
        <v>607500000</v>
      </c>
      <c r="N50" s="234">
        <f>M57+M32+M71+M332+'[1]POAI 2020'!$N$35+'[1]POAI 2020'!$N$32+'[1]POAI 2020'!$N$20+'[1]POAI 2020'!$N$21</f>
        <v>1311044150</v>
      </c>
    </row>
    <row r="51" spans="1:14" ht="86.25" customHeight="1">
      <c r="A51" s="142" t="s">
        <v>197</v>
      </c>
      <c r="B51" s="143" t="s">
        <v>244</v>
      </c>
      <c r="C51" s="143" t="s">
        <v>195</v>
      </c>
      <c r="D51" s="143" t="s">
        <v>247</v>
      </c>
      <c r="E51" s="143" t="s">
        <v>261</v>
      </c>
      <c r="F51" s="214">
        <v>2019005810167</v>
      </c>
      <c r="G51" s="143" t="s">
        <v>263</v>
      </c>
      <c r="H51" s="143" t="s">
        <v>264</v>
      </c>
      <c r="I51" s="215" t="s">
        <v>265</v>
      </c>
      <c r="J51" s="216"/>
      <c r="K51" s="217"/>
      <c r="L51" s="218">
        <f>SUM(K52:K53)</f>
        <v>607500000</v>
      </c>
      <c r="M51" s="149"/>
    </row>
    <row r="52" spans="1:14" ht="65.25" customHeight="1">
      <c r="A52" s="123"/>
      <c r="B52" s="124"/>
      <c r="C52" s="124"/>
      <c r="D52" s="124"/>
      <c r="E52" s="124"/>
      <c r="F52" s="219"/>
      <c r="G52" s="124"/>
      <c r="H52" s="124"/>
      <c r="I52" s="220"/>
      <c r="J52" s="440" t="s">
        <v>266</v>
      </c>
      <c r="K52" s="441">
        <v>600000000</v>
      </c>
      <c r="L52" s="221"/>
      <c r="M52" s="130"/>
    </row>
    <row r="53" spans="1:14" ht="60.75" customHeight="1" thickBot="1">
      <c r="A53" s="150"/>
      <c r="B53" s="151"/>
      <c r="C53" s="151"/>
      <c r="D53" s="151"/>
      <c r="E53" s="151"/>
      <c r="F53" s="222"/>
      <c r="G53" s="151"/>
      <c r="H53" s="151"/>
      <c r="I53" s="223"/>
      <c r="J53" s="442" t="s">
        <v>267</v>
      </c>
      <c r="K53" s="443">
        <v>7500000</v>
      </c>
      <c r="L53" s="224"/>
      <c r="M53" s="157"/>
    </row>
    <row r="54" spans="1:14" ht="34.5" customHeight="1">
      <c r="A54" s="115" t="s">
        <v>197</v>
      </c>
      <c r="B54" s="116" t="s">
        <v>197</v>
      </c>
      <c r="C54" s="116"/>
      <c r="D54" s="116"/>
      <c r="E54" s="116"/>
      <c r="F54" s="117"/>
      <c r="G54" s="116"/>
      <c r="H54" s="116"/>
      <c r="I54" s="118" t="s">
        <v>198</v>
      </c>
      <c r="J54" s="119"/>
      <c r="K54" s="120"/>
      <c r="L54" s="121"/>
      <c r="M54" s="122"/>
    </row>
    <row r="55" spans="1:14" ht="34.5" customHeight="1">
      <c r="A55" s="123" t="s">
        <v>197</v>
      </c>
      <c r="B55" s="124" t="s">
        <v>197</v>
      </c>
      <c r="C55" s="124" t="s">
        <v>199</v>
      </c>
      <c r="D55" s="124"/>
      <c r="E55" s="124"/>
      <c r="F55" s="125"/>
      <c r="G55" s="124"/>
      <c r="H55" s="124"/>
      <c r="I55" s="126" t="s">
        <v>200</v>
      </c>
      <c r="J55" s="127"/>
      <c r="K55" s="128"/>
      <c r="L55" s="129"/>
      <c r="M55" s="130"/>
    </row>
    <row r="56" spans="1:14" ht="34.5" customHeight="1">
      <c r="A56" s="123" t="s">
        <v>197</v>
      </c>
      <c r="B56" s="124" t="s">
        <v>197</v>
      </c>
      <c r="C56" s="124" t="s">
        <v>199</v>
      </c>
      <c r="D56" s="124" t="s">
        <v>201</v>
      </c>
      <c r="E56" s="124"/>
      <c r="F56" s="125"/>
      <c r="G56" s="124"/>
      <c r="H56" s="124"/>
      <c r="I56" s="132" t="s">
        <v>202</v>
      </c>
      <c r="J56" s="133"/>
      <c r="K56" s="128"/>
      <c r="L56" s="129"/>
      <c r="M56" s="130"/>
    </row>
    <row r="57" spans="1:14" ht="34.5" customHeight="1" thickBot="1">
      <c r="A57" s="134" t="s">
        <v>197</v>
      </c>
      <c r="B57" s="135" t="s">
        <v>197</v>
      </c>
      <c r="C57" s="135" t="s">
        <v>199</v>
      </c>
      <c r="D57" s="135" t="s">
        <v>201</v>
      </c>
      <c r="E57" s="135" t="s">
        <v>268</v>
      </c>
      <c r="F57" s="136"/>
      <c r="G57" s="135"/>
      <c r="H57" s="135"/>
      <c r="I57" s="137" t="s">
        <v>269</v>
      </c>
      <c r="J57" s="138"/>
      <c r="K57" s="139"/>
      <c r="L57" s="140"/>
      <c r="M57" s="539">
        <v>100000000</v>
      </c>
    </row>
    <row r="58" spans="1:14" ht="135.75" customHeight="1">
      <c r="A58" s="142" t="s">
        <v>197</v>
      </c>
      <c r="B58" s="143" t="s">
        <v>197</v>
      </c>
      <c r="C58" s="143" t="s">
        <v>199</v>
      </c>
      <c r="D58" s="143" t="s">
        <v>201</v>
      </c>
      <c r="E58" s="143" t="s">
        <v>268</v>
      </c>
      <c r="F58" s="144">
        <v>2019005810072</v>
      </c>
      <c r="G58" s="143" t="s">
        <v>270</v>
      </c>
      <c r="H58" s="143" t="s">
        <v>207</v>
      </c>
      <c r="I58" s="225" t="s">
        <v>271</v>
      </c>
      <c r="J58" s="195"/>
      <c r="K58" s="196"/>
      <c r="L58" s="197">
        <f>SUM(K59:K60)</f>
        <v>100000000</v>
      </c>
      <c r="M58" s="149"/>
    </row>
    <row r="59" spans="1:14" ht="48.75" customHeight="1">
      <c r="A59" s="123"/>
      <c r="B59" s="124"/>
      <c r="C59" s="124"/>
      <c r="D59" s="124"/>
      <c r="E59" s="124"/>
      <c r="F59" s="125"/>
      <c r="G59" s="124"/>
      <c r="H59" s="124"/>
      <c r="I59" s="132"/>
      <c r="J59" s="163" t="s">
        <v>242</v>
      </c>
      <c r="K59" s="228">
        <v>21970000</v>
      </c>
      <c r="L59" s="129"/>
      <c r="M59" s="130"/>
    </row>
    <row r="60" spans="1:14" ht="48.75" customHeight="1" thickBot="1">
      <c r="A60" s="150"/>
      <c r="B60" s="151"/>
      <c r="C60" s="151"/>
      <c r="D60" s="151"/>
      <c r="E60" s="151"/>
      <c r="F60" s="152"/>
      <c r="G60" s="151"/>
      <c r="H60" s="151"/>
      <c r="I60" s="226"/>
      <c r="J60" s="444" t="s">
        <v>256</v>
      </c>
      <c r="K60" s="445">
        <v>78030000</v>
      </c>
      <c r="L60" s="227"/>
      <c r="M60" s="157"/>
    </row>
    <row r="61" spans="1:14" ht="52.5" customHeight="1" thickBot="1">
      <c r="A61" s="106" t="s">
        <v>199</v>
      </c>
      <c r="B61" s="107"/>
      <c r="C61" s="107"/>
      <c r="D61" s="107"/>
      <c r="E61" s="107"/>
      <c r="F61" s="108"/>
      <c r="G61" s="109"/>
      <c r="H61" s="109"/>
      <c r="I61" s="110" t="s">
        <v>272</v>
      </c>
      <c r="J61" s="177"/>
      <c r="K61" s="178"/>
      <c r="L61" s="113"/>
      <c r="M61" s="114"/>
    </row>
    <row r="62" spans="1:14" ht="33" customHeight="1">
      <c r="A62" s="115" t="s">
        <v>199</v>
      </c>
      <c r="B62" s="116" t="s">
        <v>244</v>
      </c>
      <c r="C62" s="116"/>
      <c r="D62" s="116"/>
      <c r="E62" s="116"/>
      <c r="F62" s="117"/>
      <c r="G62" s="116"/>
      <c r="H62" s="116"/>
      <c r="I62" s="118" t="s">
        <v>245</v>
      </c>
      <c r="J62" s="119"/>
      <c r="K62" s="120"/>
      <c r="L62" s="121"/>
      <c r="M62" s="122"/>
    </row>
    <row r="63" spans="1:14" ht="36" customHeight="1">
      <c r="A63" s="123" t="s">
        <v>199</v>
      </c>
      <c r="B63" s="124" t="s">
        <v>244</v>
      </c>
      <c r="C63" s="124" t="s">
        <v>244</v>
      </c>
      <c r="D63" s="124"/>
      <c r="E63" s="124"/>
      <c r="F63" s="125"/>
      <c r="G63" s="124"/>
      <c r="H63" s="124"/>
      <c r="I63" s="126" t="s">
        <v>273</v>
      </c>
      <c r="J63" s="127"/>
      <c r="K63" s="128"/>
      <c r="L63" s="129"/>
      <c r="M63" s="130"/>
    </row>
    <row r="64" spans="1:14" ht="27" customHeight="1">
      <c r="A64" s="123" t="s">
        <v>199</v>
      </c>
      <c r="B64" s="124" t="s">
        <v>244</v>
      </c>
      <c r="C64" s="124" t="s">
        <v>244</v>
      </c>
      <c r="D64" s="124" t="s">
        <v>197</v>
      </c>
      <c r="E64" s="124"/>
      <c r="F64" s="125"/>
      <c r="G64" s="124"/>
      <c r="H64" s="124"/>
      <c r="I64" s="132" t="s">
        <v>274</v>
      </c>
      <c r="J64" s="133"/>
      <c r="K64" s="128"/>
      <c r="L64" s="129"/>
      <c r="M64" s="130"/>
    </row>
    <row r="65" spans="1:15" ht="27" customHeight="1" thickBot="1">
      <c r="A65" s="134" t="s">
        <v>199</v>
      </c>
      <c r="B65" s="135" t="s">
        <v>244</v>
      </c>
      <c r="C65" s="135" t="s">
        <v>244</v>
      </c>
      <c r="D65" s="135" t="s">
        <v>197</v>
      </c>
      <c r="E65" s="135" t="s">
        <v>247</v>
      </c>
      <c r="F65" s="136"/>
      <c r="G65" s="135"/>
      <c r="H65" s="135"/>
      <c r="I65" s="137" t="s">
        <v>275</v>
      </c>
      <c r="J65" s="138"/>
      <c r="K65" s="139"/>
      <c r="L65" s="140"/>
      <c r="M65" s="539">
        <v>3000000000</v>
      </c>
      <c r="N65" s="234">
        <f>M65+'[1]POAI 2020'!$N$27</f>
        <v>3200000000</v>
      </c>
    </row>
    <row r="66" spans="1:15" ht="123.75" customHeight="1">
      <c r="A66" s="142" t="s">
        <v>199</v>
      </c>
      <c r="B66" s="143" t="s">
        <v>244</v>
      </c>
      <c r="C66" s="143" t="s">
        <v>244</v>
      </c>
      <c r="D66" s="143" t="s">
        <v>197</v>
      </c>
      <c r="E66" s="143" t="s">
        <v>247</v>
      </c>
      <c r="F66" s="144">
        <v>2019005810163</v>
      </c>
      <c r="G66" s="143" t="s">
        <v>276</v>
      </c>
      <c r="H66" s="143" t="s">
        <v>252</v>
      </c>
      <c r="I66" s="225" t="s">
        <v>277</v>
      </c>
      <c r="J66" s="195"/>
      <c r="K66" s="196"/>
      <c r="L66" s="197">
        <f>SUM(K67:K70)</f>
        <v>3000000000</v>
      </c>
      <c r="M66" s="149"/>
    </row>
    <row r="67" spans="1:15" ht="39.75" customHeight="1">
      <c r="A67" s="123"/>
      <c r="B67" s="124"/>
      <c r="C67" s="124"/>
      <c r="D67" s="124"/>
      <c r="E67" s="124"/>
      <c r="F67" s="125"/>
      <c r="G67" s="124"/>
      <c r="H67" s="124"/>
      <c r="I67" s="132"/>
      <c r="J67" s="447" t="s">
        <v>278</v>
      </c>
      <c r="K67" s="448">
        <v>1300000000</v>
      </c>
      <c r="L67" s="129"/>
      <c r="M67" s="130"/>
    </row>
    <row r="68" spans="1:15" ht="39.75" customHeight="1">
      <c r="A68" s="123"/>
      <c r="B68" s="124"/>
      <c r="C68" s="124"/>
      <c r="D68" s="124"/>
      <c r="E68" s="124"/>
      <c r="F68" s="125"/>
      <c r="G68" s="124"/>
      <c r="H68" s="124"/>
      <c r="I68" s="132"/>
      <c r="J68" s="163" t="s">
        <v>209</v>
      </c>
      <c r="K68" s="228">
        <v>100000000</v>
      </c>
      <c r="L68" s="129"/>
      <c r="M68" s="130"/>
    </row>
    <row r="69" spans="1:15" ht="51" customHeight="1">
      <c r="A69" s="123"/>
      <c r="B69" s="124"/>
      <c r="C69" s="124"/>
      <c r="D69" s="124"/>
      <c r="E69" s="124"/>
      <c r="F69" s="125"/>
      <c r="G69" s="124"/>
      <c r="H69" s="124"/>
      <c r="I69" s="132"/>
      <c r="J69" s="163" t="s">
        <v>241</v>
      </c>
      <c r="K69" s="228">
        <v>100000000</v>
      </c>
      <c r="L69" s="129"/>
      <c r="M69" s="130"/>
    </row>
    <row r="70" spans="1:15" ht="49.5" customHeight="1" thickBot="1">
      <c r="A70" s="150"/>
      <c r="B70" s="151"/>
      <c r="C70" s="151"/>
      <c r="D70" s="151"/>
      <c r="E70" s="151"/>
      <c r="F70" s="152"/>
      <c r="G70" s="151"/>
      <c r="H70" s="151"/>
      <c r="I70" s="226"/>
      <c r="J70" s="154" t="s">
        <v>256</v>
      </c>
      <c r="K70" s="446">
        <v>1500000000</v>
      </c>
      <c r="L70" s="227"/>
      <c r="M70" s="157"/>
    </row>
    <row r="71" spans="1:15" ht="42.75" customHeight="1" thickBot="1">
      <c r="A71" s="210" t="s">
        <v>199</v>
      </c>
      <c r="B71" s="211" t="s">
        <v>197</v>
      </c>
      <c r="C71" s="211" t="s">
        <v>199</v>
      </c>
      <c r="D71" s="211" t="s">
        <v>279</v>
      </c>
      <c r="E71" s="211" t="s">
        <v>280</v>
      </c>
      <c r="F71" s="212"/>
      <c r="G71" s="211"/>
      <c r="H71" s="211"/>
      <c r="I71" s="213" t="s">
        <v>281</v>
      </c>
      <c r="J71" s="177"/>
      <c r="K71" s="178"/>
      <c r="L71" s="113"/>
      <c r="M71" s="540">
        <v>600000000</v>
      </c>
      <c r="N71" s="234">
        <f>M71+340000000+'[1]POAI 2020'!$N$20+'[1]POAI 2020'!$N$21+'[1]POAI 2020'!$N$32+'[1]POAI 2020'!$N$35</f>
        <v>1280000000</v>
      </c>
      <c r="O71" s="234">
        <f>N71-140000000</f>
        <v>1140000000</v>
      </c>
    </row>
    <row r="72" spans="1:15" ht="117" customHeight="1">
      <c r="A72" s="158" t="s">
        <v>199</v>
      </c>
      <c r="B72" s="143" t="s">
        <v>197</v>
      </c>
      <c r="C72" s="143" t="s">
        <v>199</v>
      </c>
      <c r="D72" s="143" t="s">
        <v>279</v>
      </c>
      <c r="E72" s="143" t="s">
        <v>280</v>
      </c>
      <c r="F72" s="144">
        <v>2019005810174</v>
      </c>
      <c r="G72" s="143" t="s">
        <v>282</v>
      </c>
      <c r="H72" s="143" t="s">
        <v>207</v>
      </c>
      <c r="I72" s="225" t="s">
        <v>283</v>
      </c>
      <c r="J72" s="195"/>
      <c r="K72" s="196"/>
      <c r="L72" s="197">
        <f>+K73</f>
        <v>500000000</v>
      </c>
      <c r="M72" s="149"/>
    </row>
    <row r="73" spans="1:15" ht="45" customHeight="1" thickBot="1">
      <c r="A73" s="229"/>
      <c r="B73" s="230"/>
      <c r="C73" s="230"/>
      <c r="D73" s="230"/>
      <c r="E73" s="230"/>
      <c r="F73" s="231"/>
      <c r="G73" s="230"/>
      <c r="H73" s="230"/>
      <c r="I73" s="232"/>
      <c r="J73" s="199" t="s">
        <v>256</v>
      </c>
      <c r="K73" s="438">
        <v>500000000</v>
      </c>
      <c r="L73" s="140"/>
      <c r="M73" s="130"/>
    </row>
    <row r="74" spans="1:15" ht="92.25" customHeight="1">
      <c r="A74" s="233" t="s">
        <v>199</v>
      </c>
      <c r="B74" s="202" t="s">
        <v>197</v>
      </c>
      <c r="C74" s="202" t="s">
        <v>199</v>
      </c>
      <c r="D74" s="202" t="s">
        <v>279</v>
      </c>
      <c r="E74" s="202" t="s">
        <v>280</v>
      </c>
      <c r="F74" s="203">
        <v>2019005810139</v>
      </c>
      <c r="G74" s="202" t="s">
        <v>284</v>
      </c>
      <c r="H74" s="202" t="s">
        <v>207</v>
      </c>
      <c r="I74" s="204" t="s">
        <v>285</v>
      </c>
      <c r="J74" s="119"/>
      <c r="K74" s="120"/>
      <c r="L74" s="121">
        <f>+K75</f>
        <v>100000000</v>
      </c>
      <c r="M74" s="130"/>
    </row>
    <row r="75" spans="1:15" ht="49.5" customHeight="1" thickBot="1">
      <c r="A75" s="168"/>
      <c r="B75" s="151"/>
      <c r="C75" s="151"/>
      <c r="D75" s="151"/>
      <c r="E75" s="151"/>
      <c r="F75" s="152"/>
      <c r="G75" s="151"/>
      <c r="H75" s="151"/>
      <c r="I75" s="226"/>
      <c r="J75" s="154" t="s">
        <v>256</v>
      </c>
      <c r="K75" s="446">
        <v>100000000</v>
      </c>
      <c r="L75" s="227"/>
      <c r="M75" s="157"/>
    </row>
    <row r="76" spans="1:15" ht="39.75" customHeight="1" thickBot="1">
      <c r="A76" s="106" t="s">
        <v>219</v>
      </c>
      <c r="B76" s="107"/>
      <c r="C76" s="107"/>
      <c r="D76" s="107"/>
      <c r="E76" s="107"/>
      <c r="F76" s="176"/>
      <c r="G76" s="109"/>
      <c r="H76" s="109"/>
      <c r="I76" s="110" t="s">
        <v>286</v>
      </c>
      <c r="J76" s="177"/>
      <c r="K76" s="178"/>
      <c r="L76" s="113"/>
      <c r="M76" s="114"/>
    </row>
    <row r="77" spans="1:15" ht="32.25" customHeight="1">
      <c r="A77" s="191" t="s">
        <v>219</v>
      </c>
      <c r="B77" s="192" t="s">
        <v>244</v>
      </c>
      <c r="C77" s="192"/>
      <c r="D77" s="192"/>
      <c r="E77" s="192"/>
      <c r="F77" s="193"/>
      <c r="G77" s="192"/>
      <c r="H77" s="192"/>
      <c r="I77" s="194" t="s">
        <v>245</v>
      </c>
      <c r="J77" s="195"/>
      <c r="K77" s="196"/>
      <c r="L77" s="197"/>
      <c r="M77" s="149"/>
    </row>
    <row r="78" spans="1:15" ht="20.399999999999999">
      <c r="A78" s="123" t="s">
        <v>219</v>
      </c>
      <c r="B78" s="124" t="s">
        <v>244</v>
      </c>
      <c r="C78" s="124" t="s">
        <v>244</v>
      </c>
      <c r="D78" s="124"/>
      <c r="E78" s="124"/>
      <c r="F78" s="125"/>
      <c r="G78" s="124"/>
      <c r="H78" s="124"/>
      <c r="I78" s="126" t="s">
        <v>273</v>
      </c>
      <c r="J78" s="127"/>
      <c r="K78" s="128"/>
      <c r="L78" s="129"/>
      <c r="M78" s="130"/>
    </row>
    <row r="79" spans="1:15" ht="33" customHeight="1">
      <c r="A79" s="123" t="s">
        <v>219</v>
      </c>
      <c r="B79" s="124" t="s">
        <v>244</v>
      </c>
      <c r="C79" s="124" t="s">
        <v>244</v>
      </c>
      <c r="D79" s="124" t="s">
        <v>244</v>
      </c>
      <c r="E79" s="124"/>
      <c r="F79" s="125"/>
      <c r="G79" s="124"/>
      <c r="H79" s="124"/>
      <c r="I79" s="132" t="s">
        <v>287</v>
      </c>
      <c r="J79" s="133"/>
      <c r="K79" s="128"/>
      <c r="L79" s="129"/>
      <c r="M79" s="130"/>
    </row>
    <row r="80" spans="1:15" ht="33" customHeight="1" thickBot="1">
      <c r="A80" s="134" t="s">
        <v>219</v>
      </c>
      <c r="B80" s="135" t="s">
        <v>244</v>
      </c>
      <c r="C80" s="135" t="s">
        <v>244</v>
      </c>
      <c r="D80" s="135" t="s">
        <v>244</v>
      </c>
      <c r="E80" s="135" t="s">
        <v>195</v>
      </c>
      <c r="F80" s="136"/>
      <c r="G80" s="135"/>
      <c r="H80" s="135"/>
      <c r="I80" s="137" t="s">
        <v>288</v>
      </c>
      <c r="J80" s="138"/>
      <c r="K80" s="139"/>
      <c r="L80" s="140"/>
      <c r="M80" s="539">
        <f>SUM(L81:L85)</f>
        <v>19686332889</v>
      </c>
      <c r="N80" s="234">
        <f>M80+M89+M199+'[1]POAI 2020'!$N$41</f>
        <v>205908639076</v>
      </c>
    </row>
    <row r="81" spans="1:16" ht="105" customHeight="1">
      <c r="A81" s="142" t="s">
        <v>219</v>
      </c>
      <c r="B81" s="143" t="s">
        <v>244</v>
      </c>
      <c r="C81" s="143" t="s">
        <v>244</v>
      </c>
      <c r="D81" s="143" t="s">
        <v>244</v>
      </c>
      <c r="E81" s="143" t="s">
        <v>195</v>
      </c>
      <c r="F81" s="144">
        <v>2019005810147</v>
      </c>
      <c r="G81" s="143" t="s">
        <v>289</v>
      </c>
      <c r="H81" s="143" t="s">
        <v>252</v>
      </c>
      <c r="I81" s="225" t="s">
        <v>290</v>
      </c>
      <c r="J81" s="195"/>
      <c r="K81" s="196"/>
      <c r="L81" s="197">
        <f>SUM(K82:K83)</f>
        <v>303750000</v>
      </c>
      <c r="M81" s="149"/>
      <c r="O81" s="234">
        <f>+L81+L84</f>
        <v>19686332889</v>
      </c>
    </row>
    <row r="82" spans="1:16" ht="64.5" customHeight="1">
      <c r="A82" s="123"/>
      <c r="B82" s="124"/>
      <c r="C82" s="124"/>
      <c r="D82" s="124"/>
      <c r="E82" s="124"/>
      <c r="F82" s="125"/>
      <c r="G82" s="124"/>
      <c r="H82" s="124"/>
      <c r="I82" s="132"/>
      <c r="J82" s="440" t="s">
        <v>266</v>
      </c>
      <c r="K82" s="449">
        <v>300000000</v>
      </c>
      <c r="L82" s="129"/>
      <c r="M82" s="130"/>
    </row>
    <row r="83" spans="1:16" ht="60.75" customHeight="1" thickBot="1">
      <c r="A83" s="134"/>
      <c r="B83" s="135"/>
      <c r="C83" s="135"/>
      <c r="D83" s="135"/>
      <c r="E83" s="135"/>
      <c r="F83" s="136"/>
      <c r="G83" s="135"/>
      <c r="H83" s="135"/>
      <c r="I83" s="137"/>
      <c r="J83" s="450" t="s">
        <v>267</v>
      </c>
      <c r="K83" s="451">
        <v>3750000</v>
      </c>
      <c r="L83" s="140"/>
      <c r="M83" s="130"/>
    </row>
    <row r="84" spans="1:16" ht="93" thickBot="1">
      <c r="A84" s="201" t="s">
        <v>219</v>
      </c>
      <c r="B84" s="202" t="s">
        <v>244</v>
      </c>
      <c r="C84" s="202" t="s">
        <v>244</v>
      </c>
      <c r="D84" s="202" t="s">
        <v>244</v>
      </c>
      <c r="E84" s="202" t="s">
        <v>195</v>
      </c>
      <c r="F84" s="203">
        <v>2019005810108</v>
      </c>
      <c r="G84" s="202" t="s">
        <v>291</v>
      </c>
      <c r="H84" s="202" t="s">
        <v>252</v>
      </c>
      <c r="I84" s="235" t="s">
        <v>292</v>
      </c>
      <c r="J84" s="236"/>
      <c r="K84" s="237"/>
      <c r="L84" s="238">
        <f>SUM(K85:K88)</f>
        <v>19382582889</v>
      </c>
      <c r="M84" s="130"/>
      <c r="N84" s="239" t="s">
        <v>293</v>
      </c>
      <c r="O84" s="240" t="s">
        <v>294</v>
      </c>
      <c r="P84" s="241"/>
    </row>
    <row r="85" spans="1:16" ht="69.75" customHeight="1">
      <c r="A85" s="191"/>
      <c r="B85" s="192"/>
      <c r="C85" s="192"/>
      <c r="D85" s="192"/>
      <c r="E85" s="192"/>
      <c r="F85" s="193"/>
      <c r="G85" s="192"/>
      <c r="H85" s="192"/>
      <c r="I85" s="242"/>
      <c r="J85" s="456" t="s">
        <v>295</v>
      </c>
      <c r="K85" s="457">
        <v>8000000000</v>
      </c>
      <c r="L85" s="148"/>
      <c r="M85" s="130"/>
    </row>
    <row r="86" spans="1:16" ht="83.25" customHeight="1">
      <c r="A86" s="191"/>
      <c r="B86" s="192"/>
      <c r="C86" s="192"/>
      <c r="D86" s="192"/>
      <c r="E86" s="192"/>
      <c r="F86" s="193"/>
      <c r="G86" s="192"/>
      <c r="H86" s="192"/>
      <c r="I86" s="242"/>
      <c r="J86" s="458" t="s">
        <v>296</v>
      </c>
      <c r="K86" s="457">
        <v>11009131488</v>
      </c>
      <c r="L86" s="148"/>
      <c r="M86" s="130"/>
    </row>
    <row r="87" spans="1:16" ht="91.5" customHeight="1">
      <c r="A87" s="191"/>
      <c r="B87" s="192"/>
      <c r="C87" s="192"/>
      <c r="D87" s="192"/>
      <c r="E87" s="192"/>
      <c r="F87" s="193"/>
      <c r="G87" s="192"/>
      <c r="H87" s="192"/>
      <c r="I87" s="242"/>
      <c r="J87" s="458" t="s">
        <v>47</v>
      </c>
      <c r="K87" s="457">
        <v>372451401</v>
      </c>
      <c r="L87" s="148"/>
      <c r="M87" s="130"/>
    </row>
    <row r="88" spans="1:16" ht="125.25" customHeight="1" thickBot="1">
      <c r="A88" s="243"/>
      <c r="B88" s="244"/>
      <c r="C88" s="244"/>
      <c r="D88" s="244"/>
      <c r="E88" s="244"/>
      <c r="F88" s="245"/>
      <c r="G88" s="244"/>
      <c r="H88" s="244"/>
      <c r="I88" s="246"/>
      <c r="J88" s="459" t="s">
        <v>297</v>
      </c>
      <c r="K88" s="460">
        <v>1000000</v>
      </c>
      <c r="L88" s="247"/>
      <c r="M88" s="157"/>
    </row>
    <row r="89" spans="1:16" ht="29.25" customHeight="1" thickBot="1">
      <c r="A89" s="210" t="s">
        <v>219</v>
      </c>
      <c r="B89" s="211" t="s">
        <v>244</v>
      </c>
      <c r="C89" s="211" t="s">
        <v>244</v>
      </c>
      <c r="D89" s="211" t="s">
        <v>244</v>
      </c>
      <c r="E89" s="211" t="s">
        <v>197</v>
      </c>
      <c r="F89" s="212"/>
      <c r="G89" s="211"/>
      <c r="H89" s="211"/>
      <c r="I89" s="213" t="s">
        <v>298</v>
      </c>
      <c r="J89" s="177"/>
      <c r="K89" s="178"/>
      <c r="L89" s="113"/>
      <c r="M89" s="540">
        <v>97500000</v>
      </c>
    </row>
    <row r="90" spans="1:16" ht="98.25" customHeight="1">
      <c r="A90" s="142" t="s">
        <v>219</v>
      </c>
      <c r="B90" s="143" t="s">
        <v>244</v>
      </c>
      <c r="C90" s="143" t="s">
        <v>244</v>
      </c>
      <c r="D90" s="143" t="s">
        <v>244</v>
      </c>
      <c r="E90" s="143" t="s">
        <v>197</v>
      </c>
      <c r="F90" s="144">
        <v>2019005810144</v>
      </c>
      <c r="G90" s="143" t="s">
        <v>299</v>
      </c>
      <c r="H90" s="143" t="s">
        <v>252</v>
      </c>
      <c r="I90" s="145" t="s">
        <v>300</v>
      </c>
      <c r="J90" s="172"/>
      <c r="K90" s="173"/>
      <c r="L90" s="148">
        <f>SUM(K91:K92)</f>
        <v>97500000</v>
      </c>
      <c r="M90" s="149"/>
    </row>
    <row r="91" spans="1:16" ht="52.5" customHeight="1">
      <c r="A91" s="123"/>
      <c r="B91" s="124"/>
      <c r="C91" s="124"/>
      <c r="D91" s="124"/>
      <c r="E91" s="124"/>
      <c r="F91" s="125"/>
      <c r="G91" s="124"/>
      <c r="H91" s="124"/>
      <c r="I91" s="162"/>
      <c r="J91" s="440" t="s">
        <v>217</v>
      </c>
      <c r="K91" s="452">
        <v>96000000</v>
      </c>
      <c r="L91" s="165"/>
      <c r="M91" s="130"/>
    </row>
    <row r="92" spans="1:16" ht="50.25" customHeight="1" thickBot="1">
      <c r="A92" s="150"/>
      <c r="B92" s="151"/>
      <c r="C92" s="151"/>
      <c r="D92" s="151"/>
      <c r="E92" s="151"/>
      <c r="F92" s="152"/>
      <c r="G92" s="151"/>
      <c r="H92" s="151"/>
      <c r="I92" s="153"/>
      <c r="J92" s="442" t="s">
        <v>218</v>
      </c>
      <c r="K92" s="453">
        <v>1500000</v>
      </c>
      <c r="L92" s="156"/>
      <c r="M92" s="157"/>
    </row>
    <row r="93" spans="1:16" ht="38.25" customHeight="1">
      <c r="A93" s="115" t="s">
        <v>219</v>
      </c>
      <c r="B93" s="116" t="s">
        <v>244</v>
      </c>
      <c r="C93" s="116" t="s">
        <v>244</v>
      </c>
      <c r="D93" s="116" t="s">
        <v>301</v>
      </c>
      <c r="E93" s="116"/>
      <c r="F93" s="117"/>
      <c r="G93" s="116"/>
      <c r="H93" s="116"/>
      <c r="I93" s="118" t="s">
        <v>302</v>
      </c>
      <c r="J93" s="119"/>
      <c r="K93" s="120"/>
      <c r="L93" s="121"/>
      <c r="M93" s="122"/>
    </row>
    <row r="94" spans="1:16" ht="38.25" customHeight="1" thickBot="1">
      <c r="A94" s="134" t="s">
        <v>219</v>
      </c>
      <c r="B94" s="135" t="s">
        <v>244</v>
      </c>
      <c r="C94" s="135" t="s">
        <v>244</v>
      </c>
      <c r="D94" s="135" t="s">
        <v>301</v>
      </c>
      <c r="E94" s="135" t="s">
        <v>303</v>
      </c>
      <c r="F94" s="136"/>
      <c r="G94" s="135"/>
      <c r="H94" s="135"/>
      <c r="I94" s="137" t="s">
        <v>304</v>
      </c>
      <c r="J94" s="138"/>
      <c r="K94" s="139"/>
      <c r="L94" s="140"/>
      <c r="M94" s="539">
        <v>3580000000</v>
      </c>
    </row>
    <row r="95" spans="1:16" ht="88.5" customHeight="1">
      <c r="A95" s="142" t="s">
        <v>219</v>
      </c>
      <c r="B95" s="143" t="s">
        <v>244</v>
      </c>
      <c r="C95" s="143" t="s">
        <v>244</v>
      </c>
      <c r="D95" s="143" t="s">
        <v>301</v>
      </c>
      <c r="E95" s="143" t="s">
        <v>303</v>
      </c>
      <c r="F95" s="144">
        <v>2019005810196</v>
      </c>
      <c r="G95" s="143" t="s">
        <v>305</v>
      </c>
      <c r="H95" s="143" t="s">
        <v>252</v>
      </c>
      <c r="I95" s="248" t="s">
        <v>306</v>
      </c>
      <c r="J95" s="172"/>
      <c r="K95" s="173"/>
      <c r="L95" s="148">
        <f>SUM(K96:K97)</f>
        <v>3060000000</v>
      </c>
      <c r="M95" s="149"/>
    </row>
    <row r="96" spans="1:16" ht="28.5" customHeight="1">
      <c r="A96" s="123"/>
      <c r="B96" s="124"/>
      <c r="C96" s="124"/>
      <c r="D96" s="124"/>
      <c r="E96" s="124"/>
      <c r="F96" s="125"/>
      <c r="G96" s="124"/>
      <c r="H96" s="124"/>
      <c r="I96" s="249"/>
      <c r="J96" s="440" t="s">
        <v>6</v>
      </c>
      <c r="K96" s="452">
        <v>3000000000</v>
      </c>
      <c r="L96" s="165"/>
      <c r="M96" s="130"/>
    </row>
    <row r="97" spans="1:13" ht="52.5" customHeight="1" thickBot="1">
      <c r="A97" s="134"/>
      <c r="B97" s="135"/>
      <c r="C97" s="135"/>
      <c r="D97" s="135"/>
      <c r="E97" s="135"/>
      <c r="F97" s="136"/>
      <c r="G97" s="135"/>
      <c r="H97" s="135"/>
      <c r="I97" s="250"/>
      <c r="J97" s="450" t="s">
        <v>16</v>
      </c>
      <c r="K97" s="461">
        <v>60000000</v>
      </c>
      <c r="L97" s="200"/>
      <c r="M97" s="130"/>
    </row>
    <row r="98" spans="1:13" ht="107.25" customHeight="1">
      <c r="A98" s="201" t="s">
        <v>219</v>
      </c>
      <c r="B98" s="202" t="s">
        <v>244</v>
      </c>
      <c r="C98" s="202" t="s">
        <v>244</v>
      </c>
      <c r="D98" s="202" t="s">
        <v>301</v>
      </c>
      <c r="E98" s="202" t="s">
        <v>303</v>
      </c>
      <c r="F98" s="203">
        <v>2019005810015</v>
      </c>
      <c r="G98" s="202" t="s">
        <v>307</v>
      </c>
      <c r="H98" s="202" t="s">
        <v>252</v>
      </c>
      <c r="I98" s="235" t="s">
        <v>308</v>
      </c>
      <c r="J98" s="236"/>
      <c r="K98" s="237"/>
      <c r="L98" s="238">
        <f>SUM(K99:K101)</f>
        <v>520000000</v>
      </c>
      <c r="M98" s="130"/>
    </row>
    <row r="99" spans="1:13" ht="103.5" customHeight="1">
      <c r="A99" s="191"/>
      <c r="B99" s="192"/>
      <c r="C99" s="192"/>
      <c r="D99" s="192"/>
      <c r="E99" s="192"/>
      <c r="F99" s="193"/>
      <c r="G99" s="192"/>
      <c r="H99" s="192"/>
      <c r="I99" s="242"/>
      <c r="J99" s="447" t="s">
        <v>309</v>
      </c>
      <c r="K99" s="463">
        <v>10000000</v>
      </c>
      <c r="L99" s="148"/>
      <c r="M99" s="130"/>
    </row>
    <row r="100" spans="1:13" ht="31.5" customHeight="1">
      <c r="A100" s="191"/>
      <c r="B100" s="192"/>
      <c r="C100" s="192"/>
      <c r="D100" s="192"/>
      <c r="E100" s="192"/>
      <c r="F100" s="193"/>
      <c r="G100" s="192"/>
      <c r="H100" s="192"/>
      <c r="I100" s="242"/>
      <c r="J100" s="440" t="s">
        <v>6</v>
      </c>
      <c r="K100" s="462">
        <v>500000000</v>
      </c>
      <c r="L100" s="148"/>
      <c r="M100" s="130"/>
    </row>
    <row r="101" spans="1:13" ht="45" customHeight="1" thickBot="1">
      <c r="A101" s="150"/>
      <c r="B101" s="151"/>
      <c r="C101" s="151"/>
      <c r="D101" s="151"/>
      <c r="E101" s="151"/>
      <c r="F101" s="152"/>
      <c r="G101" s="151"/>
      <c r="H101" s="151"/>
      <c r="I101" s="153"/>
      <c r="J101" s="442" t="s">
        <v>59</v>
      </c>
      <c r="K101" s="453">
        <v>10000000</v>
      </c>
      <c r="L101" s="156"/>
      <c r="M101" s="157"/>
    </row>
    <row r="102" spans="1:13" ht="46.5" customHeight="1" thickBot="1">
      <c r="A102" s="210" t="s">
        <v>219</v>
      </c>
      <c r="B102" s="211" t="s">
        <v>244</v>
      </c>
      <c r="C102" s="211" t="s">
        <v>244</v>
      </c>
      <c r="D102" s="211" t="s">
        <v>301</v>
      </c>
      <c r="E102" s="211" t="s">
        <v>310</v>
      </c>
      <c r="F102" s="212"/>
      <c r="G102" s="211"/>
      <c r="H102" s="211"/>
      <c r="I102" s="213" t="s">
        <v>311</v>
      </c>
      <c r="J102" s="177"/>
      <c r="K102" s="178"/>
      <c r="L102" s="113"/>
      <c r="M102" s="540">
        <v>113000000</v>
      </c>
    </row>
    <row r="103" spans="1:13" ht="114" customHeight="1">
      <c r="A103" s="142" t="s">
        <v>219</v>
      </c>
      <c r="B103" s="143" t="s">
        <v>244</v>
      </c>
      <c r="C103" s="143" t="s">
        <v>244</v>
      </c>
      <c r="D103" s="143" t="s">
        <v>301</v>
      </c>
      <c r="E103" s="143" t="s">
        <v>310</v>
      </c>
      <c r="F103" s="143" t="s">
        <v>312</v>
      </c>
      <c r="G103" s="143" t="s">
        <v>313</v>
      </c>
      <c r="H103" s="143" t="s">
        <v>252</v>
      </c>
      <c r="I103" s="145" t="s">
        <v>314</v>
      </c>
      <c r="J103" s="172"/>
      <c r="K103" s="173"/>
      <c r="L103" s="148">
        <f>+K104</f>
        <v>113000000</v>
      </c>
      <c r="M103" s="149"/>
    </row>
    <row r="104" spans="1:13" ht="56.25" customHeight="1" thickBot="1">
      <c r="A104" s="150"/>
      <c r="B104" s="151"/>
      <c r="C104" s="151"/>
      <c r="D104" s="151"/>
      <c r="E104" s="151"/>
      <c r="F104" s="151"/>
      <c r="G104" s="151"/>
      <c r="H104" s="151"/>
      <c r="I104" s="153"/>
      <c r="J104" s="459" t="s">
        <v>315</v>
      </c>
      <c r="K104" s="464">
        <v>113000000</v>
      </c>
      <c r="L104" s="156"/>
      <c r="M104" s="157"/>
    </row>
    <row r="105" spans="1:13" ht="63.75" customHeight="1" thickBot="1">
      <c r="A105" s="106" t="s">
        <v>316</v>
      </c>
      <c r="B105" s="107"/>
      <c r="C105" s="107"/>
      <c r="D105" s="107"/>
      <c r="E105" s="107"/>
      <c r="F105" s="176"/>
      <c r="G105" s="109"/>
      <c r="H105" s="109"/>
      <c r="I105" s="110" t="s">
        <v>317</v>
      </c>
      <c r="J105" s="177"/>
      <c r="K105" s="178"/>
      <c r="L105" s="113"/>
      <c r="M105" s="114"/>
    </row>
    <row r="106" spans="1:13" ht="30.75" customHeight="1">
      <c r="A106" s="115" t="s">
        <v>316</v>
      </c>
      <c r="B106" s="116" t="s">
        <v>195</v>
      </c>
      <c r="C106" s="116"/>
      <c r="D106" s="116"/>
      <c r="E106" s="116"/>
      <c r="F106" s="117"/>
      <c r="G106" s="116"/>
      <c r="H106" s="116"/>
      <c r="I106" s="118" t="s">
        <v>318</v>
      </c>
      <c r="J106" s="119"/>
      <c r="K106" s="120"/>
      <c r="L106" s="121"/>
      <c r="M106" s="122"/>
    </row>
    <row r="107" spans="1:13" ht="42" customHeight="1">
      <c r="A107" s="123" t="s">
        <v>316</v>
      </c>
      <c r="B107" s="124" t="s">
        <v>195</v>
      </c>
      <c r="C107" s="124" t="s">
        <v>235</v>
      </c>
      <c r="D107" s="124"/>
      <c r="E107" s="124"/>
      <c r="F107" s="125"/>
      <c r="G107" s="124"/>
      <c r="H107" s="124"/>
      <c r="I107" s="126" t="s">
        <v>319</v>
      </c>
      <c r="J107" s="127"/>
      <c r="K107" s="128"/>
      <c r="L107" s="129"/>
      <c r="M107" s="130"/>
    </row>
    <row r="108" spans="1:13" ht="31.5" customHeight="1">
      <c r="A108" s="123" t="s">
        <v>316</v>
      </c>
      <c r="B108" s="124" t="s">
        <v>195</v>
      </c>
      <c r="C108" s="124" t="s">
        <v>235</v>
      </c>
      <c r="D108" s="124" t="s">
        <v>320</v>
      </c>
      <c r="E108" s="124"/>
      <c r="F108" s="125"/>
      <c r="G108" s="124"/>
      <c r="H108" s="124"/>
      <c r="I108" s="132" t="s">
        <v>321</v>
      </c>
      <c r="J108" s="133"/>
      <c r="K108" s="128"/>
      <c r="L108" s="129"/>
      <c r="M108" s="130"/>
    </row>
    <row r="109" spans="1:13" ht="33" customHeight="1" thickBot="1">
      <c r="A109" s="134" t="s">
        <v>316</v>
      </c>
      <c r="B109" s="135" t="s">
        <v>195</v>
      </c>
      <c r="C109" s="135" t="s">
        <v>235</v>
      </c>
      <c r="D109" s="135" t="s">
        <v>320</v>
      </c>
      <c r="E109" s="135" t="s">
        <v>322</v>
      </c>
      <c r="F109" s="136"/>
      <c r="G109" s="135"/>
      <c r="H109" s="135"/>
      <c r="I109" s="137" t="s">
        <v>323</v>
      </c>
      <c r="J109" s="138"/>
      <c r="K109" s="139"/>
      <c r="L109" s="140"/>
      <c r="M109" s="539">
        <v>70000000</v>
      </c>
    </row>
    <row r="110" spans="1:13" ht="52.8">
      <c r="A110" s="142" t="s">
        <v>316</v>
      </c>
      <c r="B110" s="143" t="s">
        <v>195</v>
      </c>
      <c r="C110" s="143" t="s">
        <v>235</v>
      </c>
      <c r="D110" s="143" t="s">
        <v>320</v>
      </c>
      <c r="E110" s="143" t="s">
        <v>322</v>
      </c>
      <c r="F110" s="144">
        <v>2019005810109</v>
      </c>
      <c r="G110" s="143" t="s">
        <v>324</v>
      </c>
      <c r="H110" s="143" t="s">
        <v>207</v>
      </c>
      <c r="I110" s="145" t="s">
        <v>325</v>
      </c>
      <c r="J110" s="172"/>
      <c r="K110" s="173"/>
      <c r="L110" s="148">
        <f>SUM(K111:K112)</f>
        <v>70000000</v>
      </c>
      <c r="M110" s="149"/>
    </row>
    <row r="111" spans="1:13" ht="48" customHeight="1">
      <c r="A111" s="123"/>
      <c r="B111" s="124"/>
      <c r="C111" s="124"/>
      <c r="D111" s="124"/>
      <c r="E111" s="124"/>
      <c r="F111" s="125"/>
      <c r="G111" s="124"/>
      <c r="H111" s="124"/>
      <c r="I111" s="162"/>
      <c r="J111" s="421" t="s">
        <v>326</v>
      </c>
      <c r="K111" s="421">
        <v>28000000</v>
      </c>
      <c r="L111" s="165"/>
      <c r="M111" s="130"/>
    </row>
    <row r="112" spans="1:13" ht="54.75" customHeight="1" thickBot="1">
      <c r="A112" s="150"/>
      <c r="B112" s="151"/>
      <c r="C112" s="151"/>
      <c r="D112" s="151"/>
      <c r="E112" s="151"/>
      <c r="F112" s="152"/>
      <c r="G112" s="151"/>
      <c r="H112" s="151"/>
      <c r="I112" s="153"/>
      <c r="J112" s="422" t="s">
        <v>327</v>
      </c>
      <c r="K112" s="422">
        <v>42000000</v>
      </c>
      <c r="L112" s="156"/>
      <c r="M112" s="157"/>
    </row>
    <row r="113" spans="1:14" ht="30" customHeight="1">
      <c r="A113" s="115" t="s">
        <v>316</v>
      </c>
      <c r="B113" s="116" t="s">
        <v>195</v>
      </c>
      <c r="C113" s="116" t="s">
        <v>235</v>
      </c>
      <c r="D113" s="116" t="s">
        <v>328</v>
      </c>
      <c r="E113" s="116"/>
      <c r="F113" s="117"/>
      <c r="G113" s="116"/>
      <c r="H113" s="116"/>
      <c r="I113" s="118" t="s">
        <v>329</v>
      </c>
      <c r="J113" s="119"/>
      <c r="K113" s="120"/>
      <c r="L113" s="121"/>
      <c r="M113" s="122"/>
    </row>
    <row r="114" spans="1:14" ht="33.75" customHeight="1" thickBot="1">
      <c r="A114" s="134" t="s">
        <v>316</v>
      </c>
      <c r="B114" s="135" t="s">
        <v>195</v>
      </c>
      <c r="C114" s="135" t="s">
        <v>235</v>
      </c>
      <c r="D114" s="135" t="s">
        <v>328</v>
      </c>
      <c r="E114" s="135" t="s">
        <v>330</v>
      </c>
      <c r="F114" s="136"/>
      <c r="G114" s="135"/>
      <c r="H114" s="135"/>
      <c r="I114" s="137" t="s">
        <v>331</v>
      </c>
      <c r="J114" s="138"/>
      <c r="K114" s="139"/>
      <c r="L114" s="140"/>
      <c r="M114" s="539">
        <f>+L115</f>
        <v>200000000</v>
      </c>
    </row>
    <row r="115" spans="1:14" ht="70.5" customHeight="1">
      <c r="A115" s="142" t="s">
        <v>316</v>
      </c>
      <c r="B115" s="143" t="s">
        <v>195</v>
      </c>
      <c r="C115" s="143" t="s">
        <v>235</v>
      </c>
      <c r="D115" s="143" t="s">
        <v>328</v>
      </c>
      <c r="E115" s="143" t="s">
        <v>330</v>
      </c>
      <c r="F115" s="144">
        <v>2019005810122</v>
      </c>
      <c r="G115" s="143" t="s">
        <v>332</v>
      </c>
      <c r="H115" s="143" t="s">
        <v>207</v>
      </c>
      <c r="I115" s="145" t="s">
        <v>333</v>
      </c>
      <c r="J115" s="172"/>
      <c r="K115" s="173"/>
      <c r="L115" s="148">
        <f>SUM(K116:K119)</f>
        <v>200000000</v>
      </c>
      <c r="M115" s="149"/>
    </row>
    <row r="116" spans="1:14" ht="45.75" customHeight="1">
      <c r="A116" s="123"/>
      <c r="B116" s="124"/>
      <c r="C116" s="124"/>
      <c r="D116" s="124"/>
      <c r="E116" s="124"/>
      <c r="F116" s="125"/>
      <c r="G116" s="124"/>
      <c r="H116" s="124"/>
      <c r="I116" s="162"/>
      <c r="J116" s="163" t="s">
        <v>256</v>
      </c>
      <c r="K116" s="164">
        <v>102490000</v>
      </c>
      <c r="L116" s="165"/>
      <c r="M116" s="130"/>
      <c r="N116" s="90" t="s">
        <v>334</v>
      </c>
    </row>
    <row r="117" spans="1:14" ht="45.75" customHeight="1">
      <c r="A117" s="123"/>
      <c r="B117" s="124"/>
      <c r="C117" s="124"/>
      <c r="D117" s="124"/>
      <c r="E117" s="124"/>
      <c r="F117" s="125"/>
      <c r="G117" s="124"/>
      <c r="H117" s="124"/>
      <c r="I117" s="162"/>
      <c r="J117" s="440" t="s">
        <v>217</v>
      </c>
      <c r="K117" s="452">
        <v>96000000</v>
      </c>
      <c r="L117" s="165"/>
      <c r="M117" s="130"/>
    </row>
    <row r="118" spans="1:14" ht="51" customHeight="1">
      <c r="A118" s="123"/>
      <c r="B118" s="124"/>
      <c r="C118" s="124"/>
      <c r="D118" s="124"/>
      <c r="E118" s="124"/>
      <c r="F118" s="125"/>
      <c r="G118" s="124"/>
      <c r="H118" s="124"/>
      <c r="I118" s="162"/>
      <c r="J118" s="465" t="s">
        <v>218</v>
      </c>
      <c r="K118" s="452">
        <v>1500000</v>
      </c>
      <c r="L118" s="165"/>
      <c r="M118" s="130"/>
    </row>
    <row r="119" spans="1:14" ht="65.25" customHeight="1" thickBot="1">
      <c r="A119" s="150"/>
      <c r="B119" s="151"/>
      <c r="C119" s="151"/>
      <c r="D119" s="151"/>
      <c r="E119" s="151"/>
      <c r="F119" s="152"/>
      <c r="G119" s="151"/>
      <c r="H119" s="151"/>
      <c r="I119" s="153"/>
      <c r="J119" s="466" t="s">
        <v>61</v>
      </c>
      <c r="K119" s="464">
        <v>10000</v>
      </c>
      <c r="L119" s="156"/>
      <c r="M119" s="157"/>
    </row>
    <row r="120" spans="1:14" ht="33.75" customHeight="1">
      <c r="A120" s="115" t="s">
        <v>316</v>
      </c>
      <c r="B120" s="116" t="s">
        <v>235</v>
      </c>
      <c r="C120" s="116"/>
      <c r="D120" s="116"/>
      <c r="E120" s="116"/>
      <c r="F120" s="117"/>
      <c r="G120" s="116"/>
      <c r="H120" s="116"/>
      <c r="I120" s="118" t="s">
        <v>335</v>
      </c>
      <c r="J120" s="119"/>
      <c r="K120" s="120"/>
      <c r="L120" s="121"/>
      <c r="M120" s="122"/>
    </row>
    <row r="121" spans="1:14" ht="27.75" customHeight="1">
      <c r="A121" s="123" t="s">
        <v>316</v>
      </c>
      <c r="B121" s="124" t="s">
        <v>235</v>
      </c>
      <c r="C121" s="124" t="s">
        <v>197</v>
      </c>
      <c r="D121" s="124"/>
      <c r="E121" s="124"/>
      <c r="F121" s="125"/>
      <c r="G121" s="124"/>
      <c r="H121" s="124"/>
      <c r="I121" s="126" t="s">
        <v>336</v>
      </c>
      <c r="J121" s="127"/>
      <c r="K121" s="128"/>
      <c r="L121" s="129"/>
      <c r="M121" s="130"/>
    </row>
    <row r="122" spans="1:14" ht="33.75" customHeight="1">
      <c r="A122" s="123" t="s">
        <v>316</v>
      </c>
      <c r="B122" s="124" t="s">
        <v>235</v>
      </c>
      <c r="C122" s="124" t="s">
        <v>197</v>
      </c>
      <c r="D122" s="124" t="s">
        <v>337</v>
      </c>
      <c r="E122" s="124"/>
      <c r="F122" s="125"/>
      <c r="G122" s="124"/>
      <c r="H122" s="124"/>
      <c r="I122" s="132" t="s">
        <v>338</v>
      </c>
      <c r="J122" s="133"/>
      <c r="K122" s="128"/>
      <c r="L122" s="129"/>
      <c r="M122" s="130"/>
    </row>
    <row r="123" spans="1:14" ht="40.5" customHeight="1" thickBot="1">
      <c r="A123" s="134" t="s">
        <v>316</v>
      </c>
      <c r="B123" s="135" t="s">
        <v>235</v>
      </c>
      <c r="C123" s="135" t="s">
        <v>197</v>
      </c>
      <c r="D123" s="135" t="s">
        <v>337</v>
      </c>
      <c r="E123" s="135" t="s">
        <v>339</v>
      </c>
      <c r="F123" s="136"/>
      <c r="G123" s="135"/>
      <c r="H123" s="135"/>
      <c r="I123" s="137" t="s">
        <v>340</v>
      </c>
      <c r="J123" s="138"/>
      <c r="K123" s="139"/>
      <c r="L123" s="140"/>
      <c r="M123" s="539">
        <f>SUM(L124:L127)</f>
        <v>469450000</v>
      </c>
      <c r="N123" s="234">
        <f>M123+'[1]POAI 2020'!$N$47+'[1]POAI 2020'!$N$48+'[1]POAI 2020'!$N$49</f>
        <v>944450000</v>
      </c>
    </row>
    <row r="124" spans="1:14" ht="76.5" customHeight="1">
      <c r="A124" s="158" t="s">
        <v>316</v>
      </c>
      <c r="B124" s="143" t="s">
        <v>235</v>
      </c>
      <c r="C124" s="143" t="s">
        <v>197</v>
      </c>
      <c r="D124" s="143" t="s">
        <v>337</v>
      </c>
      <c r="E124" s="143" t="s">
        <v>339</v>
      </c>
      <c r="F124" s="144">
        <v>2019005810137</v>
      </c>
      <c r="G124" s="143" t="s">
        <v>341</v>
      </c>
      <c r="H124" s="143" t="s">
        <v>252</v>
      </c>
      <c r="I124" s="145" t="s">
        <v>342</v>
      </c>
      <c r="J124" s="172"/>
      <c r="K124" s="173"/>
      <c r="L124" s="148">
        <f>SUM(K125:K126)</f>
        <v>97500000</v>
      </c>
      <c r="M124" s="149"/>
    </row>
    <row r="125" spans="1:14" ht="48" customHeight="1">
      <c r="A125" s="160"/>
      <c r="B125" s="124"/>
      <c r="C125" s="124"/>
      <c r="D125" s="124"/>
      <c r="E125" s="124"/>
      <c r="F125" s="125"/>
      <c r="G125" s="124"/>
      <c r="H125" s="124"/>
      <c r="I125" s="162"/>
      <c r="J125" s="440" t="s">
        <v>343</v>
      </c>
      <c r="K125" s="452">
        <v>96000000</v>
      </c>
      <c r="L125" s="165"/>
      <c r="M125" s="130"/>
    </row>
    <row r="126" spans="1:14" ht="50.25" customHeight="1" thickBot="1">
      <c r="A126" s="251"/>
      <c r="B126" s="135"/>
      <c r="C126" s="135"/>
      <c r="D126" s="135"/>
      <c r="E126" s="135"/>
      <c r="F126" s="136"/>
      <c r="G126" s="135"/>
      <c r="H126" s="135"/>
      <c r="I126" s="198"/>
      <c r="J126" s="450" t="s">
        <v>218</v>
      </c>
      <c r="K126" s="461">
        <v>1500000</v>
      </c>
      <c r="L126" s="200"/>
      <c r="M126" s="130"/>
    </row>
    <row r="127" spans="1:14" ht="123" customHeight="1">
      <c r="A127" s="233" t="s">
        <v>316</v>
      </c>
      <c r="B127" s="202" t="s">
        <v>235</v>
      </c>
      <c r="C127" s="202" t="s">
        <v>197</v>
      </c>
      <c r="D127" s="202" t="s">
        <v>337</v>
      </c>
      <c r="E127" s="202" t="s">
        <v>339</v>
      </c>
      <c r="F127" s="203">
        <v>2019005810155</v>
      </c>
      <c r="G127" s="202" t="s">
        <v>344</v>
      </c>
      <c r="H127" s="202" t="s">
        <v>252</v>
      </c>
      <c r="I127" s="235" t="s">
        <v>345</v>
      </c>
      <c r="J127" s="236"/>
      <c r="K127" s="237"/>
      <c r="L127" s="238">
        <f>SUM(K128:K145)</f>
        <v>371950000</v>
      </c>
      <c r="M127" s="130"/>
    </row>
    <row r="128" spans="1:14" ht="34.5" customHeight="1">
      <c r="A128" s="252"/>
      <c r="B128" s="192"/>
      <c r="C128" s="192"/>
      <c r="D128" s="192"/>
      <c r="E128" s="192"/>
      <c r="F128" s="193"/>
      <c r="G128" s="192"/>
      <c r="H128" s="192"/>
      <c r="I128" s="242"/>
      <c r="J128" s="402" t="s">
        <v>209</v>
      </c>
      <c r="K128" s="400">
        <v>17000000</v>
      </c>
      <c r="L128" s="148"/>
      <c r="M128" s="130"/>
    </row>
    <row r="129" spans="1:13" ht="45.75" customHeight="1">
      <c r="A129" s="252"/>
      <c r="B129" s="192"/>
      <c r="C129" s="192"/>
      <c r="D129" s="192"/>
      <c r="E129" s="192"/>
      <c r="F129" s="193"/>
      <c r="G129" s="192"/>
      <c r="H129" s="192"/>
      <c r="I129" s="242"/>
      <c r="J129" s="405" t="s">
        <v>241</v>
      </c>
      <c r="K129" s="400">
        <v>5000000</v>
      </c>
      <c r="L129" s="148"/>
      <c r="M129" s="130"/>
    </row>
    <row r="130" spans="1:13" ht="45.75" customHeight="1">
      <c r="A130" s="252"/>
      <c r="B130" s="192"/>
      <c r="C130" s="192"/>
      <c r="D130" s="192"/>
      <c r="E130" s="192"/>
      <c r="F130" s="193"/>
      <c r="G130" s="192"/>
      <c r="H130" s="192"/>
      <c r="I130" s="242"/>
      <c r="J130" s="405" t="s">
        <v>242</v>
      </c>
      <c r="K130" s="400">
        <v>2000000</v>
      </c>
      <c r="L130" s="148"/>
      <c r="M130" s="130"/>
    </row>
    <row r="131" spans="1:13" ht="45.75" customHeight="1">
      <c r="A131" s="252"/>
      <c r="B131" s="192"/>
      <c r="C131" s="192"/>
      <c r="D131" s="192"/>
      <c r="E131" s="192"/>
      <c r="F131" s="193"/>
      <c r="G131" s="192"/>
      <c r="H131" s="192"/>
      <c r="I131" s="242"/>
      <c r="J131" s="399" t="s">
        <v>256</v>
      </c>
      <c r="K131" s="400">
        <v>140000000</v>
      </c>
      <c r="L131" s="148"/>
      <c r="M131" s="130"/>
    </row>
    <row r="132" spans="1:13" ht="45" customHeight="1">
      <c r="A132" s="252"/>
      <c r="B132" s="192"/>
      <c r="C132" s="192"/>
      <c r="D132" s="192"/>
      <c r="E132" s="192"/>
      <c r="F132" s="193"/>
      <c r="G132" s="192"/>
      <c r="H132" s="192"/>
      <c r="I132" s="242"/>
      <c r="J132" s="399" t="s">
        <v>346</v>
      </c>
      <c r="K132" s="400">
        <v>400000</v>
      </c>
      <c r="L132" s="148"/>
      <c r="M132" s="130"/>
    </row>
    <row r="133" spans="1:13" ht="43.5" customHeight="1">
      <c r="A133" s="252"/>
      <c r="B133" s="192"/>
      <c r="C133" s="192"/>
      <c r="D133" s="192"/>
      <c r="E133" s="192"/>
      <c r="F133" s="193"/>
      <c r="G133" s="192"/>
      <c r="H133" s="192"/>
      <c r="I133" s="242"/>
      <c r="J133" s="405" t="s">
        <v>347</v>
      </c>
      <c r="K133" s="400">
        <v>1300000</v>
      </c>
      <c r="L133" s="148"/>
      <c r="M133" s="130"/>
    </row>
    <row r="134" spans="1:13" ht="34.5" customHeight="1">
      <c r="A134" s="252"/>
      <c r="B134" s="192"/>
      <c r="C134" s="192"/>
      <c r="D134" s="192"/>
      <c r="E134" s="192"/>
      <c r="F134" s="193"/>
      <c r="G134" s="192"/>
      <c r="H134" s="192"/>
      <c r="I134" s="242"/>
      <c r="J134" s="406" t="s">
        <v>348</v>
      </c>
      <c r="K134" s="400">
        <v>13000000</v>
      </c>
      <c r="L134" s="148"/>
      <c r="M134" s="130"/>
    </row>
    <row r="135" spans="1:13" ht="57" customHeight="1">
      <c r="A135" s="160"/>
      <c r="B135" s="124"/>
      <c r="C135" s="124"/>
      <c r="D135" s="124"/>
      <c r="E135" s="124"/>
      <c r="F135" s="125"/>
      <c r="G135" s="124"/>
      <c r="H135" s="124"/>
      <c r="I135" s="162"/>
      <c r="J135" s="405" t="s">
        <v>326</v>
      </c>
      <c r="K135" s="404">
        <v>400000</v>
      </c>
      <c r="L135" s="165"/>
      <c r="M135" s="130"/>
    </row>
    <row r="136" spans="1:13" ht="48.75" customHeight="1">
      <c r="A136" s="160"/>
      <c r="B136" s="124"/>
      <c r="C136" s="124"/>
      <c r="D136" s="124"/>
      <c r="E136" s="124"/>
      <c r="F136" s="125"/>
      <c r="G136" s="124"/>
      <c r="H136" s="124"/>
      <c r="I136" s="162"/>
      <c r="J136" s="407" t="s">
        <v>327</v>
      </c>
      <c r="K136" s="404">
        <v>600000</v>
      </c>
      <c r="L136" s="165"/>
      <c r="M136" s="130"/>
    </row>
    <row r="137" spans="1:13" ht="34.5" customHeight="1">
      <c r="A137" s="160"/>
      <c r="B137" s="124"/>
      <c r="C137" s="124"/>
      <c r="D137" s="124"/>
      <c r="E137" s="124"/>
      <c r="F137" s="125"/>
      <c r="G137" s="124"/>
      <c r="H137" s="124"/>
      <c r="I137" s="162"/>
      <c r="J137" s="405" t="s">
        <v>349</v>
      </c>
      <c r="K137" s="404">
        <v>6500000</v>
      </c>
      <c r="L137" s="165"/>
      <c r="M137" s="130"/>
    </row>
    <row r="138" spans="1:13" ht="34.5" customHeight="1">
      <c r="A138" s="160"/>
      <c r="B138" s="124"/>
      <c r="C138" s="124"/>
      <c r="D138" s="124"/>
      <c r="E138" s="124"/>
      <c r="F138" s="125"/>
      <c r="G138" s="124"/>
      <c r="H138" s="124"/>
      <c r="I138" s="162"/>
      <c r="J138" s="405" t="s">
        <v>13</v>
      </c>
      <c r="K138" s="404">
        <v>10000</v>
      </c>
      <c r="L138" s="165"/>
      <c r="M138" s="130"/>
    </row>
    <row r="139" spans="1:13" ht="45.75" customHeight="1">
      <c r="A139" s="160"/>
      <c r="B139" s="124"/>
      <c r="C139" s="124"/>
      <c r="D139" s="124"/>
      <c r="E139" s="124"/>
      <c r="F139" s="125"/>
      <c r="G139" s="124"/>
      <c r="H139" s="124"/>
      <c r="I139" s="162"/>
      <c r="J139" s="405" t="s">
        <v>350</v>
      </c>
      <c r="K139" s="404">
        <v>70000</v>
      </c>
      <c r="L139" s="165"/>
      <c r="M139" s="130"/>
    </row>
    <row r="140" spans="1:13" ht="42" customHeight="1">
      <c r="A140" s="160"/>
      <c r="B140" s="124"/>
      <c r="C140" s="124"/>
      <c r="D140" s="124"/>
      <c r="E140" s="124"/>
      <c r="F140" s="125"/>
      <c r="G140" s="124"/>
      <c r="H140" s="124"/>
      <c r="I140" s="162"/>
      <c r="J140" s="403" t="s">
        <v>351</v>
      </c>
      <c r="K140" s="404">
        <v>3000000</v>
      </c>
      <c r="L140" s="165"/>
      <c r="M140" s="130"/>
    </row>
    <row r="141" spans="1:13" ht="51.75" customHeight="1">
      <c r="A141" s="160"/>
      <c r="B141" s="124"/>
      <c r="C141" s="124"/>
      <c r="D141" s="124"/>
      <c r="E141" s="124"/>
      <c r="F141" s="125"/>
      <c r="G141" s="124"/>
      <c r="H141" s="124"/>
      <c r="I141" s="162"/>
      <c r="J141" s="403" t="s">
        <v>352</v>
      </c>
      <c r="K141" s="404">
        <v>1000000</v>
      </c>
      <c r="L141" s="165"/>
      <c r="M141" s="130"/>
    </row>
    <row r="142" spans="1:13" ht="27" customHeight="1">
      <c r="A142" s="160"/>
      <c r="B142" s="124"/>
      <c r="C142" s="124"/>
      <c r="D142" s="124"/>
      <c r="E142" s="124"/>
      <c r="F142" s="125"/>
      <c r="G142" s="124"/>
      <c r="H142" s="124"/>
      <c r="I142" s="162"/>
      <c r="J142" s="405" t="s">
        <v>12</v>
      </c>
      <c r="K142" s="404">
        <v>350000</v>
      </c>
      <c r="L142" s="165"/>
      <c r="M142" s="130"/>
    </row>
    <row r="143" spans="1:13" ht="27" customHeight="1">
      <c r="A143" s="160"/>
      <c r="B143" s="124"/>
      <c r="C143" s="124"/>
      <c r="D143" s="124"/>
      <c r="E143" s="124"/>
      <c r="F143" s="125"/>
      <c r="G143" s="124"/>
      <c r="H143" s="124"/>
      <c r="I143" s="162"/>
      <c r="J143" s="405" t="s">
        <v>4</v>
      </c>
      <c r="K143" s="404">
        <v>1200000</v>
      </c>
      <c r="L143" s="165"/>
      <c r="M143" s="130"/>
    </row>
    <row r="144" spans="1:13" ht="27" customHeight="1">
      <c r="A144" s="160"/>
      <c r="B144" s="124"/>
      <c r="C144" s="124"/>
      <c r="D144" s="124"/>
      <c r="E144" s="124"/>
      <c r="F144" s="125"/>
      <c r="G144" s="124"/>
      <c r="H144" s="124"/>
      <c r="I144" s="162"/>
      <c r="J144" s="405" t="s">
        <v>353</v>
      </c>
      <c r="K144" s="404">
        <v>180000000</v>
      </c>
      <c r="L144" s="165"/>
      <c r="M144" s="130"/>
    </row>
    <row r="145" spans="1:13" ht="34.5" customHeight="1" thickBot="1">
      <c r="A145" s="168"/>
      <c r="B145" s="151"/>
      <c r="C145" s="151"/>
      <c r="D145" s="151"/>
      <c r="E145" s="151"/>
      <c r="F145" s="152"/>
      <c r="G145" s="151"/>
      <c r="H145" s="151"/>
      <c r="I145" s="153"/>
      <c r="J145" s="409" t="s">
        <v>5</v>
      </c>
      <c r="K145" s="410">
        <v>120000</v>
      </c>
      <c r="L145" s="156"/>
      <c r="M145" s="157"/>
    </row>
    <row r="146" spans="1:13" ht="54" customHeight="1" thickBot="1">
      <c r="A146" s="106" t="s">
        <v>354</v>
      </c>
      <c r="B146" s="107"/>
      <c r="C146" s="107"/>
      <c r="D146" s="107"/>
      <c r="E146" s="107"/>
      <c r="F146" s="176"/>
      <c r="G146" s="109"/>
      <c r="H146" s="109"/>
      <c r="I146" s="110" t="s">
        <v>355</v>
      </c>
      <c r="J146" s="177"/>
      <c r="K146" s="178"/>
      <c r="L146" s="113"/>
      <c r="M146" s="114"/>
    </row>
    <row r="147" spans="1:13" ht="23.25" customHeight="1">
      <c r="A147" s="191" t="s">
        <v>354</v>
      </c>
      <c r="B147" s="192" t="s">
        <v>244</v>
      </c>
      <c r="C147" s="192"/>
      <c r="D147" s="192"/>
      <c r="E147" s="192"/>
      <c r="F147" s="193"/>
      <c r="G147" s="192"/>
      <c r="H147" s="192"/>
      <c r="I147" s="194" t="s">
        <v>245</v>
      </c>
      <c r="J147" s="195"/>
      <c r="K147" s="196"/>
      <c r="L147" s="197"/>
      <c r="M147" s="149"/>
    </row>
    <row r="148" spans="1:13" ht="32.25" customHeight="1">
      <c r="A148" s="123" t="s">
        <v>354</v>
      </c>
      <c r="B148" s="124" t="s">
        <v>244</v>
      </c>
      <c r="C148" s="124" t="s">
        <v>244</v>
      </c>
      <c r="D148" s="124"/>
      <c r="E148" s="124"/>
      <c r="F148" s="125"/>
      <c r="G148" s="124"/>
      <c r="H148" s="124"/>
      <c r="I148" s="126" t="s">
        <v>273</v>
      </c>
      <c r="J148" s="127"/>
      <c r="K148" s="128"/>
      <c r="L148" s="129"/>
      <c r="M148" s="130"/>
    </row>
    <row r="149" spans="1:13" ht="34.5" customHeight="1">
      <c r="A149" s="123" t="s">
        <v>354</v>
      </c>
      <c r="B149" s="124" t="s">
        <v>244</v>
      </c>
      <c r="C149" s="124" t="s">
        <v>244</v>
      </c>
      <c r="D149" s="124" t="s">
        <v>235</v>
      </c>
      <c r="E149" s="124"/>
      <c r="F149" s="125"/>
      <c r="G149" s="124"/>
      <c r="H149" s="124"/>
      <c r="I149" s="132" t="s">
        <v>356</v>
      </c>
      <c r="J149" s="133"/>
      <c r="K149" s="128"/>
      <c r="L149" s="129"/>
      <c r="M149" s="130"/>
    </row>
    <row r="150" spans="1:13" ht="25.5" customHeight="1" thickBot="1">
      <c r="A150" s="134" t="s">
        <v>354</v>
      </c>
      <c r="B150" s="135" t="s">
        <v>244</v>
      </c>
      <c r="C150" s="135" t="s">
        <v>244</v>
      </c>
      <c r="D150" s="135" t="s">
        <v>235</v>
      </c>
      <c r="E150" s="135" t="s">
        <v>357</v>
      </c>
      <c r="F150" s="136"/>
      <c r="G150" s="135"/>
      <c r="H150" s="135"/>
      <c r="I150" s="137" t="s">
        <v>358</v>
      </c>
      <c r="J150" s="138"/>
      <c r="K150" s="139"/>
      <c r="L150" s="140"/>
      <c r="M150" s="539">
        <v>2948500000</v>
      </c>
    </row>
    <row r="151" spans="1:13" ht="155.25" customHeight="1">
      <c r="A151" s="142" t="s">
        <v>354</v>
      </c>
      <c r="B151" s="143" t="s">
        <v>244</v>
      </c>
      <c r="C151" s="143" t="s">
        <v>244</v>
      </c>
      <c r="D151" s="143" t="s">
        <v>235</v>
      </c>
      <c r="E151" s="143" t="s">
        <v>357</v>
      </c>
      <c r="F151" s="253">
        <v>2018005810017</v>
      </c>
      <c r="G151" s="143" t="s">
        <v>359</v>
      </c>
      <c r="H151" s="143" t="s">
        <v>252</v>
      </c>
      <c r="I151" s="145" t="s">
        <v>360</v>
      </c>
      <c r="J151" s="172"/>
      <c r="K151" s="173"/>
      <c r="L151" s="148">
        <f>SUM(K152:K156)</f>
        <v>2948500000</v>
      </c>
      <c r="M151" s="149"/>
    </row>
    <row r="152" spans="1:13" ht="20.399999999999999">
      <c r="A152" s="123"/>
      <c r="B152" s="124"/>
      <c r="C152" s="124"/>
      <c r="D152" s="124"/>
      <c r="E152" s="124"/>
      <c r="F152" s="125"/>
      <c r="G152" s="124"/>
      <c r="H152" s="124"/>
      <c r="I152" s="162"/>
      <c r="J152" s="440" t="s">
        <v>343</v>
      </c>
      <c r="K152" s="452">
        <v>96000000</v>
      </c>
      <c r="L152" s="165"/>
      <c r="M152" s="130"/>
    </row>
    <row r="153" spans="1:13" ht="46.5" customHeight="1">
      <c r="A153" s="123"/>
      <c r="B153" s="124"/>
      <c r="C153" s="124"/>
      <c r="D153" s="124"/>
      <c r="E153" s="124"/>
      <c r="F153" s="125"/>
      <c r="G153" s="124"/>
      <c r="H153" s="124"/>
      <c r="I153" s="162"/>
      <c r="J153" s="465" t="s">
        <v>218</v>
      </c>
      <c r="K153" s="452">
        <v>1500000</v>
      </c>
      <c r="L153" s="165"/>
      <c r="M153" s="130"/>
    </row>
    <row r="154" spans="1:13" ht="55.5" customHeight="1">
      <c r="A154" s="123"/>
      <c r="B154" s="124"/>
      <c r="C154" s="124"/>
      <c r="D154" s="124"/>
      <c r="E154" s="124"/>
      <c r="F154" s="125"/>
      <c r="G154" s="124"/>
      <c r="H154" s="124"/>
      <c r="I154" s="162"/>
      <c r="J154" s="467" t="s">
        <v>361</v>
      </c>
      <c r="K154" s="468">
        <v>2600000000</v>
      </c>
      <c r="L154" s="165"/>
      <c r="M154" s="130"/>
    </row>
    <row r="155" spans="1:13" ht="52.5" customHeight="1">
      <c r="A155" s="123"/>
      <c r="B155" s="124"/>
      <c r="C155" s="124"/>
      <c r="D155" s="124"/>
      <c r="E155" s="124"/>
      <c r="F155" s="125"/>
      <c r="G155" s="124"/>
      <c r="H155" s="124"/>
      <c r="I155" s="162"/>
      <c r="J155" s="454" t="s">
        <v>362</v>
      </c>
      <c r="K155" s="468">
        <v>250000000</v>
      </c>
      <c r="L155" s="165"/>
      <c r="M155" s="130"/>
    </row>
    <row r="156" spans="1:13" ht="75" customHeight="1" thickBot="1">
      <c r="A156" s="150"/>
      <c r="B156" s="151"/>
      <c r="C156" s="151"/>
      <c r="D156" s="151"/>
      <c r="E156" s="151"/>
      <c r="F156" s="152"/>
      <c r="G156" s="151"/>
      <c r="H156" s="151"/>
      <c r="I156" s="153"/>
      <c r="J156" s="455" t="s">
        <v>363</v>
      </c>
      <c r="K156" s="469">
        <v>1000000</v>
      </c>
      <c r="L156" s="156"/>
      <c r="M156" s="157"/>
    </row>
    <row r="157" spans="1:13" ht="37.5" customHeight="1" thickBot="1">
      <c r="A157" s="210" t="s">
        <v>354</v>
      </c>
      <c r="B157" s="211" t="s">
        <v>244</v>
      </c>
      <c r="C157" s="211" t="s">
        <v>244</v>
      </c>
      <c r="D157" s="211" t="s">
        <v>235</v>
      </c>
      <c r="E157" s="211" t="s">
        <v>301</v>
      </c>
      <c r="F157" s="212"/>
      <c r="G157" s="211"/>
      <c r="H157" s="211"/>
      <c r="I157" s="213" t="s">
        <v>364</v>
      </c>
      <c r="J157" s="177"/>
      <c r="K157" s="178"/>
      <c r="L157" s="113"/>
      <c r="M157" s="540">
        <v>303750000</v>
      </c>
    </row>
    <row r="158" spans="1:13" ht="52.8">
      <c r="A158" s="142" t="s">
        <v>354</v>
      </c>
      <c r="B158" s="143" t="s">
        <v>244</v>
      </c>
      <c r="C158" s="143" t="s">
        <v>244</v>
      </c>
      <c r="D158" s="143" t="s">
        <v>235</v>
      </c>
      <c r="E158" s="143" t="s">
        <v>301</v>
      </c>
      <c r="F158" s="253">
        <v>2019005810176</v>
      </c>
      <c r="G158" s="143" t="s">
        <v>365</v>
      </c>
      <c r="H158" s="143" t="s">
        <v>366</v>
      </c>
      <c r="I158" s="145" t="s">
        <v>367</v>
      </c>
      <c r="J158" s="172"/>
      <c r="K158" s="173"/>
      <c r="L158" s="148">
        <f>SUM(K159:K160)</f>
        <v>303750000</v>
      </c>
      <c r="M158" s="149"/>
    </row>
    <row r="159" spans="1:13" ht="51.75" customHeight="1">
      <c r="A159" s="123"/>
      <c r="B159" s="124"/>
      <c r="C159" s="124"/>
      <c r="D159" s="124"/>
      <c r="E159" s="124"/>
      <c r="F159" s="125"/>
      <c r="G159" s="124"/>
      <c r="H159" s="124"/>
      <c r="I159" s="162"/>
      <c r="J159" s="440" t="s">
        <v>266</v>
      </c>
      <c r="K159" s="452">
        <v>300000000</v>
      </c>
      <c r="L159" s="165"/>
      <c r="M159" s="130"/>
    </row>
    <row r="160" spans="1:13" ht="60.75" customHeight="1" thickBot="1">
      <c r="A160" s="150"/>
      <c r="B160" s="151"/>
      <c r="C160" s="151"/>
      <c r="D160" s="151"/>
      <c r="E160" s="151"/>
      <c r="F160" s="152"/>
      <c r="G160" s="151"/>
      <c r="H160" s="151"/>
      <c r="I160" s="153"/>
      <c r="J160" s="442" t="s">
        <v>267</v>
      </c>
      <c r="K160" s="453">
        <v>3750000</v>
      </c>
      <c r="L160" s="156"/>
      <c r="M160" s="157"/>
    </row>
    <row r="161" spans="1:15" ht="24" customHeight="1">
      <c r="A161" s="115" t="s">
        <v>354</v>
      </c>
      <c r="B161" s="116" t="s">
        <v>195</v>
      </c>
      <c r="C161" s="116"/>
      <c r="D161" s="116"/>
      <c r="E161" s="116"/>
      <c r="F161" s="117"/>
      <c r="G161" s="116"/>
      <c r="H161" s="116"/>
      <c r="I161" s="118" t="s">
        <v>318</v>
      </c>
      <c r="J161" s="119"/>
      <c r="K161" s="120"/>
      <c r="L161" s="121"/>
      <c r="M161" s="122"/>
    </row>
    <row r="162" spans="1:15" ht="42" customHeight="1">
      <c r="A162" s="123" t="s">
        <v>354</v>
      </c>
      <c r="B162" s="124" t="s">
        <v>195</v>
      </c>
      <c r="C162" s="124" t="s">
        <v>235</v>
      </c>
      <c r="D162" s="124"/>
      <c r="E162" s="124"/>
      <c r="F162" s="125"/>
      <c r="G162" s="124"/>
      <c r="H162" s="124"/>
      <c r="I162" s="126" t="s">
        <v>319</v>
      </c>
      <c r="J162" s="127"/>
      <c r="K162" s="128"/>
      <c r="L162" s="129"/>
      <c r="M162" s="130"/>
    </row>
    <row r="163" spans="1:15" ht="28.5" customHeight="1">
      <c r="A163" s="123" t="s">
        <v>354</v>
      </c>
      <c r="B163" s="124" t="s">
        <v>195</v>
      </c>
      <c r="C163" s="124" t="s">
        <v>235</v>
      </c>
      <c r="D163" s="124" t="s">
        <v>320</v>
      </c>
      <c r="E163" s="124"/>
      <c r="F163" s="125"/>
      <c r="G163" s="124"/>
      <c r="H163" s="124"/>
      <c r="I163" s="132" t="s">
        <v>321</v>
      </c>
      <c r="J163" s="133"/>
      <c r="K163" s="128"/>
      <c r="L163" s="129"/>
      <c r="M163" s="130"/>
    </row>
    <row r="164" spans="1:15" ht="24" customHeight="1" thickBot="1">
      <c r="A164" s="134" t="s">
        <v>354</v>
      </c>
      <c r="B164" s="135" t="s">
        <v>195</v>
      </c>
      <c r="C164" s="135" t="s">
        <v>235</v>
      </c>
      <c r="D164" s="135" t="s">
        <v>320</v>
      </c>
      <c r="E164" s="135" t="s">
        <v>368</v>
      </c>
      <c r="F164" s="136"/>
      <c r="G164" s="135"/>
      <c r="H164" s="135"/>
      <c r="I164" s="137" t="s">
        <v>369</v>
      </c>
      <c r="J164" s="138"/>
      <c r="K164" s="139"/>
      <c r="L164" s="140"/>
      <c r="M164" s="539">
        <f>SUM(L165:L169)</f>
        <v>2000000000</v>
      </c>
    </row>
    <row r="165" spans="1:15" ht="78" customHeight="1">
      <c r="A165" s="142" t="s">
        <v>354</v>
      </c>
      <c r="B165" s="143" t="s">
        <v>195</v>
      </c>
      <c r="C165" s="143" t="s">
        <v>235</v>
      </c>
      <c r="D165" s="143" t="s">
        <v>320</v>
      </c>
      <c r="E165" s="143" t="s">
        <v>368</v>
      </c>
      <c r="F165" s="253">
        <v>2019005810173</v>
      </c>
      <c r="G165" s="143" t="s">
        <v>370</v>
      </c>
      <c r="H165" s="143" t="s">
        <v>207</v>
      </c>
      <c r="I165" s="145" t="s">
        <v>371</v>
      </c>
      <c r="J165" s="172"/>
      <c r="K165" s="173"/>
      <c r="L165" s="148">
        <f>SUM(K166:K168)</f>
        <v>1000000000</v>
      </c>
      <c r="M165" s="149"/>
    </row>
    <row r="166" spans="1:15" ht="36.75" customHeight="1">
      <c r="A166" s="123"/>
      <c r="B166" s="124"/>
      <c r="C166" s="124"/>
      <c r="D166" s="124"/>
      <c r="E166" s="124"/>
      <c r="F166" s="125"/>
      <c r="G166" s="124"/>
      <c r="H166" s="124"/>
      <c r="I166" s="162"/>
      <c r="J166" s="447" t="s">
        <v>278</v>
      </c>
      <c r="K166" s="470">
        <v>190000000</v>
      </c>
      <c r="L166" s="165"/>
      <c r="M166" s="130"/>
    </row>
    <row r="167" spans="1:15" ht="37.5" customHeight="1">
      <c r="A167" s="123"/>
      <c r="B167" s="124"/>
      <c r="C167" s="124"/>
      <c r="D167" s="124"/>
      <c r="E167" s="124"/>
      <c r="F167" s="125"/>
      <c r="G167" s="124"/>
      <c r="H167" s="124"/>
      <c r="I167" s="162"/>
      <c r="J167" s="456" t="s">
        <v>57</v>
      </c>
      <c r="K167" s="471">
        <v>10000000</v>
      </c>
      <c r="L167" s="165"/>
      <c r="M167" s="130"/>
    </row>
    <row r="168" spans="1:15" ht="18" customHeight="1" thickBot="1">
      <c r="A168" s="134"/>
      <c r="B168" s="135"/>
      <c r="C168" s="135"/>
      <c r="D168" s="135"/>
      <c r="E168" s="135"/>
      <c r="F168" s="136"/>
      <c r="G168" s="135"/>
      <c r="H168" s="135"/>
      <c r="I168" s="198"/>
      <c r="J168" s="472" t="s">
        <v>7</v>
      </c>
      <c r="K168" s="473">
        <v>800000000</v>
      </c>
      <c r="L168" s="200"/>
      <c r="M168" s="130"/>
    </row>
    <row r="169" spans="1:15" ht="95.25" customHeight="1">
      <c r="A169" s="201" t="s">
        <v>354</v>
      </c>
      <c r="B169" s="202" t="s">
        <v>195</v>
      </c>
      <c r="C169" s="202" t="s">
        <v>235</v>
      </c>
      <c r="D169" s="202" t="s">
        <v>320</v>
      </c>
      <c r="E169" s="202" t="s">
        <v>368</v>
      </c>
      <c r="F169" s="254">
        <v>2019005810159</v>
      </c>
      <c r="G169" s="202" t="s">
        <v>372</v>
      </c>
      <c r="H169" s="255" t="s">
        <v>207</v>
      </c>
      <c r="I169" s="204" t="s">
        <v>373</v>
      </c>
      <c r="J169" s="119"/>
      <c r="K169" s="120"/>
      <c r="L169" s="121">
        <f>SUM(K170:K175)</f>
        <v>1000000000</v>
      </c>
      <c r="M169" s="256"/>
    </row>
    <row r="170" spans="1:15" ht="49.5" customHeight="1">
      <c r="A170" s="123"/>
      <c r="B170" s="124"/>
      <c r="C170" s="124"/>
      <c r="D170" s="124"/>
      <c r="E170" s="124"/>
      <c r="F170" s="125"/>
      <c r="G170" s="124"/>
      <c r="H170" s="257"/>
      <c r="I170" s="132"/>
      <c r="J170" s="475" t="s">
        <v>343</v>
      </c>
      <c r="K170" s="449">
        <v>240000000</v>
      </c>
      <c r="L170" s="129"/>
      <c r="M170" s="256"/>
    </row>
    <row r="171" spans="1:15" ht="39" customHeight="1">
      <c r="A171" s="123"/>
      <c r="B171" s="124"/>
      <c r="C171" s="124"/>
      <c r="D171" s="124"/>
      <c r="E171" s="124"/>
      <c r="F171" s="125"/>
      <c r="G171" s="124"/>
      <c r="H171" s="257"/>
      <c r="I171" s="132"/>
      <c r="J171" s="476" t="s">
        <v>218</v>
      </c>
      <c r="K171" s="449">
        <v>3750000</v>
      </c>
      <c r="L171" s="129"/>
      <c r="M171" s="256"/>
    </row>
    <row r="172" spans="1:15" ht="43.5" customHeight="1">
      <c r="A172" s="123"/>
      <c r="B172" s="124"/>
      <c r="C172" s="124"/>
      <c r="D172" s="124"/>
      <c r="E172" s="124"/>
      <c r="F172" s="125"/>
      <c r="G172" s="124"/>
      <c r="H172" s="257"/>
      <c r="I172" s="132"/>
      <c r="J172" s="474" t="s">
        <v>256</v>
      </c>
      <c r="K172" s="228">
        <v>300000000</v>
      </c>
      <c r="L172" s="129"/>
      <c r="M172" s="256"/>
      <c r="N172" s="90" t="s">
        <v>374</v>
      </c>
    </row>
    <row r="173" spans="1:15" ht="34.5" customHeight="1">
      <c r="A173" s="123"/>
      <c r="B173" s="124"/>
      <c r="C173" s="124"/>
      <c r="D173" s="124"/>
      <c r="E173" s="124"/>
      <c r="F173" s="125"/>
      <c r="G173" s="124"/>
      <c r="H173" s="257"/>
      <c r="I173" s="132"/>
      <c r="J173" s="474" t="s">
        <v>15</v>
      </c>
      <c r="K173" s="228">
        <v>50000000</v>
      </c>
      <c r="L173" s="129"/>
      <c r="M173" s="256"/>
      <c r="N173" s="90" t="s">
        <v>374</v>
      </c>
    </row>
    <row r="174" spans="1:15" ht="34.5" customHeight="1">
      <c r="A174" s="123"/>
      <c r="B174" s="124"/>
      <c r="C174" s="124"/>
      <c r="D174" s="124"/>
      <c r="E174" s="124"/>
      <c r="F174" s="125"/>
      <c r="G174" s="124"/>
      <c r="H174" s="257"/>
      <c r="I174" s="132"/>
      <c r="J174" s="477" t="s">
        <v>348</v>
      </c>
      <c r="K174" s="228">
        <v>50000000</v>
      </c>
      <c r="L174" s="129"/>
      <c r="M174" s="256"/>
      <c r="N174" s="90" t="s">
        <v>374</v>
      </c>
      <c r="O174" s="234"/>
    </row>
    <row r="175" spans="1:15" ht="26.25" customHeight="1" thickBot="1">
      <c r="A175" s="258"/>
      <c r="B175" s="259"/>
      <c r="C175" s="259"/>
      <c r="D175" s="259"/>
      <c r="E175" s="259"/>
      <c r="F175" s="260"/>
      <c r="G175" s="259"/>
      <c r="H175" s="261"/>
      <c r="I175" s="262"/>
      <c r="J175" s="478" t="s">
        <v>353</v>
      </c>
      <c r="K175" s="479">
        <v>356250000</v>
      </c>
      <c r="L175" s="263"/>
      <c r="M175" s="264"/>
      <c r="N175" s="90" t="s">
        <v>374</v>
      </c>
      <c r="O175" s="234"/>
    </row>
    <row r="176" spans="1:15" ht="35.25" customHeight="1" thickBot="1">
      <c r="A176" s="210" t="s">
        <v>354</v>
      </c>
      <c r="B176" s="211" t="s">
        <v>195</v>
      </c>
      <c r="C176" s="211" t="s">
        <v>235</v>
      </c>
      <c r="D176" s="211" t="s">
        <v>320</v>
      </c>
      <c r="E176" s="211" t="s">
        <v>375</v>
      </c>
      <c r="F176" s="212"/>
      <c r="G176" s="211"/>
      <c r="H176" s="211"/>
      <c r="I176" s="213" t="s">
        <v>376</v>
      </c>
      <c r="J176" s="177"/>
      <c r="K176" s="178"/>
      <c r="L176" s="113"/>
      <c r="M176" s="540">
        <v>253000000</v>
      </c>
      <c r="O176" s="234"/>
    </row>
    <row r="177" spans="1:13" ht="72.75" customHeight="1">
      <c r="A177" s="142" t="s">
        <v>354</v>
      </c>
      <c r="B177" s="143" t="s">
        <v>195</v>
      </c>
      <c r="C177" s="143" t="s">
        <v>235</v>
      </c>
      <c r="D177" s="143" t="s">
        <v>320</v>
      </c>
      <c r="E177" s="143" t="s">
        <v>375</v>
      </c>
      <c r="F177" s="253">
        <v>2018005810248</v>
      </c>
      <c r="G177" s="143" t="s">
        <v>377</v>
      </c>
      <c r="H177" s="143" t="s">
        <v>252</v>
      </c>
      <c r="I177" s="225" t="s">
        <v>378</v>
      </c>
      <c r="J177" s="195"/>
      <c r="K177" s="196"/>
      <c r="L177" s="197">
        <f>SUM(K178:K180)</f>
        <v>133000000</v>
      </c>
      <c r="M177" s="149"/>
    </row>
    <row r="178" spans="1:13" ht="43.5" customHeight="1">
      <c r="A178" s="123"/>
      <c r="B178" s="124"/>
      <c r="C178" s="124"/>
      <c r="D178" s="124"/>
      <c r="E178" s="124"/>
      <c r="F178" s="125"/>
      <c r="G178" s="124"/>
      <c r="H178" s="124"/>
      <c r="I178" s="132"/>
      <c r="J178" s="440" t="s">
        <v>379</v>
      </c>
      <c r="K178" s="449">
        <v>8000000</v>
      </c>
      <c r="L178" s="129"/>
      <c r="M178" s="130"/>
    </row>
    <row r="179" spans="1:13" ht="49.5" customHeight="1">
      <c r="A179" s="123"/>
      <c r="B179" s="124"/>
      <c r="C179" s="124"/>
      <c r="D179" s="124"/>
      <c r="E179" s="124"/>
      <c r="F179" s="125"/>
      <c r="G179" s="124"/>
      <c r="H179" s="124"/>
      <c r="I179" s="132"/>
      <c r="J179" s="480" t="s">
        <v>380</v>
      </c>
      <c r="K179" s="449">
        <v>120000000</v>
      </c>
      <c r="L179" s="129"/>
      <c r="M179" s="130"/>
    </row>
    <row r="180" spans="1:13" ht="50.25" customHeight="1" thickBot="1">
      <c r="A180" s="134"/>
      <c r="B180" s="135"/>
      <c r="C180" s="135"/>
      <c r="D180" s="135"/>
      <c r="E180" s="135"/>
      <c r="F180" s="136"/>
      <c r="G180" s="135"/>
      <c r="H180" s="135"/>
      <c r="I180" s="137"/>
      <c r="J180" s="450" t="s">
        <v>381</v>
      </c>
      <c r="K180" s="451">
        <v>5000000</v>
      </c>
      <c r="L180" s="140"/>
      <c r="M180" s="130"/>
    </row>
    <row r="181" spans="1:13" ht="117" customHeight="1">
      <c r="A181" s="201" t="s">
        <v>354</v>
      </c>
      <c r="B181" s="202" t="s">
        <v>195</v>
      </c>
      <c r="C181" s="202" t="s">
        <v>235</v>
      </c>
      <c r="D181" s="202" t="s">
        <v>320</v>
      </c>
      <c r="E181" s="202" t="s">
        <v>375</v>
      </c>
      <c r="F181" s="254">
        <v>2019005810039</v>
      </c>
      <c r="G181" s="202" t="s">
        <v>382</v>
      </c>
      <c r="H181" s="202" t="s">
        <v>252</v>
      </c>
      <c r="I181" s="235" t="s">
        <v>383</v>
      </c>
      <c r="J181" s="236"/>
      <c r="K181" s="237"/>
      <c r="L181" s="238">
        <f>+K182</f>
        <v>120000000</v>
      </c>
      <c r="M181" s="130"/>
    </row>
    <row r="182" spans="1:13" ht="45" customHeight="1" thickBot="1">
      <c r="A182" s="150"/>
      <c r="B182" s="151"/>
      <c r="C182" s="151"/>
      <c r="D182" s="151"/>
      <c r="E182" s="151"/>
      <c r="F182" s="152"/>
      <c r="G182" s="151"/>
      <c r="H182" s="151"/>
      <c r="I182" s="153"/>
      <c r="J182" s="481" t="s">
        <v>380</v>
      </c>
      <c r="K182" s="453">
        <v>120000000</v>
      </c>
      <c r="L182" s="156"/>
      <c r="M182" s="157"/>
    </row>
    <row r="183" spans="1:13" ht="35.25" customHeight="1" thickBot="1">
      <c r="A183" s="210" t="s">
        <v>354</v>
      </c>
      <c r="B183" s="211" t="s">
        <v>195</v>
      </c>
      <c r="C183" s="211" t="s">
        <v>235</v>
      </c>
      <c r="D183" s="211" t="s">
        <v>320</v>
      </c>
      <c r="E183" s="211" t="s">
        <v>384</v>
      </c>
      <c r="F183" s="212"/>
      <c r="G183" s="211"/>
      <c r="H183" s="211"/>
      <c r="I183" s="213" t="s">
        <v>385</v>
      </c>
      <c r="J183" s="177"/>
      <c r="K183" s="178"/>
      <c r="L183" s="113"/>
      <c r="M183" s="540">
        <f>SUM(L184)</f>
        <v>200000000</v>
      </c>
    </row>
    <row r="184" spans="1:13" ht="82.5" customHeight="1">
      <c r="A184" s="158" t="s">
        <v>354</v>
      </c>
      <c r="B184" s="143" t="s">
        <v>195</v>
      </c>
      <c r="C184" s="143" t="s">
        <v>235</v>
      </c>
      <c r="D184" s="143" t="s">
        <v>320</v>
      </c>
      <c r="E184" s="143" t="s">
        <v>384</v>
      </c>
      <c r="F184" s="253">
        <v>2019005810143</v>
      </c>
      <c r="G184" s="143" t="s">
        <v>386</v>
      </c>
      <c r="H184" s="143" t="s">
        <v>252</v>
      </c>
      <c r="I184" s="225" t="s">
        <v>387</v>
      </c>
      <c r="J184" s="195"/>
      <c r="K184" s="196"/>
      <c r="L184" s="197">
        <f>SUM(K185:K194)</f>
        <v>200000000</v>
      </c>
      <c r="M184" s="149"/>
    </row>
    <row r="185" spans="1:13" ht="33.75" customHeight="1">
      <c r="A185" s="160"/>
      <c r="B185" s="124"/>
      <c r="C185" s="124"/>
      <c r="D185" s="124"/>
      <c r="E185" s="124"/>
      <c r="F185" s="125"/>
      <c r="G185" s="124"/>
      <c r="H185" s="124"/>
      <c r="I185" s="132"/>
      <c r="J185" s="456" t="s">
        <v>14</v>
      </c>
      <c r="K185" s="482">
        <v>1000000</v>
      </c>
      <c r="L185" s="129"/>
      <c r="M185" s="130"/>
    </row>
    <row r="186" spans="1:13" ht="64.5" customHeight="1">
      <c r="A186" s="160"/>
      <c r="B186" s="124"/>
      <c r="C186" s="124"/>
      <c r="D186" s="124"/>
      <c r="E186" s="124"/>
      <c r="F186" s="125"/>
      <c r="G186" s="124"/>
      <c r="H186" s="124"/>
      <c r="I186" s="132"/>
      <c r="J186" s="456" t="s">
        <v>388</v>
      </c>
      <c r="K186" s="482">
        <v>5000000</v>
      </c>
      <c r="L186" s="129"/>
      <c r="M186" s="130"/>
    </row>
    <row r="187" spans="1:13" ht="73.5" customHeight="1">
      <c r="A187" s="160"/>
      <c r="B187" s="124"/>
      <c r="C187" s="124"/>
      <c r="D187" s="124"/>
      <c r="E187" s="124"/>
      <c r="F187" s="125"/>
      <c r="G187" s="124"/>
      <c r="H187" s="124"/>
      <c r="I187" s="132"/>
      <c r="J187" s="456" t="s">
        <v>389</v>
      </c>
      <c r="K187" s="483">
        <v>100000</v>
      </c>
      <c r="L187" s="265"/>
      <c r="M187" s="130"/>
    </row>
    <row r="188" spans="1:13" ht="95.25" customHeight="1">
      <c r="A188" s="160"/>
      <c r="B188" s="124"/>
      <c r="C188" s="124"/>
      <c r="D188" s="124"/>
      <c r="E188" s="124"/>
      <c r="F188" s="125"/>
      <c r="G188" s="124"/>
      <c r="H188" s="124"/>
      <c r="I188" s="132"/>
      <c r="J188" s="456" t="s">
        <v>390</v>
      </c>
      <c r="K188" s="482">
        <v>100000</v>
      </c>
      <c r="L188" s="129"/>
      <c r="M188" s="130"/>
    </row>
    <row r="189" spans="1:13" ht="97.5" customHeight="1">
      <c r="A189" s="160"/>
      <c r="B189" s="124"/>
      <c r="C189" s="124"/>
      <c r="D189" s="124"/>
      <c r="E189" s="124"/>
      <c r="F189" s="125"/>
      <c r="G189" s="124"/>
      <c r="H189" s="124"/>
      <c r="I189" s="132"/>
      <c r="J189" s="456" t="s">
        <v>391</v>
      </c>
      <c r="K189" s="482">
        <v>1000</v>
      </c>
      <c r="L189" s="129"/>
      <c r="M189" s="130"/>
    </row>
    <row r="190" spans="1:13" ht="104.25" customHeight="1">
      <c r="A190" s="160"/>
      <c r="B190" s="124"/>
      <c r="C190" s="124"/>
      <c r="D190" s="124"/>
      <c r="E190" s="124"/>
      <c r="F190" s="125"/>
      <c r="G190" s="124"/>
      <c r="H190" s="124"/>
      <c r="I190" s="132"/>
      <c r="J190" s="456" t="s">
        <v>392</v>
      </c>
      <c r="K190" s="482">
        <v>100000</v>
      </c>
      <c r="L190" s="129"/>
      <c r="M190" s="130"/>
    </row>
    <row r="191" spans="1:13" ht="45" customHeight="1">
      <c r="A191" s="160"/>
      <c r="B191" s="124"/>
      <c r="C191" s="124"/>
      <c r="D191" s="124"/>
      <c r="E191" s="124"/>
      <c r="F191" s="125"/>
      <c r="G191" s="124"/>
      <c r="H191" s="124"/>
      <c r="I191" s="132"/>
      <c r="J191" s="163" t="s">
        <v>256</v>
      </c>
      <c r="K191" s="228">
        <v>7711161</v>
      </c>
      <c r="L191" s="129"/>
      <c r="M191" s="130"/>
    </row>
    <row r="192" spans="1:13" ht="40.5" customHeight="1">
      <c r="A192" s="160"/>
      <c r="B192" s="124"/>
      <c r="C192" s="124"/>
      <c r="D192" s="124"/>
      <c r="E192" s="124"/>
      <c r="F192" s="125"/>
      <c r="G192" s="124"/>
      <c r="H192" s="124"/>
      <c r="I192" s="132"/>
      <c r="J192" s="163" t="s">
        <v>346</v>
      </c>
      <c r="K192" s="228">
        <v>11538000</v>
      </c>
      <c r="L192" s="129"/>
      <c r="M192" s="130"/>
    </row>
    <row r="193" spans="1:14" ht="48" customHeight="1">
      <c r="A193" s="160"/>
      <c r="B193" s="124"/>
      <c r="C193" s="124"/>
      <c r="D193" s="124"/>
      <c r="E193" s="124"/>
      <c r="F193" s="125"/>
      <c r="G193" s="124"/>
      <c r="H193" s="124"/>
      <c r="I193" s="132"/>
      <c r="J193" s="163" t="s">
        <v>347</v>
      </c>
      <c r="K193" s="228">
        <v>13318500</v>
      </c>
      <c r="L193" s="129"/>
      <c r="M193" s="130"/>
    </row>
    <row r="194" spans="1:14" ht="39" customHeight="1" thickBot="1">
      <c r="A194" s="168"/>
      <c r="B194" s="151"/>
      <c r="C194" s="151"/>
      <c r="D194" s="151"/>
      <c r="E194" s="151"/>
      <c r="F194" s="152"/>
      <c r="G194" s="151"/>
      <c r="H194" s="151"/>
      <c r="I194" s="226"/>
      <c r="J194" s="154" t="s">
        <v>15</v>
      </c>
      <c r="K194" s="446">
        <v>161131339</v>
      </c>
      <c r="L194" s="227"/>
      <c r="M194" s="157"/>
      <c r="N194" s="90" t="s">
        <v>393</v>
      </c>
    </row>
    <row r="195" spans="1:14" ht="57" customHeight="1" thickBot="1">
      <c r="A195" s="106" t="s">
        <v>357</v>
      </c>
      <c r="B195" s="107"/>
      <c r="C195" s="107"/>
      <c r="D195" s="107"/>
      <c r="E195" s="107"/>
      <c r="F195" s="108"/>
      <c r="G195" s="107"/>
      <c r="H195" s="107"/>
      <c r="I195" s="266" t="s">
        <v>394</v>
      </c>
      <c r="J195" s="267"/>
      <c r="K195" s="268"/>
      <c r="L195" s="269"/>
      <c r="M195" s="114"/>
    </row>
    <row r="196" spans="1:14" ht="23.25" customHeight="1">
      <c r="A196" s="115" t="s">
        <v>357</v>
      </c>
      <c r="B196" s="116" t="s">
        <v>244</v>
      </c>
      <c r="C196" s="116"/>
      <c r="D196" s="116"/>
      <c r="E196" s="116"/>
      <c r="F196" s="117"/>
      <c r="G196" s="116"/>
      <c r="H196" s="116"/>
      <c r="I196" s="118" t="s">
        <v>245</v>
      </c>
      <c r="J196" s="119"/>
      <c r="K196" s="120"/>
      <c r="L196" s="121"/>
      <c r="M196" s="122"/>
    </row>
    <row r="197" spans="1:14" ht="37.5" customHeight="1">
      <c r="A197" s="123" t="s">
        <v>357</v>
      </c>
      <c r="B197" s="124" t="s">
        <v>244</v>
      </c>
      <c r="C197" s="124" t="s">
        <v>244</v>
      </c>
      <c r="D197" s="124"/>
      <c r="E197" s="124"/>
      <c r="F197" s="125"/>
      <c r="G197" s="124"/>
      <c r="H197" s="124"/>
      <c r="I197" s="126" t="s">
        <v>273</v>
      </c>
      <c r="J197" s="127"/>
      <c r="K197" s="128"/>
      <c r="L197" s="129"/>
      <c r="M197" s="130"/>
    </row>
    <row r="198" spans="1:14" ht="26.25" customHeight="1">
      <c r="A198" s="123" t="s">
        <v>357</v>
      </c>
      <c r="B198" s="124" t="s">
        <v>244</v>
      </c>
      <c r="C198" s="124" t="s">
        <v>244</v>
      </c>
      <c r="D198" s="124" t="s">
        <v>244</v>
      </c>
      <c r="E198" s="124"/>
      <c r="F198" s="125"/>
      <c r="G198" s="124"/>
      <c r="H198" s="124"/>
      <c r="I198" s="132" t="s">
        <v>287</v>
      </c>
      <c r="J198" s="133"/>
      <c r="K198" s="128"/>
      <c r="L198" s="129"/>
      <c r="M198" s="130"/>
    </row>
    <row r="199" spans="1:14" ht="25.5" customHeight="1" thickBot="1">
      <c r="A199" s="134" t="s">
        <v>357</v>
      </c>
      <c r="B199" s="135" t="s">
        <v>244</v>
      </c>
      <c r="C199" s="135" t="s">
        <v>244</v>
      </c>
      <c r="D199" s="135" t="s">
        <v>244</v>
      </c>
      <c r="E199" s="135" t="s">
        <v>199</v>
      </c>
      <c r="F199" s="136"/>
      <c r="G199" s="135"/>
      <c r="H199" s="135"/>
      <c r="I199" s="137" t="s">
        <v>395</v>
      </c>
      <c r="J199" s="138"/>
      <c r="K199" s="139"/>
      <c r="L199" s="140"/>
      <c r="M199" s="539">
        <v>185189380379</v>
      </c>
      <c r="N199" s="234">
        <f>M199+M89+M80+'[1]POAI 2020'!$N$41</f>
        <v>205908639076</v>
      </c>
    </row>
    <row r="200" spans="1:14" ht="146.25" customHeight="1">
      <c r="A200" s="142" t="s">
        <v>357</v>
      </c>
      <c r="B200" s="143" t="s">
        <v>244</v>
      </c>
      <c r="C200" s="143" t="s">
        <v>244</v>
      </c>
      <c r="D200" s="143" t="s">
        <v>244</v>
      </c>
      <c r="E200" s="143" t="s">
        <v>199</v>
      </c>
      <c r="F200" s="270"/>
      <c r="G200" s="143" t="s">
        <v>396</v>
      </c>
      <c r="H200" s="143" t="s">
        <v>252</v>
      </c>
      <c r="I200" s="215" t="s">
        <v>397</v>
      </c>
      <c r="J200" s="195"/>
      <c r="K200" s="196"/>
      <c r="L200" s="197">
        <f>+K201</f>
        <v>8392024876</v>
      </c>
      <c r="M200" s="149"/>
    </row>
    <row r="201" spans="1:14" ht="51.75" customHeight="1" thickBot="1">
      <c r="A201" s="271"/>
      <c r="B201" s="272"/>
      <c r="C201" s="272"/>
      <c r="D201" s="272"/>
      <c r="E201" s="272"/>
      <c r="F201" s="273"/>
      <c r="G201" s="272"/>
      <c r="H201" s="272"/>
      <c r="I201" s="274"/>
      <c r="J201" s="485" t="s">
        <v>398</v>
      </c>
      <c r="K201" s="486">
        <v>8392024876</v>
      </c>
      <c r="L201" s="227"/>
      <c r="M201" s="130"/>
    </row>
    <row r="202" spans="1:14" ht="132.75" customHeight="1">
      <c r="A202" s="201" t="s">
        <v>357</v>
      </c>
      <c r="B202" s="202" t="s">
        <v>244</v>
      </c>
      <c r="C202" s="202" t="s">
        <v>244</v>
      </c>
      <c r="D202" s="202" t="s">
        <v>244</v>
      </c>
      <c r="E202" s="202" t="s">
        <v>199</v>
      </c>
      <c r="F202" s="275"/>
      <c r="G202" s="202" t="s">
        <v>399</v>
      </c>
      <c r="H202" s="202" t="s">
        <v>252</v>
      </c>
      <c r="I202" s="276" t="s">
        <v>400</v>
      </c>
      <c r="J202" s="487"/>
      <c r="K202" s="488"/>
      <c r="L202" s="121">
        <f>+K203</f>
        <v>540841482</v>
      </c>
      <c r="M202" s="130"/>
    </row>
    <row r="203" spans="1:14" ht="45" customHeight="1" thickBot="1">
      <c r="A203" s="277"/>
      <c r="B203" s="230"/>
      <c r="C203" s="230"/>
      <c r="D203" s="230"/>
      <c r="E203" s="230"/>
      <c r="F203" s="278"/>
      <c r="G203" s="230"/>
      <c r="H203" s="230"/>
      <c r="I203" s="232"/>
      <c r="J203" s="489" t="s">
        <v>398</v>
      </c>
      <c r="K203" s="490">
        <v>540841482</v>
      </c>
      <c r="L203" s="140"/>
      <c r="M203" s="130"/>
    </row>
    <row r="204" spans="1:14" ht="124.5" customHeight="1">
      <c r="A204" s="201" t="s">
        <v>357</v>
      </c>
      <c r="B204" s="202" t="s">
        <v>244</v>
      </c>
      <c r="C204" s="202" t="s">
        <v>244</v>
      </c>
      <c r="D204" s="202" t="s">
        <v>244</v>
      </c>
      <c r="E204" s="202" t="s">
        <v>199</v>
      </c>
      <c r="F204" s="275"/>
      <c r="G204" s="202" t="s">
        <v>401</v>
      </c>
      <c r="H204" s="202" t="s">
        <v>252</v>
      </c>
      <c r="I204" s="276" t="s">
        <v>402</v>
      </c>
      <c r="J204" s="487"/>
      <c r="K204" s="488"/>
      <c r="L204" s="121">
        <f>+K205</f>
        <v>763540917</v>
      </c>
      <c r="M204" s="130"/>
    </row>
    <row r="205" spans="1:14" ht="49.5" customHeight="1" thickBot="1">
      <c r="A205" s="271"/>
      <c r="B205" s="272"/>
      <c r="C205" s="272"/>
      <c r="D205" s="272"/>
      <c r="E205" s="272"/>
      <c r="F205" s="273"/>
      <c r="G205" s="272"/>
      <c r="H205" s="272"/>
      <c r="I205" s="232"/>
      <c r="J205" s="491" t="s">
        <v>398</v>
      </c>
      <c r="K205" s="486">
        <v>763540917</v>
      </c>
      <c r="L205" s="227"/>
      <c r="M205" s="130"/>
    </row>
    <row r="206" spans="1:14" ht="119.25" customHeight="1">
      <c r="A206" s="201" t="s">
        <v>357</v>
      </c>
      <c r="B206" s="202" t="s">
        <v>244</v>
      </c>
      <c r="C206" s="202" t="s">
        <v>244</v>
      </c>
      <c r="D206" s="202" t="s">
        <v>244</v>
      </c>
      <c r="E206" s="202" t="s">
        <v>199</v>
      </c>
      <c r="F206" s="275"/>
      <c r="G206" s="202" t="s">
        <v>403</v>
      </c>
      <c r="H206" s="202" t="s">
        <v>252</v>
      </c>
      <c r="I206" s="276" t="s">
        <v>404</v>
      </c>
      <c r="J206" s="492"/>
      <c r="K206" s="493"/>
      <c r="L206" s="121">
        <f>+K207</f>
        <v>67075081</v>
      </c>
      <c r="M206" s="130"/>
    </row>
    <row r="207" spans="1:14" ht="50.25" customHeight="1" thickBot="1">
      <c r="A207" s="271"/>
      <c r="B207" s="272"/>
      <c r="C207" s="272"/>
      <c r="D207" s="272"/>
      <c r="E207" s="272"/>
      <c r="F207" s="273"/>
      <c r="G207" s="272"/>
      <c r="H207" s="272"/>
      <c r="I207" s="279"/>
      <c r="J207" s="485" t="s">
        <v>398</v>
      </c>
      <c r="K207" s="494">
        <v>67075081</v>
      </c>
      <c r="L207" s="227"/>
      <c r="M207" s="130"/>
    </row>
    <row r="208" spans="1:14" ht="159" customHeight="1">
      <c r="A208" s="201" t="s">
        <v>357</v>
      </c>
      <c r="B208" s="202" t="s">
        <v>244</v>
      </c>
      <c r="C208" s="202" t="s">
        <v>244</v>
      </c>
      <c r="D208" s="202" t="s">
        <v>244</v>
      </c>
      <c r="E208" s="202" t="s">
        <v>199</v>
      </c>
      <c r="F208" s="275"/>
      <c r="G208" s="202" t="s">
        <v>405</v>
      </c>
      <c r="H208" s="202" t="s">
        <v>252</v>
      </c>
      <c r="I208" s="276" t="s">
        <v>406</v>
      </c>
      <c r="J208" s="495"/>
      <c r="K208" s="488"/>
      <c r="L208" s="121">
        <f>+K209</f>
        <v>684551648</v>
      </c>
      <c r="M208" s="130"/>
    </row>
    <row r="209" spans="1:13" ht="49.5" customHeight="1" thickBot="1">
      <c r="A209" s="271"/>
      <c r="B209" s="272"/>
      <c r="C209" s="272"/>
      <c r="D209" s="272"/>
      <c r="E209" s="272"/>
      <c r="F209" s="273"/>
      <c r="G209" s="272"/>
      <c r="H209" s="272"/>
      <c r="I209" s="274"/>
      <c r="J209" s="485" t="s">
        <v>398</v>
      </c>
      <c r="K209" s="486">
        <v>684551648</v>
      </c>
      <c r="L209" s="227"/>
      <c r="M209" s="130"/>
    </row>
    <row r="210" spans="1:13" ht="134.25" customHeight="1">
      <c r="A210" s="201" t="s">
        <v>357</v>
      </c>
      <c r="B210" s="202" t="s">
        <v>244</v>
      </c>
      <c r="C210" s="202" t="s">
        <v>244</v>
      </c>
      <c r="D210" s="202" t="s">
        <v>244</v>
      </c>
      <c r="E210" s="202" t="s">
        <v>199</v>
      </c>
      <c r="F210" s="275"/>
      <c r="G210" s="202" t="s">
        <v>407</v>
      </c>
      <c r="H210" s="202" t="s">
        <v>252</v>
      </c>
      <c r="I210" s="276" t="s">
        <v>408</v>
      </c>
      <c r="J210" s="492"/>
      <c r="K210" s="493"/>
      <c r="L210" s="121">
        <f>+K211</f>
        <v>38751181</v>
      </c>
      <c r="M210" s="130"/>
    </row>
    <row r="211" spans="1:13" ht="47.25" customHeight="1" thickBot="1">
      <c r="A211" s="271"/>
      <c r="B211" s="272"/>
      <c r="C211" s="272"/>
      <c r="D211" s="272"/>
      <c r="E211" s="272"/>
      <c r="F211" s="273"/>
      <c r="G211" s="272"/>
      <c r="H211" s="272"/>
      <c r="I211" s="279"/>
      <c r="J211" s="485" t="s">
        <v>398</v>
      </c>
      <c r="K211" s="494">
        <v>38751181</v>
      </c>
      <c r="L211" s="227"/>
      <c r="M211" s="130"/>
    </row>
    <row r="212" spans="1:13" ht="123.75" customHeight="1">
      <c r="A212" s="201" t="s">
        <v>357</v>
      </c>
      <c r="B212" s="202" t="s">
        <v>244</v>
      </c>
      <c r="C212" s="202" t="s">
        <v>244</v>
      </c>
      <c r="D212" s="202" t="s">
        <v>244</v>
      </c>
      <c r="E212" s="202" t="s">
        <v>199</v>
      </c>
      <c r="F212" s="275"/>
      <c r="G212" s="202" t="s">
        <v>409</v>
      </c>
      <c r="H212" s="202" t="s">
        <v>252</v>
      </c>
      <c r="I212" s="276" t="s">
        <v>410</v>
      </c>
      <c r="J212" s="492"/>
      <c r="K212" s="493"/>
      <c r="L212" s="121">
        <f>+K213</f>
        <v>232507087</v>
      </c>
      <c r="M212" s="130"/>
    </row>
    <row r="213" spans="1:13" ht="44.25" customHeight="1" thickBot="1">
      <c r="A213" s="271"/>
      <c r="B213" s="272"/>
      <c r="C213" s="272"/>
      <c r="D213" s="272"/>
      <c r="E213" s="272"/>
      <c r="F213" s="273"/>
      <c r="G213" s="272"/>
      <c r="H213" s="272"/>
      <c r="I213" s="279"/>
      <c r="J213" s="485" t="s">
        <v>398</v>
      </c>
      <c r="K213" s="494">
        <v>232507087</v>
      </c>
      <c r="L213" s="227"/>
      <c r="M213" s="130"/>
    </row>
    <row r="214" spans="1:13" ht="123" customHeight="1">
      <c r="A214" s="201" t="s">
        <v>357</v>
      </c>
      <c r="B214" s="202" t="s">
        <v>244</v>
      </c>
      <c r="C214" s="202" t="s">
        <v>244</v>
      </c>
      <c r="D214" s="202" t="s">
        <v>244</v>
      </c>
      <c r="E214" s="202" t="s">
        <v>199</v>
      </c>
      <c r="F214" s="275"/>
      <c r="G214" s="202" t="s">
        <v>411</v>
      </c>
      <c r="H214" s="202" t="s">
        <v>252</v>
      </c>
      <c r="I214" s="276" t="s">
        <v>412</v>
      </c>
      <c r="J214" s="492"/>
      <c r="K214" s="493"/>
      <c r="L214" s="121">
        <f>+K215</f>
        <v>38751181</v>
      </c>
      <c r="M214" s="130"/>
    </row>
    <row r="215" spans="1:13" ht="46.5" customHeight="1" thickBot="1">
      <c r="A215" s="277"/>
      <c r="B215" s="230"/>
      <c r="C215" s="230"/>
      <c r="D215" s="230"/>
      <c r="E215" s="230"/>
      <c r="F215" s="278"/>
      <c r="G215" s="230"/>
      <c r="H215" s="230"/>
      <c r="I215" s="280"/>
      <c r="J215" s="489" t="s">
        <v>398</v>
      </c>
      <c r="K215" s="496">
        <v>38751181</v>
      </c>
      <c r="L215" s="140"/>
      <c r="M215" s="130"/>
    </row>
    <row r="216" spans="1:13" ht="118.8">
      <c r="A216" s="201" t="s">
        <v>357</v>
      </c>
      <c r="B216" s="202" t="s">
        <v>244</v>
      </c>
      <c r="C216" s="202" t="s">
        <v>244</v>
      </c>
      <c r="D216" s="202" t="s">
        <v>244</v>
      </c>
      <c r="E216" s="202" t="s">
        <v>199</v>
      </c>
      <c r="F216" s="275"/>
      <c r="G216" s="202" t="s">
        <v>413</v>
      </c>
      <c r="H216" s="202" t="s">
        <v>252</v>
      </c>
      <c r="I216" s="276" t="s">
        <v>414</v>
      </c>
      <c r="J216" s="492"/>
      <c r="K216" s="493"/>
      <c r="L216" s="121">
        <f>+K217</f>
        <v>310009450</v>
      </c>
      <c r="M216" s="130"/>
    </row>
    <row r="217" spans="1:13" ht="50.25" customHeight="1" thickBot="1">
      <c r="A217" s="277"/>
      <c r="B217" s="230"/>
      <c r="C217" s="230"/>
      <c r="D217" s="230"/>
      <c r="E217" s="230"/>
      <c r="F217" s="278"/>
      <c r="G217" s="230"/>
      <c r="H217" s="230"/>
      <c r="I217" s="280"/>
      <c r="J217" s="489" t="s">
        <v>398</v>
      </c>
      <c r="K217" s="496">
        <v>310009450</v>
      </c>
      <c r="L217" s="140"/>
      <c r="M217" s="130"/>
    </row>
    <row r="218" spans="1:13" ht="143.25" customHeight="1">
      <c r="A218" s="142" t="s">
        <v>357</v>
      </c>
      <c r="B218" s="143" t="s">
        <v>244</v>
      </c>
      <c r="C218" s="143" t="s">
        <v>244</v>
      </c>
      <c r="D218" s="143" t="s">
        <v>244</v>
      </c>
      <c r="E218" s="143" t="s">
        <v>199</v>
      </c>
      <c r="F218" s="270"/>
      <c r="G218" s="143" t="s">
        <v>415</v>
      </c>
      <c r="H218" s="143" t="s">
        <v>252</v>
      </c>
      <c r="I218" s="215" t="s">
        <v>416</v>
      </c>
      <c r="J218" s="497"/>
      <c r="K218" s="498"/>
      <c r="L218" s="197">
        <f>+K219</f>
        <v>77502362</v>
      </c>
      <c r="M218" s="130"/>
    </row>
    <row r="219" spans="1:13" ht="43.5" customHeight="1" thickBot="1">
      <c r="A219" s="277"/>
      <c r="B219" s="230"/>
      <c r="C219" s="230"/>
      <c r="D219" s="230"/>
      <c r="E219" s="230"/>
      <c r="F219" s="278"/>
      <c r="G219" s="230"/>
      <c r="H219" s="230"/>
      <c r="I219" s="280"/>
      <c r="J219" s="489" t="s">
        <v>398</v>
      </c>
      <c r="K219" s="496">
        <v>77502362</v>
      </c>
      <c r="L219" s="140"/>
      <c r="M219" s="130"/>
    </row>
    <row r="220" spans="1:13" ht="79.5" customHeight="1">
      <c r="A220" s="201" t="s">
        <v>357</v>
      </c>
      <c r="B220" s="202" t="s">
        <v>244</v>
      </c>
      <c r="C220" s="202" t="s">
        <v>244</v>
      </c>
      <c r="D220" s="202" t="s">
        <v>244</v>
      </c>
      <c r="E220" s="202" t="s">
        <v>199</v>
      </c>
      <c r="F220" s="275"/>
      <c r="G220" s="202" t="s">
        <v>417</v>
      </c>
      <c r="H220" s="202" t="s">
        <v>252</v>
      </c>
      <c r="I220" s="281" t="s">
        <v>418</v>
      </c>
      <c r="J220" s="492"/>
      <c r="K220" s="493"/>
      <c r="L220" s="121">
        <f>+K221</f>
        <v>300000000</v>
      </c>
      <c r="M220" s="130"/>
    </row>
    <row r="221" spans="1:13" ht="45.75" customHeight="1" thickBot="1">
      <c r="A221" s="277"/>
      <c r="B221" s="230"/>
      <c r="C221" s="230"/>
      <c r="D221" s="230"/>
      <c r="E221" s="230"/>
      <c r="F221" s="278"/>
      <c r="G221" s="230"/>
      <c r="H221" s="230"/>
      <c r="I221" s="280"/>
      <c r="J221" s="489" t="s">
        <v>398</v>
      </c>
      <c r="K221" s="496">
        <v>300000000</v>
      </c>
      <c r="L221" s="140"/>
      <c r="M221" s="130"/>
    </row>
    <row r="222" spans="1:13" ht="120" customHeight="1">
      <c r="A222" s="201" t="s">
        <v>357</v>
      </c>
      <c r="B222" s="202" t="s">
        <v>244</v>
      </c>
      <c r="C222" s="202" t="s">
        <v>244</v>
      </c>
      <c r="D222" s="202" t="s">
        <v>244</v>
      </c>
      <c r="E222" s="202" t="s">
        <v>199</v>
      </c>
      <c r="F222" s="270"/>
      <c r="G222" s="143" t="s">
        <v>419</v>
      </c>
      <c r="H222" s="143" t="s">
        <v>252</v>
      </c>
      <c r="I222" s="282" t="s">
        <v>420</v>
      </c>
      <c r="J222" s="497"/>
      <c r="K222" s="498"/>
      <c r="L222" s="197">
        <f>+K223</f>
        <v>50000000</v>
      </c>
      <c r="M222" s="130"/>
    </row>
    <row r="223" spans="1:13" ht="42.75" customHeight="1" thickBot="1">
      <c r="A223" s="277"/>
      <c r="B223" s="230"/>
      <c r="C223" s="230"/>
      <c r="D223" s="230"/>
      <c r="E223" s="230"/>
      <c r="F223" s="278"/>
      <c r="G223" s="230"/>
      <c r="H223" s="230"/>
      <c r="I223" s="280"/>
      <c r="J223" s="489" t="s">
        <v>398</v>
      </c>
      <c r="K223" s="496">
        <v>50000000</v>
      </c>
      <c r="L223" s="140"/>
      <c r="M223" s="130"/>
    </row>
    <row r="224" spans="1:13" ht="144" customHeight="1">
      <c r="A224" s="201" t="s">
        <v>357</v>
      </c>
      <c r="B224" s="202" t="s">
        <v>244</v>
      </c>
      <c r="C224" s="202" t="s">
        <v>244</v>
      </c>
      <c r="D224" s="202" t="s">
        <v>244</v>
      </c>
      <c r="E224" s="202" t="s">
        <v>199</v>
      </c>
      <c r="F224" s="275"/>
      <c r="G224" s="202" t="s">
        <v>421</v>
      </c>
      <c r="H224" s="202" t="s">
        <v>252</v>
      </c>
      <c r="I224" s="281" t="s">
        <v>422</v>
      </c>
      <c r="J224" s="492"/>
      <c r="K224" s="493"/>
      <c r="L224" s="121">
        <f>+K225</f>
        <v>35000000</v>
      </c>
      <c r="M224" s="130"/>
    </row>
    <row r="225" spans="1:13" ht="48" customHeight="1" thickBot="1">
      <c r="A225" s="277"/>
      <c r="B225" s="230"/>
      <c r="C225" s="230"/>
      <c r="D225" s="230"/>
      <c r="E225" s="230"/>
      <c r="F225" s="278"/>
      <c r="G225" s="230"/>
      <c r="H225" s="230"/>
      <c r="I225" s="280"/>
      <c r="J225" s="489" t="s">
        <v>398</v>
      </c>
      <c r="K225" s="496">
        <v>35000000</v>
      </c>
      <c r="L225" s="140"/>
      <c r="M225" s="130"/>
    </row>
    <row r="226" spans="1:13" ht="84.75" customHeight="1">
      <c r="A226" s="201" t="s">
        <v>357</v>
      </c>
      <c r="B226" s="202" t="s">
        <v>244</v>
      </c>
      <c r="C226" s="202" t="s">
        <v>244</v>
      </c>
      <c r="D226" s="202" t="s">
        <v>244</v>
      </c>
      <c r="E226" s="202" t="s">
        <v>199</v>
      </c>
      <c r="F226" s="275"/>
      <c r="G226" s="202" t="s">
        <v>423</v>
      </c>
      <c r="H226" s="202" t="s">
        <v>252</v>
      </c>
      <c r="I226" s="276" t="s">
        <v>424</v>
      </c>
      <c r="J226" s="492"/>
      <c r="K226" s="493"/>
      <c r="L226" s="121">
        <f>+K227</f>
        <v>1603000000</v>
      </c>
      <c r="M226" s="130"/>
    </row>
    <row r="227" spans="1:13" ht="60" customHeight="1" thickBot="1">
      <c r="A227" s="277"/>
      <c r="B227" s="230"/>
      <c r="C227" s="230"/>
      <c r="D227" s="230"/>
      <c r="E227" s="230"/>
      <c r="F227" s="278"/>
      <c r="G227" s="230"/>
      <c r="H227" s="230"/>
      <c r="I227" s="283"/>
      <c r="J227" s="489" t="s">
        <v>398</v>
      </c>
      <c r="K227" s="496">
        <v>1603000000</v>
      </c>
      <c r="L227" s="140"/>
      <c r="M227" s="130"/>
    </row>
    <row r="228" spans="1:13" ht="89.25" customHeight="1">
      <c r="A228" s="201" t="s">
        <v>357</v>
      </c>
      <c r="B228" s="202" t="s">
        <v>244</v>
      </c>
      <c r="C228" s="202" t="s">
        <v>244</v>
      </c>
      <c r="D228" s="202" t="s">
        <v>244</v>
      </c>
      <c r="E228" s="202" t="s">
        <v>199</v>
      </c>
      <c r="F228" s="275"/>
      <c r="G228" s="202" t="s">
        <v>425</v>
      </c>
      <c r="H228" s="202" t="s">
        <v>252</v>
      </c>
      <c r="I228" s="276" t="s">
        <v>426</v>
      </c>
      <c r="J228" s="492"/>
      <c r="K228" s="493"/>
      <c r="L228" s="121">
        <f>+K229</f>
        <v>1800000000</v>
      </c>
      <c r="M228" s="130"/>
    </row>
    <row r="229" spans="1:13" ht="42.75" customHeight="1" thickBot="1">
      <c r="A229" s="277"/>
      <c r="B229" s="230"/>
      <c r="C229" s="230"/>
      <c r="D229" s="230"/>
      <c r="E229" s="230"/>
      <c r="F229" s="278"/>
      <c r="G229" s="230"/>
      <c r="H229" s="230"/>
      <c r="I229" s="283"/>
      <c r="J229" s="489" t="s">
        <v>398</v>
      </c>
      <c r="K229" s="496">
        <v>1800000000</v>
      </c>
      <c r="L229" s="140"/>
      <c r="M229" s="130"/>
    </row>
    <row r="230" spans="1:13" ht="128.25" customHeight="1">
      <c r="A230" s="201" t="s">
        <v>357</v>
      </c>
      <c r="B230" s="202" t="s">
        <v>244</v>
      </c>
      <c r="C230" s="202" t="s">
        <v>244</v>
      </c>
      <c r="D230" s="202" t="s">
        <v>244</v>
      </c>
      <c r="E230" s="202" t="s">
        <v>199</v>
      </c>
      <c r="F230" s="275"/>
      <c r="G230" s="202" t="s">
        <v>427</v>
      </c>
      <c r="H230" s="202" t="s">
        <v>252</v>
      </c>
      <c r="I230" s="276" t="s">
        <v>428</v>
      </c>
      <c r="J230" s="495"/>
      <c r="K230" s="488"/>
      <c r="L230" s="121">
        <f>+K231</f>
        <v>116537737093</v>
      </c>
      <c r="M230" s="130"/>
    </row>
    <row r="231" spans="1:13" ht="54.75" customHeight="1" thickBot="1">
      <c r="A231" s="277"/>
      <c r="B231" s="230"/>
      <c r="C231" s="230"/>
      <c r="D231" s="230"/>
      <c r="E231" s="230"/>
      <c r="F231" s="278"/>
      <c r="G231" s="230"/>
      <c r="H231" s="230"/>
      <c r="I231" s="232"/>
      <c r="J231" s="499" t="s">
        <v>398</v>
      </c>
      <c r="K231" s="490">
        <v>116537737093</v>
      </c>
      <c r="L231" s="140"/>
      <c r="M231" s="130"/>
    </row>
    <row r="232" spans="1:13" ht="153.75" customHeight="1">
      <c r="A232" s="201" t="s">
        <v>357</v>
      </c>
      <c r="B232" s="202" t="s">
        <v>244</v>
      </c>
      <c r="C232" s="202" t="s">
        <v>244</v>
      </c>
      <c r="D232" s="202" t="s">
        <v>244</v>
      </c>
      <c r="E232" s="202" t="s">
        <v>199</v>
      </c>
      <c r="F232" s="275"/>
      <c r="G232" s="202" t="s">
        <v>429</v>
      </c>
      <c r="H232" s="202" t="s">
        <v>252</v>
      </c>
      <c r="I232" s="276" t="s">
        <v>430</v>
      </c>
      <c r="J232" s="495"/>
      <c r="K232" s="488"/>
      <c r="L232" s="121">
        <f>+K233</f>
        <v>8112869839</v>
      </c>
      <c r="M232" s="130"/>
    </row>
    <row r="233" spans="1:13" ht="65.25" customHeight="1" thickBot="1">
      <c r="A233" s="277"/>
      <c r="B233" s="230"/>
      <c r="C233" s="230"/>
      <c r="D233" s="230"/>
      <c r="E233" s="230"/>
      <c r="F233" s="278"/>
      <c r="G233" s="230"/>
      <c r="H233" s="230"/>
      <c r="I233" s="232"/>
      <c r="J233" s="499" t="s">
        <v>431</v>
      </c>
      <c r="K233" s="490">
        <v>8112869839</v>
      </c>
      <c r="L233" s="140"/>
      <c r="M233" s="130"/>
    </row>
    <row r="234" spans="1:13" ht="108" customHeight="1">
      <c r="A234" s="201" t="s">
        <v>357</v>
      </c>
      <c r="B234" s="202" t="s">
        <v>244</v>
      </c>
      <c r="C234" s="202" t="s">
        <v>244</v>
      </c>
      <c r="D234" s="202" t="s">
        <v>244</v>
      </c>
      <c r="E234" s="202" t="s">
        <v>199</v>
      </c>
      <c r="F234" s="275"/>
      <c r="G234" s="202" t="s">
        <v>432</v>
      </c>
      <c r="H234" s="202" t="s">
        <v>252</v>
      </c>
      <c r="I234" s="284" t="s">
        <v>433</v>
      </c>
      <c r="J234" s="500"/>
      <c r="K234" s="501"/>
      <c r="L234" s="121">
        <f>+K235</f>
        <v>578601119</v>
      </c>
      <c r="M234" s="130"/>
    </row>
    <row r="235" spans="1:13" ht="48" customHeight="1" thickBot="1">
      <c r="A235" s="277"/>
      <c r="B235" s="230"/>
      <c r="C235" s="230"/>
      <c r="D235" s="230"/>
      <c r="E235" s="230"/>
      <c r="F235" s="278"/>
      <c r="G235" s="230"/>
      <c r="H235" s="230"/>
      <c r="I235" s="285"/>
      <c r="J235" s="499" t="s">
        <v>398</v>
      </c>
      <c r="K235" s="502">
        <v>578601119</v>
      </c>
      <c r="L235" s="140"/>
      <c r="M235" s="130"/>
    </row>
    <row r="236" spans="1:13" ht="108" customHeight="1">
      <c r="A236" s="201" t="s">
        <v>357</v>
      </c>
      <c r="B236" s="202" t="s">
        <v>244</v>
      </c>
      <c r="C236" s="202" t="s">
        <v>244</v>
      </c>
      <c r="D236" s="202" t="s">
        <v>244</v>
      </c>
      <c r="E236" s="202" t="s">
        <v>199</v>
      </c>
      <c r="F236" s="275"/>
      <c r="G236" s="202" t="s">
        <v>434</v>
      </c>
      <c r="H236" s="202" t="s">
        <v>252</v>
      </c>
      <c r="I236" s="276" t="s">
        <v>435</v>
      </c>
      <c r="J236" s="503"/>
      <c r="K236" s="501"/>
      <c r="L236" s="121">
        <f>+K237</f>
        <v>3471606709</v>
      </c>
      <c r="M236" s="130"/>
    </row>
    <row r="237" spans="1:13" ht="45.75" customHeight="1" thickBot="1">
      <c r="A237" s="277"/>
      <c r="B237" s="230"/>
      <c r="C237" s="230"/>
      <c r="D237" s="230"/>
      <c r="E237" s="230"/>
      <c r="F237" s="278"/>
      <c r="G237" s="230"/>
      <c r="H237" s="230"/>
      <c r="I237" s="285"/>
      <c r="J237" s="499" t="s">
        <v>398</v>
      </c>
      <c r="K237" s="502">
        <v>3471606709</v>
      </c>
      <c r="L237" s="140"/>
      <c r="M237" s="130"/>
    </row>
    <row r="238" spans="1:13" ht="108.75" customHeight="1">
      <c r="A238" s="201" t="s">
        <v>357</v>
      </c>
      <c r="B238" s="202" t="s">
        <v>244</v>
      </c>
      <c r="C238" s="202" t="s">
        <v>244</v>
      </c>
      <c r="D238" s="202" t="s">
        <v>244</v>
      </c>
      <c r="E238" s="202" t="s">
        <v>199</v>
      </c>
      <c r="F238" s="275"/>
      <c r="G238" s="202" t="s">
        <v>436</v>
      </c>
      <c r="H238" s="202" t="s">
        <v>252</v>
      </c>
      <c r="I238" s="276" t="s">
        <v>437</v>
      </c>
      <c r="J238" s="503"/>
      <c r="K238" s="501"/>
      <c r="L238" s="121">
        <f>+K239</f>
        <v>578601119</v>
      </c>
      <c r="M238" s="130"/>
    </row>
    <row r="239" spans="1:13" ht="45" customHeight="1" thickBot="1">
      <c r="A239" s="277"/>
      <c r="B239" s="230"/>
      <c r="C239" s="230"/>
      <c r="D239" s="230"/>
      <c r="E239" s="230"/>
      <c r="F239" s="278"/>
      <c r="G239" s="230"/>
      <c r="H239" s="230"/>
      <c r="I239" s="287"/>
      <c r="J239" s="499" t="s">
        <v>398</v>
      </c>
      <c r="K239" s="502">
        <v>578601119</v>
      </c>
      <c r="L239" s="140"/>
      <c r="M239" s="130"/>
    </row>
    <row r="240" spans="1:13" ht="125.25" customHeight="1">
      <c r="A240" s="201" t="s">
        <v>357</v>
      </c>
      <c r="B240" s="202" t="s">
        <v>244</v>
      </c>
      <c r="C240" s="202" t="s">
        <v>244</v>
      </c>
      <c r="D240" s="202" t="s">
        <v>244</v>
      </c>
      <c r="E240" s="202" t="s">
        <v>199</v>
      </c>
      <c r="F240" s="275"/>
      <c r="G240" s="202" t="s">
        <v>438</v>
      </c>
      <c r="H240" s="202" t="s">
        <v>252</v>
      </c>
      <c r="I240" s="276" t="s">
        <v>439</v>
      </c>
      <c r="J240" s="503"/>
      <c r="K240" s="501"/>
      <c r="L240" s="121">
        <f>+K241</f>
        <v>4628808945</v>
      </c>
      <c r="M240" s="130"/>
    </row>
    <row r="241" spans="1:13" ht="42.75" customHeight="1" thickBot="1">
      <c r="A241" s="277"/>
      <c r="B241" s="230"/>
      <c r="C241" s="230"/>
      <c r="D241" s="230"/>
      <c r="E241" s="230"/>
      <c r="F241" s="278"/>
      <c r="G241" s="230"/>
      <c r="H241" s="230"/>
      <c r="I241" s="287"/>
      <c r="J241" s="499" t="s">
        <v>398</v>
      </c>
      <c r="K241" s="502">
        <v>4628808945</v>
      </c>
      <c r="L241" s="140"/>
      <c r="M241" s="130"/>
    </row>
    <row r="242" spans="1:13" ht="132.75" customHeight="1">
      <c r="A242" s="201" t="s">
        <v>357</v>
      </c>
      <c r="B242" s="202" t="s">
        <v>244</v>
      </c>
      <c r="C242" s="202" t="s">
        <v>244</v>
      </c>
      <c r="D242" s="202" t="s">
        <v>244</v>
      </c>
      <c r="E242" s="202" t="s">
        <v>199</v>
      </c>
      <c r="F242" s="275"/>
      <c r="G242" s="202" t="s">
        <v>440</v>
      </c>
      <c r="H242" s="202" t="s">
        <v>252</v>
      </c>
      <c r="I242" s="276" t="s">
        <v>441</v>
      </c>
      <c r="J242" s="503"/>
      <c r="K242" s="501"/>
      <c r="L242" s="121">
        <f>+K243</f>
        <v>1157202236</v>
      </c>
      <c r="M242" s="130"/>
    </row>
    <row r="243" spans="1:13" ht="45" customHeight="1" thickBot="1">
      <c r="A243" s="277"/>
      <c r="B243" s="230"/>
      <c r="C243" s="230"/>
      <c r="D243" s="230"/>
      <c r="E243" s="230"/>
      <c r="F243" s="278"/>
      <c r="G243" s="230"/>
      <c r="H243" s="230"/>
      <c r="I243" s="287"/>
      <c r="J243" s="499" t="s">
        <v>398</v>
      </c>
      <c r="K243" s="502">
        <v>1157202236</v>
      </c>
      <c r="L243" s="140"/>
      <c r="M243" s="130"/>
    </row>
    <row r="244" spans="1:13" ht="141" customHeight="1">
      <c r="A244" s="201" t="s">
        <v>357</v>
      </c>
      <c r="B244" s="202" t="s">
        <v>244</v>
      </c>
      <c r="C244" s="202" t="s">
        <v>244</v>
      </c>
      <c r="D244" s="202" t="s">
        <v>244</v>
      </c>
      <c r="E244" s="202" t="s">
        <v>199</v>
      </c>
      <c r="F244" s="275"/>
      <c r="G244" s="202" t="s">
        <v>442</v>
      </c>
      <c r="H244" s="202" t="s">
        <v>252</v>
      </c>
      <c r="I244" s="276" t="s">
        <v>443</v>
      </c>
      <c r="J244" s="504"/>
      <c r="K244" s="505"/>
      <c r="L244" s="121">
        <f>+K245</f>
        <v>9636924946</v>
      </c>
      <c r="M244" s="130"/>
    </row>
    <row r="245" spans="1:13" ht="53.25" customHeight="1" thickBot="1">
      <c r="A245" s="277"/>
      <c r="B245" s="230"/>
      <c r="C245" s="230"/>
      <c r="D245" s="230"/>
      <c r="E245" s="230"/>
      <c r="F245" s="278"/>
      <c r="G245" s="230"/>
      <c r="H245" s="230"/>
      <c r="I245" s="287"/>
      <c r="J245" s="499" t="s">
        <v>444</v>
      </c>
      <c r="K245" s="496">
        <v>9636924946</v>
      </c>
      <c r="L245" s="140"/>
      <c r="M245" s="130"/>
    </row>
    <row r="246" spans="1:13" ht="118.8">
      <c r="A246" s="201" t="s">
        <v>357</v>
      </c>
      <c r="B246" s="202" t="s">
        <v>244</v>
      </c>
      <c r="C246" s="202" t="s">
        <v>244</v>
      </c>
      <c r="D246" s="202" t="s">
        <v>244</v>
      </c>
      <c r="E246" s="202" t="s">
        <v>199</v>
      </c>
      <c r="F246" s="275"/>
      <c r="G246" s="202" t="s">
        <v>445</v>
      </c>
      <c r="H246" s="202" t="s">
        <v>252</v>
      </c>
      <c r="I246" s="276" t="s">
        <v>446</v>
      </c>
      <c r="J246" s="506"/>
      <c r="K246" s="507"/>
      <c r="L246" s="121">
        <f>+K247</f>
        <v>8995711747</v>
      </c>
      <c r="M246" s="130"/>
    </row>
    <row r="247" spans="1:13" ht="31.2" thickBot="1">
      <c r="A247" s="277"/>
      <c r="B247" s="230"/>
      <c r="C247" s="230"/>
      <c r="D247" s="230"/>
      <c r="E247" s="230"/>
      <c r="F247" s="278"/>
      <c r="G247" s="230"/>
      <c r="H247" s="230"/>
      <c r="I247" s="287"/>
      <c r="J247" s="499" t="s">
        <v>444</v>
      </c>
      <c r="K247" s="496">
        <v>8995711747</v>
      </c>
      <c r="L247" s="140"/>
      <c r="M247" s="130"/>
    </row>
    <row r="248" spans="1:13" ht="138" customHeight="1">
      <c r="A248" s="201" t="s">
        <v>357</v>
      </c>
      <c r="B248" s="202" t="s">
        <v>244</v>
      </c>
      <c r="C248" s="202" t="s">
        <v>244</v>
      </c>
      <c r="D248" s="202" t="s">
        <v>244</v>
      </c>
      <c r="E248" s="202" t="s">
        <v>199</v>
      </c>
      <c r="F248" s="275"/>
      <c r="G248" s="202" t="s">
        <v>447</v>
      </c>
      <c r="H248" s="202" t="s">
        <v>252</v>
      </c>
      <c r="I248" s="276" t="s">
        <v>448</v>
      </c>
      <c r="J248" s="506"/>
      <c r="K248" s="508"/>
      <c r="L248" s="121">
        <f>+K249</f>
        <v>349294360</v>
      </c>
      <c r="M248" s="130"/>
    </row>
    <row r="249" spans="1:13" ht="55.5" customHeight="1" thickBot="1">
      <c r="A249" s="277"/>
      <c r="B249" s="230"/>
      <c r="C249" s="230"/>
      <c r="D249" s="230"/>
      <c r="E249" s="230"/>
      <c r="F249" s="278"/>
      <c r="G249" s="230"/>
      <c r="H249" s="230"/>
      <c r="I249" s="287"/>
      <c r="J249" s="499" t="s">
        <v>398</v>
      </c>
      <c r="K249" s="502">
        <v>349294360</v>
      </c>
      <c r="L249" s="140"/>
      <c r="M249" s="130"/>
    </row>
    <row r="250" spans="1:13" ht="119.25" customHeight="1">
      <c r="A250" s="201" t="s">
        <v>357</v>
      </c>
      <c r="B250" s="202" t="s">
        <v>244</v>
      </c>
      <c r="C250" s="202" t="s">
        <v>244</v>
      </c>
      <c r="D250" s="202" t="s">
        <v>244</v>
      </c>
      <c r="E250" s="202" t="s">
        <v>199</v>
      </c>
      <c r="F250" s="275"/>
      <c r="G250" s="202" t="s">
        <v>449</v>
      </c>
      <c r="H250" s="202" t="s">
        <v>252</v>
      </c>
      <c r="I250" s="276" t="s">
        <v>450</v>
      </c>
      <c r="J250" s="495"/>
      <c r="K250" s="488"/>
      <c r="L250" s="121">
        <f>+K251</f>
        <v>10425116616</v>
      </c>
      <c r="M250" s="130"/>
    </row>
    <row r="251" spans="1:13" ht="45" customHeight="1" thickBot="1">
      <c r="A251" s="277"/>
      <c r="B251" s="230"/>
      <c r="C251" s="230"/>
      <c r="D251" s="230"/>
      <c r="E251" s="230"/>
      <c r="F251" s="278"/>
      <c r="G251" s="230"/>
      <c r="H251" s="230"/>
      <c r="I251" s="232"/>
      <c r="J251" s="499" t="s">
        <v>398</v>
      </c>
      <c r="K251" s="490">
        <v>10425116616</v>
      </c>
      <c r="L251" s="140"/>
      <c r="M251" s="130"/>
    </row>
    <row r="252" spans="1:13" ht="132">
      <c r="A252" s="201" t="s">
        <v>357</v>
      </c>
      <c r="B252" s="202" t="s">
        <v>244</v>
      </c>
      <c r="C252" s="202" t="s">
        <v>244</v>
      </c>
      <c r="D252" s="202" t="s">
        <v>244</v>
      </c>
      <c r="E252" s="202" t="s">
        <v>199</v>
      </c>
      <c r="F252" s="275"/>
      <c r="G252" s="202" t="s">
        <v>451</v>
      </c>
      <c r="H252" s="202" t="s">
        <v>252</v>
      </c>
      <c r="I252" s="276" t="s">
        <v>452</v>
      </c>
      <c r="J252" s="487"/>
      <c r="K252" s="488"/>
      <c r="L252" s="121">
        <f>+K253</f>
        <v>727290231</v>
      </c>
      <c r="M252" s="130"/>
    </row>
    <row r="253" spans="1:13" ht="62.25" customHeight="1" thickBot="1">
      <c r="A253" s="277"/>
      <c r="B253" s="230"/>
      <c r="C253" s="230"/>
      <c r="D253" s="230"/>
      <c r="E253" s="230"/>
      <c r="F253" s="278"/>
      <c r="G253" s="230"/>
      <c r="H253" s="230"/>
      <c r="I253" s="232"/>
      <c r="J253" s="499" t="s">
        <v>431</v>
      </c>
      <c r="K253" s="490">
        <v>727290231</v>
      </c>
      <c r="L253" s="140"/>
      <c r="M253" s="130"/>
    </row>
    <row r="254" spans="1:13" ht="114" customHeight="1">
      <c r="A254" s="201" t="s">
        <v>357</v>
      </c>
      <c r="B254" s="202" t="s">
        <v>244</v>
      </c>
      <c r="C254" s="202" t="s">
        <v>244</v>
      </c>
      <c r="D254" s="202" t="s">
        <v>244</v>
      </c>
      <c r="E254" s="202" t="s">
        <v>199</v>
      </c>
      <c r="F254" s="275"/>
      <c r="G254" s="202" t="s">
        <v>453</v>
      </c>
      <c r="H254" s="202" t="s">
        <v>252</v>
      </c>
      <c r="I254" s="284" t="s">
        <v>454</v>
      </c>
      <c r="J254" s="506"/>
      <c r="K254" s="493"/>
      <c r="L254" s="121">
        <f>+K255</f>
        <v>49540124</v>
      </c>
      <c r="M254" s="130"/>
    </row>
    <row r="255" spans="1:13" ht="48" customHeight="1" thickBot="1">
      <c r="A255" s="277"/>
      <c r="B255" s="230"/>
      <c r="C255" s="230"/>
      <c r="D255" s="230"/>
      <c r="E255" s="230"/>
      <c r="F255" s="278"/>
      <c r="G255" s="230"/>
      <c r="H255" s="230"/>
      <c r="I255" s="287"/>
      <c r="J255" s="499" t="s">
        <v>398</v>
      </c>
      <c r="K255" s="496">
        <v>49540124</v>
      </c>
      <c r="L255" s="140"/>
      <c r="M255" s="130"/>
    </row>
    <row r="256" spans="1:13" ht="110.25" customHeight="1">
      <c r="A256" s="201" t="s">
        <v>357</v>
      </c>
      <c r="B256" s="202" t="s">
        <v>244</v>
      </c>
      <c r="C256" s="202" t="s">
        <v>244</v>
      </c>
      <c r="D256" s="202" t="s">
        <v>244</v>
      </c>
      <c r="E256" s="202" t="s">
        <v>199</v>
      </c>
      <c r="F256" s="270"/>
      <c r="G256" s="143" t="s">
        <v>455</v>
      </c>
      <c r="H256" s="143" t="s">
        <v>252</v>
      </c>
      <c r="I256" s="215" t="s">
        <v>456</v>
      </c>
      <c r="J256" s="509"/>
      <c r="K256" s="510"/>
      <c r="L256" s="197">
        <f>+K257</f>
        <v>297240742</v>
      </c>
      <c r="M256" s="130"/>
    </row>
    <row r="257" spans="1:13" ht="43.5" customHeight="1" thickBot="1">
      <c r="A257" s="271"/>
      <c r="B257" s="272"/>
      <c r="C257" s="272"/>
      <c r="D257" s="272"/>
      <c r="E257" s="272"/>
      <c r="F257" s="273"/>
      <c r="G257" s="272"/>
      <c r="H257" s="272"/>
      <c r="I257" s="288"/>
      <c r="J257" s="511" t="s">
        <v>398</v>
      </c>
      <c r="K257" s="494">
        <v>297240742</v>
      </c>
      <c r="L257" s="227"/>
      <c r="M257" s="130"/>
    </row>
    <row r="258" spans="1:13" ht="113.25" customHeight="1">
      <c r="A258" s="201" t="s">
        <v>357</v>
      </c>
      <c r="B258" s="202" t="s">
        <v>244</v>
      </c>
      <c r="C258" s="202" t="s">
        <v>244</v>
      </c>
      <c r="D258" s="202" t="s">
        <v>244</v>
      </c>
      <c r="E258" s="202" t="s">
        <v>199</v>
      </c>
      <c r="F258" s="275"/>
      <c r="G258" s="202" t="s">
        <v>457</v>
      </c>
      <c r="H258" s="202" t="s">
        <v>252</v>
      </c>
      <c r="I258" s="276" t="s">
        <v>458</v>
      </c>
      <c r="J258" s="506"/>
      <c r="K258" s="512"/>
      <c r="L258" s="121">
        <f>+K259</f>
        <v>49540124</v>
      </c>
      <c r="M258" s="130"/>
    </row>
    <row r="259" spans="1:13" ht="51.75" customHeight="1" thickBot="1">
      <c r="A259" s="277"/>
      <c r="B259" s="230"/>
      <c r="C259" s="230"/>
      <c r="D259" s="230"/>
      <c r="E259" s="230"/>
      <c r="F259" s="278"/>
      <c r="G259" s="230"/>
      <c r="H259" s="230"/>
      <c r="I259" s="287"/>
      <c r="J259" s="499" t="s">
        <v>398</v>
      </c>
      <c r="K259" s="496">
        <v>49540124</v>
      </c>
      <c r="L259" s="140"/>
      <c r="M259" s="130"/>
    </row>
    <row r="260" spans="1:13" ht="138.75" customHeight="1">
      <c r="A260" s="201" t="s">
        <v>357</v>
      </c>
      <c r="B260" s="202" t="s">
        <v>244</v>
      </c>
      <c r="C260" s="202" t="s">
        <v>244</v>
      </c>
      <c r="D260" s="202" t="s">
        <v>244</v>
      </c>
      <c r="E260" s="202" t="s">
        <v>199</v>
      </c>
      <c r="F260" s="275"/>
      <c r="G260" s="202" t="s">
        <v>459</v>
      </c>
      <c r="H260" s="202" t="s">
        <v>252</v>
      </c>
      <c r="I260" s="276" t="s">
        <v>460</v>
      </c>
      <c r="J260" s="506"/>
      <c r="K260" s="512"/>
      <c r="L260" s="121">
        <f>+K261</f>
        <v>396320989</v>
      </c>
      <c r="M260" s="130"/>
    </row>
    <row r="261" spans="1:13" ht="47.25" customHeight="1" thickBot="1">
      <c r="A261" s="277"/>
      <c r="B261" s="230"/>
      <c r="C261" s="230"/>
      <c r="D261" s="230"/>
      <c r="E261" s="230"/>
      <c r="F261" s="278"/>
      <c r="G261" s="230"/>
      <c r="H261" s="230"/>
      <c r="I261" s="287"/>
      <c r="J261" s="499" t="s">
        <v>398</v>
      </c>
      <c r="K261" s="496">
        <v>396320989</v>
      </c>
      <c r="L261" s="140"/>
      <c r="M261" s="130"/>
    </row>
    <row r="262" spans="1:13" ht="138" customHeight="1">
      <c r="A262" s="201" t="s">
        <v>357</v>
      </c>
      <c r="B262" s="202" t="s">
        <v>244</v>
      </c>
      <c r="C262" s="202" t="s">
        <v>244</v>
      </c>
      <c r="D262" s="202" t="s">
        <v>244</v>
      </c>
      <c r="E262" s="202" t="s">
        <v>199</v>
      </c>
      <c r="F262" s="275"/>
      <c r="G262" s="202" t="s">
        <v>461</v>
      </c>
      <c r="H262" s="202" t="s">
        <v>252</v>
      </c>
      <c r="I262" s="276" t="s">
        <v>462</v>
      </c>
      <c r="J262" s="506"/>
      <c r="K262" s="512"/>
      <c r="L262" s="121">
        <f>+K263</f>
        <v>99080247</v>
      </c>
      <c r="M262" s="130"/>
    </row>
    <row r="263" spans="1:13" ht="55.5" customHeight="1" thickBot="1">
      <c r="A263" s="277"/>
      <c r="B263" s="230"/>
      <c r="C263" s="230"/>
      <c r="D263" s="230"/>
      <c r="E263" s="230"/>
      <c r="F263" s="278"/>
      <c r="G263" s="230"/>
      <c r="H263" s="230"/>
      <c r="I263" s="287"/>
      <c r="J263" s="499" t="s">
        <v>398</v>
      </c>
      <c r="K263" s="496">
        <v>99080247</v>
      </c>
      <c r="L263" s="140"/>
      <c r="M263" s="130"/>
    </row>
    <row r="264" spans="1:13" ht="147" customHeight="1">
      <c r="A264" s="201" t="s">
        <v>357</v>
      </c>
      <c r="B264" s="202" t="s">
        <v>244</v>
      </c>
      <c r="C264" s="202" t="s">
        <v>244</v>
      </c>
      <c r="D264" s="202" t="s">
        <v>244</v>
      </c>
      <c r="E264" s="202" t="s">
        <v>199</v>
      </c>
      <c r="F264" s="275"/>
      <c r="G264" s="202" t="s">
        <v>463</v>
      </c>
      <c r="H264" s="202" t="s">
        <v>252</v>
      </c>
      <c r="I264" s="276" t="s">
        <v>464</v>
      </c>
      <c r="J264" s="504"/>
      <c r="K264" s="513"/>
      <c r="L264" s="121">
        <f>+K265</f>
        <v>893631470</v>
      </c>
      <c r="M264" s="130"/>
    </row>
    <row r="265" spans="1:13" ht="60.75" customHeight="1" thickBot="1">
      <c r="A265" s="277"/>
      <c r="B265" s="230"/>
      <c r="C265" s="230"/>
      <c r="D265" s="230"/>
      <c r="E265" s="230"/>
      <c r="F265" s="278"/>
      <c r="G265" s="230"/>
      <c r="H265" s="230"/>
      <c r="I265" s="287"/>
      <c r="J265" s="499" t="s">
        <v>444</v>
      </c>
      <c r="K265" s="496">
        <v>893631470</v>
      </c>
      <c r="L265" s="140"/>
      <c r="M265" s="130"/>
    </row>
    <row r="266" spans="1:13" ht="162.75" customHeight="1">
      <c r="A266" s="201" t="s">
        <v>357</v>
      </c>
      <c r="B266" s="202" t="s">
        <v>244</v>
      </c>
      <c r="C266" s="202" t="s">
        <v>244</v>
      </c>
      <c r="D266" s="202" t="s">
        <v>244</v>
      </c>
      <c r="E266" s="202" t="s">
        <v>199</v>
      </c>
      <c r="F266" s="275"/>
      <c r="G266" s="202" t="s">
        <v>465</v>
      </c>
      <c r="H266" s="202" t="s">
        <v>252</v>
      </c>
      <c r="I266" s="276" t="s">
        <v>466</v>
      </c>
      <c r="J266" s="506"/>
      <c r="K266" s="493"/>
      <c r="L266" s="121">
        <f>+K267</f>
        <v>772745870</v>
      </c>
      <c r="M266" s="130"/>
    </row>
    <row r="267" spans="1:13" ht="57" customHeight="1" thickBot="1">
      <c r="A267" s="277"/>
      <c r="B267" s="230"/>
      <c r="C267" s="230"/>
      <c r="D267" s="230"/>
      <c r="E267" s="230"/>
      <c r="F267" s="278"/>
      <c r="G267" s="230"/>
      <c r="H267" s="230"/>
      <c r="I267" s="287"/>
      <c r="J267" s="499" t="s">
        <v>444</v>
      </c>
      <c r="K267" s="496">
        <v>772745870</v>
      </c>
      <c r="L267" s="140"/>
      <c r="M267" s="130"/>
    </row>
    <row r="268" spans="1:13" ht="134.25" customHeight="1">
      <c r="A268" s="201" t="s">
        <v>357</v>
      </c>
      <c r="B268" s="202" t="s">
        <v>244</v>
      </c>
      <c r="C268" s="202" t="s">
        <v>244</v>
      </c>
      <c r="D268" s="202" t="s">
        <v>244</v>
      </c>
      <c r="E268" s="202" t="s">
        <v>199</v>
      </c>
      <c r="F268" s="275"/>
      <c r="G268" s="202" t="s">
        <v>467</v>
      </c>
      <c r="H268" s="202" t="s">
        <v>252</v>
      </c>
      <c r="I268" s="276" t="s">
        <v>468</v>
      </c>
      <c r="J268" s="506"/>
      <c r="K268" s="514"/>
      <c r="L268" s="121">
        <f>+K269</f>
        <v>4784854</v>
      </c>
      <c r="M268" s="130"/>
    </row>
    <row r="269" spans="1:13" ht="44.25" customHeight="1" thickBot="1">
      <c r="A269" s="277"/>
      <c r="B269" s="230"/>
      <c r="C269" s="230"/>
      <c r="D269" s="230"/>
      <c r="E269" s="230"/>
      <c r="F269" s="278"/>
      <c r="G269" s="230"/>
      <c r="H269" s="230"/>
      <c r="I269" s="287"/>
      <c r="J269" s="499" t="s">
        <v>398</v>
      </c>
      <c r="K269" s="515">
        <v>4784854</v>
      </c>
      <c r="L269" s="140"/>
      <c r="M269" s="130"/>
    </row>
    <row r="270" spans="1:13" ht="133.5" customHeight="1">
      <c r="A270" s="201" t="s">
        <v>357</v>
      </c>
      <c r="B270" s="202" t="s">
        <v>244</v>
      </c>
      <c r="C270" s="202" t="s">
        <v>244</v>
      </c>
      <c r="D270" s="202" t="s">
        <v>244</v>
      </c>
      <c r="E270" s="202" t="s">
        <v>199</v>
      </c>
      <c r="F270" s="275"/>
      <c r="G270" s="202" t="s">
        <v>469</v>
      </c>
      <c r="H270" s="202" t="s">
        <v>252</v>
      </c>
      <c r="I270" s="289" t="s">
        <v>470</v>
      </c>
      <c r="J270" s="506"/>
      <c r="K270" s="516"/>
      <c r="L270" s="121">
        <f>+K271</f>
        <v>642118625</v>
      </c>
      <c r="M270" s="130"/>
    </row>
    <row r="271" spans="1:13" ht="36" customHeight="1" thickBot="1">
      <c r="A271" s="277"/>
      <c r="B271" s="230"/>
      <c r="C271" s="230"/>
      <c r="D271" s="230"/>
      <c r="E271" s="230"/>
      <c r="F271" s="278"/>
      <c r="G271" s="230"/>
      <c r="H271" s="230"/>
      <c r="I271" s="287"/>
      <c r="J271" s="499" t="s">
        <v>398</v>
      </c>
      <c r="K271" s="517">
        <v>642118625</v>
      </c>
      <c r="L271" s="140"/>
      <c r="M271" s="130"/>
    </row>
    <row r="272" spans="1:13" ht="188.25" customHeight="1">
      <c r="A272" s="201" t="s">
        <v>357</v>
      </c>
      <c r="B272" s="202" t="s">
        <v>244</v>
      </c>
      <c r="C272" s="202" t="s">
        <v>244</v>
      </c>
      <c r="D272" s="202" t="s">
        <v>244</v>
      </c>
      <c r="E272" s="202" t="s">
        <v>199</v>
      </c>
      <c r="F272" s="275"/>
      <c r="G272" s="202" t="s">
        <v>471</v>
      </c>
      <c r="H272" s="202" t="s">
        <v>252</v>
      </c>
      <c r="I272" s="290" t="s">
        <v>472</v>
      </c>
      <c r="J272" s="506"/>
      <c r="K272" s="516"/>
      <c r="L272" s="121">
        <f>+K273</f>
        <v>42000000</v>
      </c>
      <c r="M272" s="130"/>
    </row>
    <row r="273" spans="1:13" ht="49.5" customHeight="1" thickBot="1">
      <c r="A273" s="277"/>
      <c r="B273" s="230"/>
      <c r="C273" s="230"/>
      <c r="D273" s="230"/>
      <c r="E273" s="230"/>
      <c r="F273" s="278"/>
      <c r="G273" s="230"/>
      <c r="H273" s="230"/>
      <c r="I273" s="287"/>
      <c r="J273" s="499" t="s">
        <v>398</v>
      </c>
      <c r="K273" s="517">
        <v>42000000</v>
      </c>
      <c r="L273" s="140"/>
      <c r="M273" s="130"/>
    </row>
    <row r="274" spans="1:13" ht="187.5" customHeight="1">
      <c r="A274" s="201" t="s">
        <v>357</v>
      </c>
      <c r="B274" s="202" t="s">
        <v>244</v>
      </c>
      <c r="C274" s="202" t="s">
        <v>244</v>
      </c>
      <c r="D274" s="202" t="s">
        <v>244</v>
      </c>
      <c r="E274" s="202" t="s">
        <v>199</v>
      </c>
      <c r="F274" s="275"/>
      <c r="G274" s="202" t="s">
        <v>473</v>
      </c>
      <c r="H274" s="202" t="s">
        <v>252</v>
      </c>
      <c r="I274" s="276" t="s">
        <v>474</v>
      </c>
      <c r="J274" s="506"/>
      <c r="K274" s="493"/>
      <c r="L274" s="121">
        <f>+K275</f>
        <v>946698925</v>
      </c>
      <c r="M274" s="130"/>
    </row>
    <row r="275" spans="1:13" ht="52.5" customHeight="1" thickBot="1">
      <c r="A275" s="277"/>
      <c r="B275" s="230"/>
      <c r="C275" s="230"/>
      <c r="D275" s="230"/>
      <c r="E275" s="230"/>
      <c r="F275" s="278"/>
      <c r="G275" s="230"/>
      <c r="H275" s="230"/>
      <c r="I275" s="287"/>
      <c r="J275" s="499" t="s">
        <v>398</v>
      </c>
      <c r="K275" s="496">
        <v>946698925</v>
      </c>
      <c r="L275" s="140"/>
      <c r="M275" s="130"/>
    </row>
    <row r="276" spans="1:13" ht="184.8">
      <c r="A276" s="201" t="s">
        <v>357</v>
      </c>
      <c r="B276" s="202" t="s">
        <v>244</v>
      </c>
      <c r="C276" s="202" t="s">
        <v>244</v>
      </c>
      <c r="D276" s="202" t="s">
        <v>244</v>
      </c>
      <c r="E276" s="202" t="s">
        <v>199</v>
      </c>
      <c r="F276" s="275"/>
      <c r="G276" s="202" t="s">
        <v>475</v>
      </c>
      <c r="H276" s="202" t="s">
        <v>252</v>
      </c>
      <c r="I276" s="276" t="s">
        <v>476</v>
      </c>
      <c r="J276" s="506"/>
      <c r="K276" s="493"/>
      <c r="L276" s="121">
        <f>+K277</f>
        <v>276359802</v>
      </c>
      <c r="M276" s="130"/>
    </row>
    <row r="277" spans="1:13" ht="21" thickBot="1">
      <c r="A277" s="277"/>
      <c r="B277" s="230"/>
      <c r="C277" s="230"/>
      <c r="D277" s="230"/>
      <c r="E277" s="230"/>
      <c r="F277" s="278"/>
      <c r="G277" s="230"/>
      <c r="H277" s="230"/>
      <c r="I277" s="287"/>
      <c r="J277" s="499" t="s">
        <v>398</v>
      </c>
      <c r="K277" s="496">
        <v>276359802</v>
      </c>
      <c r="L277" s="140"/>
      <c r="M277" s="157"/>
    </row>
    <row r="278" spans="1:13" ht="177" customHeight="1">
      <c r="A278" s="201" t="s">
        <v>357</v>
      </c>
      <c r="B278" s="202" t="s">
        <v>244</v>
      </c>
      <c r="C278" s="202" t="s">
        <v>244</v>
      </c>
      <c r="D278" s="202" t="s">
        <v>244</v>
      </c>
      <c r="E278" s="202" t="s">
        <v>199</v>
      </c>
      <c r="F278" s="275"/>
      <c r="G278" s="202" t="s">
        <v>477</v>
      </c>
      <c r="H278" s="202" t="s">
        <v>252</v>
      </c>
      <c r="I278" s="281" t="s">
        <v>478</v>
      </c>
      <c r="J278" s="518"/>
      <c r="K278" s="493"/>
      <c r="L278" s="121">
        <f>+K279</f>
        <v>484998382</v>
      </c>
      <c r="M278" s="122"/>
    </row>
    <row r="279" spans="1:13" ht="38.25" customHeight="1" thickBot="1">
      <c r="A279" s="277"/>
      <c r="B279" s="230"/>
      <c r="C279" s="230"/>
      <c r="D279" s="230"/>
      <c r="E279" s="230"/>
      <c r="F279" s="278"/>
      <c r="G279" s="230"/>
      <c r="H279" s="230"/>
      <c r="I279" s="287"/>
      <c r="J279" s="499" t="s">
        <v>479</v>
      </c>
      <c r="K279" s="515">
        <v>484998382</v>
      </c>
      <c r="L279" s="140"/>
      <c r="M279" s="141"/>
    </row>
    <row r="280" spans="1:13" ht="133.5" customHeight="1">
      <c r="A280" s="142" t="s">
        <v>357</v>
      </c>
      <c r="B280" s="143" t="s">
        <v>244</v>
      </c>
      <c r="C280" s="143" t="s">
        <v>244</v>
      </c>
      <c r="D280" s="143" t="s">
        <v>244</v>
      </c>
      <c r="E280" s="143" t="s">
        <v>199</v>
      </c>
      <c r="F280" s="270"/>
      <c r="G280" s="143" t="s">
        <v>480</v>
      </c>
      <c r="H280" s="143" t="s">
        <v>252</v>
      </c>
      <c r="I280" s="215" t="s">
        <v>481</v>
      </c>
      <c r="J280" s="519"/>
      <c r="K280" s="520"/>
      <c r="L280" s="197">
        <f>+K281+K282</f>
        <v>101000000</v>
      </c>
      <c r="M280" s="149"/>
    </row>
    <row r="281" spans="1:13" ht="87" customHeight="1">
      <c r="A281" s="123"/>
      <c r="B281" s="124"/>
      <c r="C281" s="124"/>
      <c r="D281" s="124"/>
      <c r="E281" s="124"/>
      <c r="F281" s="291"/>
      <c r="G281" s="124"/>
      <c r="H281" s="124"/>
      <c r="I281" s="292"/>
      <c r="J281" s="521" t="s">
        <v>482</v>
      </c>
      <c r="K281" s="522">
        <v>100000000</v>
      </c>
      <c r="L281" s="129"/>
      <c r="M281" s="130"/>
    </row>
    <row r="282" spans="1:13" ht="67.5" customHeight="1" thickBot="1">
      <c r="A282" s="150"/>
      <c r="B282" s="151"/>
      <c r="C282" s="151"/>
      <c r="D282" s="151"/>
      <c r="E282" s="151"/>
      <c r="F282" s="293"/>
      <c r="G282" s="151"/>
      <c r="H282" s="151"/>
      <c r="I282" s="294"/>
      <c r="J282" s="523" t="s">
        <v>483</v>
      </c>
      <c r="K282" s="494">
        <v>1000000</v>
      </c>
      <c r="L282" s="227"/>
      <c r="M282" s="157"/>
    </row>
    <row r="283" spans="1:13" ht="54.75" customHeight="1" thickBot="1">
      <c r="A283" s="106" t="s">
        <v>301</v>
      </c>
      <c r="B283" s="107"/>
      <c r="C283" s="107"/>
      <c r="D283" s="107"/>
      <c r="E283" s="107"/>
      <c r="F283" s="108"/>
      <c r="G283" s="109"/>
      <c r="H283" s="109"/>
      <c r="I283" s="266" t="s">
        <v>484</v>
      </c>
      <c r="J283" s="267"/>
      <c r="K283" s="178"/>
      <c r="L283" s="113"/>
      <c r="M283" s="114"/>
    </row>
    <row r="284" spans="1:13" ht="36.75" customHeight="1">
      <c r="A284" s="115" t="s">
        <v>301</v>
      </c>
      <c r="B284" s="116" t="s">
        <v>197</v>
      </c>
      <c r="C284" s="116"/>
      <c r="D284" s="116"/>
      <c r="E284" s="116"/>
      <c r="F284" s="117"/>
      <c r="G284" s="116"/>
      <c r="H284" s="116"/>
      <c r="I284" s="118" t="s">
        <v>198</v>
      </c>
      <c r="J284" s="119"/>
      <c r="K284" s="120"/>
      <c r="L284" s="121"/>
      <c r="M284" s="122"/>
    </row>
    <row r="285" spans="1:13" ht="20.399999999999999">
      <c r="A285" s="123" t="s">
        <v>301</v>
      </c>
      <c r="B285" s="124" t="s">
        <v>197</v>
      </c>
      <c r="C285" s="124" t="s">
        <v>219</v>
      </c>
      <c r="D285" s="124"/>
      <c r="E285" s="124"/>
      <c r="F285" s="125"/>
      <c r="G285" s="124"/>
      <c r="H285" s="124"/>
      <c r="I285" s="295" t="s">
        <v>220</v>
      </c>
      <c r="J285" s="127"/>
      <c r="K285" s="128"/>
      <c r="L285" s="129"/>
      <c r="M285" s="130"/>
    </row>
    <row r="286" spans="1:13" ht="34.5" customHeight="1">
      <c r="A286" s="123" t="s">
        <v>301</v>
      </c>
      <c r="B286" s="124" t="s">
        <v>197</v>
      </c>
      <c r="C286" s="124" t="s">
        <v>219</v>
      </c>
      <c r="D286" s="124" t="s">
        <v>221</v>
      </c>
      <c r="E286" s="124"/>
      <c r="F286" s="125"/>
      <c r="G286" s="124"/>
      <c r="H286" s="124"/>
      <c r="I286" s="132" t="s">
        <v>222</v>
      </c>
      <c r="J286" s="133"/>
      <c r="K286" s="128"/>
      <c r="L286" s="129"/>
      <c r="M286" s="130"/>
    </row>
    <row r="287" spans="1:13" ht="33" customHeight="1" thickBot="1">
      <c r="A287" s="134" t="s">
        <v>301</v>
      </c>
      <c r="B287" s="135" t="s">
        <v>197</v>
      </c>
      <c r="C287" s="135" t="s">
        <v>219</v>
      </c>
      <c r="D287" s="135" t="s">
        <v>221</v>
      </c>
      <c r="E287" s="135" t="s">
        <v>485</v>
      </c>
      <c r="F287" s="136"/>
      <c r="G287" s="135"/>
      <c r="H287" s="135"/>
      <c r="I287" s="137" t="s">
        <v>486</v>
      </c>
      <c r="J287" s="138"/>
      <c r="K287" s="139"/>
      <c r="L287" s="140"/>
      <c r="M287" s="539">
        <v>3000000000</v>
      </c>
    </row>
    <row r="288" spans="1:13" ht="91.5" customHeight="1">
      <c r="A288" s="142" t="s">
        <v>301</v>
      </c>
      <c r="B288" s="143" t="s">
        <v>197</v>
      </c>
      <c r="C288" s="143" t="s">
        <v>219</v>
      </c>
      <c r="D288" s="143" t="s">
        <v>221</v>
      </c>
      <c r="E288" s="143" t="s">
        <v>485</v>
      </c>
      <c r="F288" s="253" t="s">
        <v>487</v>
      </c>
      <c r="G288" s="143" t="s">
        <v>488</v>
      </c>
      <c r="H288" s="143" t="s">
        <v>207</v>
      </c>
      <c r="I288" s="145" t="s">
        <v>489</v>
      </c>
      <c r="J288" s="296"/>
      <c r="K288" s="297"/>
      <c r="L288" s="148">
        <f>+K289</f>
        <v>3000000000</v>
      </c>
      <c r="M288" s="149"/>
    </row>
    <row r="289" spans="1:14" ht="75.75" customHeight="1" thickBot="1">
      <c r="A289" s="150"/>
      <c r="B289" s="151"/>
      <c r="C289" s="151"/>
      <c r="D289" s="151"/>
      <c r="E289" s="151"/>
      <c r="F289" s="152"/>
      <c r="G289" s="151"/>
      <c r="H289" s="151"/>
      <c r="I289" s="298"/>
      <c r="J289" s="524" t="s">
        <v>490</v>
      </c>
      <c r="K289" s="525">
        <v>3000000000</v>
      </c>
      <c r="L289" s="299"/>
      <c r="M289" s="157"/>
    </row>
    <row r="290" spans="1:14" ht="40.5" customHeight="1" thickBot="1">
      <c r="A290" s="210" t="s">
        <v>301</v>
      </c>
      <c r="B290" s="211" t="s">
        <v>197</v>
      </c>
      <c r="C290" s="211" t="s">
        <v>219</v>
      </c>
      <c r="D290" s="211" t="s">
        <v>221</v>
      </c>
      <c r="E290" s="211" t="s">
        <v>491</v>
      </c>
      <c r="F290" s="212"/>
      <c r="G290" s="211"/>
      <c r="H290" s="211"/>
      <c r="I290" s="213" t="s">
        <v>492</v>
      </c>
      <c r="J290" s="177"/>
      <c r="K290" s="178"/>
      <c r="L290" s="113"/>
      <c r="M290" s="540">
        <v>2180000000</v>
      </c>
    </row>
    <row r="291" spans="1:14" ht="94.5" customHeight="1">
      <c r="A291" s="142" t="s">
        <v>301</v>
      </c>
      <c r="B291" s="143" t="s">
        <v>197</v>
      </c>
      <c r="C291" s="143" t="s">
        <v>219</v>
      </c>
      <c r="D291" s="143" t="s">
        <v>221</v>
      </c>
      <c r="E291" s="143" t="s">
        <v>491</v>
      </c>
      <c r="F291" s="253" t="s">
        <v>493</v>
      </c>
      <c r="G291" s="143" t="s">
        <v>494</v>
      </c>
      <c r="H291" s="143" t="s">
        <v>207</v>
      </c>
      <c r="I291" s="300" t="s">
        <v>495</v>
      </c>
      <c r="J291" s="301"/>
      <c r="K291" s="302"/>
      <c r="L291" s="197">
        <f>SUM(K292:K293)</f>
        <v>2180000000</v>
      </c>
      <c r="M291" s="149"/>
    </row>
    <row r="292" spans="1:14" ht="86.25" customHeight="1">
      <c r="A292" s="123"/>
      <c r="B292" s="124"/>
      <c r="C292" s="124"/>
      <c r="D292" s="124"/>
      <c r="E292" s="124"/>
      <c r="F292" s="125"/>
      <c r="G292" s="124"/>
      <c r="H292" s="124"/>
      <c r="I292" s="303"/>
      <c r="J292" s="526" t="s">
        <v>490</v>
      </c>
      <c r="K292" s="482">
        <v>2000000000</v>
      </c>
      <c r="L292" s="129"/>
      <c r="M292" s="130"/>
    </row>
    <row r="293" spans="1:14" ht="52.5" customHeight="1" thickBot="1">
      <c r="A293" s="150"/>
      <c r="B293" s="151"/>
      <c r="C293" s="151"/>
      <c r="D293" s="151"/>
      <c r="E293" s="151"/>
      <c r="F293" s="152"/>
      <c r="G293" s="151"/>
      <c r="H293" s="151"/>
      <c r="I293" s="304"/>
      <c r="J293" s="466" t="s">
        <v>496</v>
      </c>
      <c r="K293" s="484">
        <v>180000000</v>
      </c>
      <c r="L293" s="227"/>
      <c r="M293" s="157"/>
    </row>
    <row r="294" spans="1:14" ht="49.5" customHeight="1" thickBot="1">
      <c r="A294" s="106" t="s">
        <v>247</v>
      </c>
      <c r="B294" s="107"/>
      <c r="C294" s="107"/>
      <c r="D294" s="107"/>
      <c r="E294" s="107"/>
      <c r="F294" s="108"/>
      <c r="G294" s="109"/>
      <c r="H294" s="109"/>
      <c r="I294" s="266" t="s">
        <v>497</v>
      </c>
      <c r="J294" s="267"/>
      <c r="K294" s="178"/>
      <c r="L294" s="113"/>
      <c r="M294" s="114"/>
    </row>
    <row r="295" spans="1:14" ht="30" customHeight="1">
      <c r="A295" s="115" t="s">
        <v>247</v>
      </c>
      <c r="B295" s="116" t="s">
        <v>244</v>
      </c>
      <c r="C295" s="116"/>
      <c r="D295" s="116"/>
      <c r="E295" s="116"/>
      <c r="F295" s="117"/>
      <c r="G295" s="116"/>
      <c r="H295" s="116"/>
      <c r="I295" s="118" t="s">
        <v>245</v>
      </c>
      <c r="J295" s="119"/>
      <c r="K295" s="120"/>
      <c r="L295" s="121"/>
      <c r="M295" s="122"/>
    </row>
    <row r="296" spans="1:14" ht="43.5" customHeight="1">
      <c r="A296" s="123" t="s">
        <v>247</v>
      </c>
      <c r="B296" s="124" t="s">
        <v>244</v>
      </c>
      <c r="C296" s="124" t="s">
        <v>244</v>
      </c>
      <c r="D296" s="124"/>
      <c r="E296" s="124"/>
      <c r="F296" s="125"/>
      <c r="G296" s="124"/>
      <c r="H296" s="124"/>
      <c r="I296" s="126" t="s">
        <v>273</v>
      </c>
      <c r="J296" s="127"/>
      <c r="K296" s="128"/>
      <c r="L296" s="129"/>
      <c r="M296" s="130"/>
    </row>
    <row r="297" spans="1:14" ht="43.5" customHeight="1">
      <c r="A297" s="123" t="s">
        <v>247</v>
      </c>
      <c r="B297" s="124" t="s">
        <v>244</v>
      </c>
      <c r="C297" s="124" t="s">
        <v>244</v>
      </c>
      <c r="D297" s="124" t="s">
        <v>195</v>
      </c>
      <c r="E297" s="124"/>
      <c r="F297" s="125"/>
      <c r="G297" s="124"/>
      <c r="H297" s="124"/>
      <c r="I297" s="132" t="s">
        <v>498</v>
      </c>
      <c r="J297" s="133"/>
      <c r="K297" s="128"/>
      <c r="L297" s="129"/>
      <c r="M297" s="130"/>
    </row>
    <row r="298" spans="1:14" ht="43.5" customHeight="1" thickBot="1">
      <c r="A298" s="134" t="s">
        <v>247</v>
      </c>
      <c r="B298" s="135" t="s">
        <v>244</v>
      </c>
      <c r="C298" s="135" t="s">
        <v>244</v>
      </c>
      <c r="D298" s="135" t="s">
        <v>195</v>
      </c>
      <c r="E298" s="135" t="s">
        <v>316</v>
      </c>
      <c r="F298" s="136"/>
      <c r="G298" s="135"/>
      <c r="H298" s="135"/>
      <c r="I298" s="137" t="s">
        <v>499</v>
      </c>
      <c r="J298" s="138"/>
      <c r="K298" s="139"/>
      <c r="L298" s="140"/>
      <c r="M298" s="539">
        <f>SUM(L299:L310)</f>
        <v>610625250</v>
      </c>
      <c r="N298" s="234">
        <f>M298+M316+'[1]POAI 2020'!$N$55+'[1]POAI 2020'!$N$56+'[1]POAI 2020'!$N$58+'[1]POAI 2020'!$N$59+'[1]POAI 2020'!$N$60+'[1]POAI 2020'!$N$61</f>
        <v>12392685425</v>
      </c>
    </row>
    <row r="299" spans="1:14" ht="89.25" customHeight="1">
      <c r="A299" s="142" t="s">
        <v>247</v>
      </c>
      <c r="B299" s="143" t="s">
        <v>244</v>
      </c>
      <c r="C299" s="143" t="s">
        <v>244</v>
      </c>
      <c r="D299" s="143" t="s">
        <v>195</v>
      </c>
      <c r="E299" s="143" t="s">
        <v>316</v>
      </c>
      <c r="F299" s="253">
        <v>2018005810174</v>
      </c>
      <c r="G299" s="143" t="s">
        <v>500</v>
      </c>
      <c r="H299" s="143" t="s">
        <v>252</v>
      </c>
      <c r="I299" s="145" t="s">
        <v>501</v>
      </c>
      <c r="J299" s="305"/>
      <c r="K299" s="306"/>
      <c r="L299" s="148">
        <f>SUM(K300:K301)</f>
        <v>243750000</v>
      </c>
      <c r="M299" s="149"/>
    </row>
    <row r="300" spans="1:14" ht="39.75" customHeight="1">
      <c r="A300" s="123"/>
      <c r="B300" s="124"/>
      <c r="C300" s="124"/>
      <c r="D300" s="124"/>
      <c r="E300" s="124"/>
      <c r="F300" s="125"/>
      <c r="G300" s="124"/>
      <c r="H300" s="124"/>
      <c r="I300" s="162"/>
      <c r="J300" s="440" t="s">
        <v>343</v>
      </c>
      <c r="K300" s="452">
        <v>240000000</v>
      </c>
      <c r="L300" s="165"/>
      <c r="M300" s="130"/>
    </row>
    <row r="301" spans="1:14" ht="50.25" customHeight="1" thickBot="1">
      <c r="A301" s="134"/>
      <c r="B301" s="135"/>
      <c r="C301" s="135"/>
      <c r="D301" s="135"/>
      <c r="E301" s="135"/>
      <c r="F301" s="136"/>
      <c r="G301" s="135"/>
      <c r="H301" s="135"/>
      <c r="I301" s="198"/>
      <c r="J301" s="450" t="s">
        <v>218</v>
      </c>
      <c r="K301" s="461">
        <v>3750000</v>
      </c>
      <c r="L301" s="200"/>
      <c r="M301" s="130"/>
    </row>
    <row r="302" spans="1:14" ht="153.75" customHeight="1">
      <c r="A302" s="201" t="s">
        <v>247</v>
      </c>
      <c r="B302" s="202" t="s">
        <v>244</v>
      </c>
      <c r="C302" s="202" t="s">
        <v>244</v>
      </c>
      <c r="D302" s="202" t="s">
        <v>195</v>
      </c>
      <c r="E302" s="202" t="s">
        <v>316</v>
      </c>
      <c r="F302" s="307">
        <v>2019005810152</v>
      </c>
      <c r="G302" s="202" t="s">
        <v>502</v>
      </c>
      <c r="H302" s="202" t="s">
        <v>252</v>
      </c>
      <c r="I302" s="206" t="s">
        <v>503</v>
      </c>
      <c r="J302" s="286"/>
      <c r="K302" s="308"/>
      <c r="L302" s="209">
        <f>SUM(K303:K307)</f>
        <v>150000000</v>
      </c>
      <c r="M302" s="130"/>
    </row>
    <row r="303" spans="1:14" ht="39.75" customHeight="1">
      <c r="A303" s="191"/>
      <c r="B303" s="192"/>
      <c r="C303" s="192"/>
      <c r="D303" s="192"/>
      <c r="E303" s="192"/>
      <c r="F303" s="309"/>
      <c r="G303" s="192"/>
      <c r="H303" s="192"/>
      <c r="I303" s="310"/>
      <c r="J303" s="163" t="s">
        <v>15</v>
      </c>
      <c r="K303" s="527">
        <v>33868661</v>
      </c>
      <c r="L303" s="183"/>
      <c r="M303" s="130"/>
    </row>
    <row r="304" spans="1:14" ht="45.75" customHeight="1">
      <c r="A304" s="191"/>
      <c r="B304" s="192"/>
      <c r="C304" s="192"/>
      <c r="D304" s="192"/>
      <c r="E304" s="192"/>
      <c r="F304" s="309"/>
      <c r="G304" s="192"/>
      <c r="H304" s="192"/>
      <c r="I304" s="310"/>
      <c r="J304" s="528" t="s">
        <v>348</v>
      </c>
      <c r="K304" s="527">
        <v>83185000</v>
      </c>
      <c r="L304" s="183"/>
      <c r="M304" s="130"/>
    </row>
    <row r="305" spans="1:13" ht="66" customHeight="1">
      <c r="A305" s="191"/>
      <c r="B305" s="192"/>
      <c r="C305" s="192"/>
      <c r="D305" s="192"/>
      <c r="E305" s="192"/>
      <c r="F305" s="309"/>
      <c r="G305" s="192"/>
      <c r="H305" s="192"/>
      <c r="I305" s="310"/>
      <c r="J305" s="163" t="s">
        <v>326</v>
      </c>
      <c r="K305" s="527">
        <v>1614000</v>
      </c>
      <c r="L305" s="183"/>
      <c r="M305" s="130"/>
    </row>
    <row r="306" spans="1:13" ht="59.25" customHeight="1">
      <c r="A306" s="191"/>
      <c r="B306" s="192"/>
      <c r="C306" s="192"/>
      <c r="D306" s="192"/>
      <c r="E306" s="192"/>
      <c r="F306" s="309"/>
      <c r="G306" s="192"/>
      <c r="H306" s="192"/>
      <c r="I306" s="310"/>
      <c r="J306" s="529" t="s">
        <v>327</v>
      </c>
      <c r="K306" s="527">
        <v>2421000</v>
      </c>
      <c r="L306" s="183"/>
      <c r="M306" s="130"/>
    </row>
    <row r="307" spans="1:13" ht="42" customHeight="1" thickBot="1">
      <c r="A307" s="258"/>
      <c r="B307" s="259"/>
      <c r="C307" s="259"/>
      <c r="D307" s="259"/>
      <c r="E307" s="259"/>
      <c r="F307" s="311"/>
      <c r="G307" s="259"/>
      <c r="H307" s="259"/>
      <c r="I307" s="312"/>
      <c r="J307" s="199" t="s">
        <v>349</v>
      </c>
      <c r="K307" s="530">
        <v>28911339</v>
      </c>
      <c r="L307" s="313"/>
      <c r="M307" s="130"/>
    </row>
    <row r="308" spans="1:13" ht="79.2">
      <c r="A308" s="201" t="s">
        <v>247</v>
      </c>
      <c r="B308" s="202" t="s">
        <v>244</v>
      </c>
      <c r="C308" s="202" t="s">
        <v>244</v>
      </c>
      <c r="D308" s="202" t="s">
        <v>195</v>
      </c>
      <c r="E308" s="202" t="s">
        <v>316</v>
      </c>
      <c r="F308" s="307">
        <v>2018005810065</v>
      </c>
      <c r="G308" s="202" t="s">
        <v>504</v>
      </c>
      <c r="H308" s="202" t="s">
        <v>252</v>
      </c>
      <c r="I308" s="206" t="s">
        <v>505</v>
      </c>
      <c r="J308" s="286"/>
      <c r="K308" s="308"/>
      <c r="L308" s="209">
        <f>SUM(K309:K309)</f>
        <v>100000000</v>
      </c>
      <c r="M308" s="130"/>
    </row>
    <row r="309" spans="1:13" ht="15" thickBot="1">
      <c r="A309" s="134"/>
      <c r="B309" s="135"/>
      <c r="C309" s="135"/>
      <c r="D309" s="135"/>
      <c r="E309" s="135"/>
      <c r="F309" s="314"/>
      <c r="G309" s="135"/>
      <c r="H309" s="135"/>
      <c r="I309" s="315"/>
      <c r="J309" s="199" t="s">
        <v>349</v>
      </c>
      <c r="K309" s="534">
        <v>100000000</v>
      </c>
      <c r="L309" s="317"/>
      <c r="M309" s="130"/>
    </row>
    <row r="310" spans="1:13" ht="114" customHeight="1">
      <c r="A310" s="201" t="s">
        <v>247</v>
      </c>
      <c r="B310" s="202" t="s">
        <v>244</v>
      </c>
      <c r="C310" s="202" t="s">
        <v>244</v>
      </c>
      <c r="D310" s="202" t="s">
        <v>195</v>
      </c>
      <c r="E310" s="202" t="s">
        <v>316</v>
      </c>
      <c r="F310" s="307">
        <v>2018005810183</v>
      </c>
      <c r="G310" s="202" t="s">
        <v>506</v>
      </c>
      <c r="H310" s="202" t="s">
        <v>252</v>
      </c>
      <c r="I310" s="206" t="s">
        <v>507</v>
      </c>
      <c r="J310" s="286"/>
      <c r="K310" s="308"/>
      <c r="L310" s="209">
        <f>SUM(K311:K315)</f>
        <v>116875250</v>
      </c>
      <c r="M310" s="130"/>
    </row>
    <row r="311" spans="1:13" ht="41.25" customHeight="1">
      <c r="A311" s="191"/>
      <c r="B311" s="192"/>
      <c r="C311" s="192"/>
      <c r="D311" s="192"/>
      <c r="E311" s="192"/>
      <c r="F311" s="309"/>
      <c r="G311" s="192"/>
      <c r="H311" s="192"/>
      <c r="I311" s="310"/>
      <c r="J311" s="163" t="s">
        <v>349</v>
      </c>
      <c r="K311" s="527">
        <f>50293661+3412500</f>
        <v>53706161</v>
      </c>
      <c r="L311" s="183"/>
      <c r="M311" s="130"/>
    </row>
    <row r="312" spans="1:13" ht="32.25" customHeight="1">
      <c r="A312" s="191"/>
      <c r="B312" s="192"/>
      <c r="C312" s="192"/>
      <c r="D312" s="192"/>
      <c r="E312" s="192"/>
      <c r="F312" s="309"/>
      <c r="G312" s="192"/>
      <c r="H312" s="192"/>
      <c r="I312" s="310"/>
      <c r="J312" s="163" t="s">
        <v>13</v>
      </c>
      <c r="K312" s="527">
        <v>288450</v>
      </c>
      <c r="L312" s="183"/>
      <c r="M312" s="130"/>
    </row>
    <row r="313" spans="1:13" ht="55.5" customHeight="1">
      <c r="A313" s="191"/>
      <c r="B313" s="192"/>
      <c r="C313" s="192"/>
      <c r="D313" s="192"/>
      <c r="E313" s="192"/>
      <c r="F313" s="309"/>
      <c r="G313" s="192"/>
      <c r="H313" s="192"/>
      <c r="I313" s="310"/>
      <c r="J313" s="532" t="s">
        <v>352</v>
      </c>
      <c r="K313" s="527">
        <v>28845000</v>
      </c>
      <c r="L313" s="183"/>
      <c r="M313" s="130"/>
    </row>
    <row r="314" spans="1:13" ht="26.25" customHeight="1">
      <c r="A314" s="191"/>
      <c r="B314" s="192"/>
      <c r="C314" s="192"/>
      <c r="D314" s="192"/>
      <c r="E314" s="192"/>
      <c r="F314" s="309"/>
      <c r="G314" s="192"/>
      <c r="H314" s="192"/>
      <c r="I314" s="310"/>
      <c r="J314" s="163" t="s">
        <v>12</v>
      </c>
      <c r="K314" s="527">
        <v>4924500</v>
      </c>
      <c r="L314" s="183"/>
      <c r="M314" s="130"/>
    </row>
    <row r="315" spans="1:13" ht="24.75" customHeight="1" thickBot="1">
      <c r="A315" s="243"/>
      <c r="B315" s="244"/>
      <c r="C315" s="244"/>
      <c r="D315" s="244"/>
      <c r="E315" s="244"/>
      <c r="F315" s="318"/>
      <c r="G315" s="244"/>
      <c r="H315" s="244"/>
      <c r="I315" s="319"/>
      <c r="J315" s="154" t="s">
        <v>4</v>
      </c>
      <c r="K315" s="359">
        <v>29111139</v>
      </c>
      <c r="L315" s="320"/>
      <c r="M315" s="157"/>
    </row>
    <row r="316" spans="1:13" ht="66.75" customHeight="1" thickBot="1">
      <c r="A316" s="210" t="s">
        <v>247</v>
      </c>
      <c r="B316" s="211" t="s">
        <v>244</v>
      </c>
      <c r="C316" s="211" t="s">
        <v>244</v>
      </c>
      <c r="D316" s="211" t="s">
        <v>195</v>
      </c>
      <c r="E316" s="211" t="s">
        <v>354</v>
      </c>
      <c r="F316" s="212"/>
      <c r="G316" s="211"/>
      <c r="H316" s="211"/>
      <c r="I316" s="213" t="s">
        <v>508</v>
      </c>
      <c r="J316" s="177"/>
      <c r="K316" s="178"/>
      <c r="L316" s="113"/>
      <c r="M316" s="540">
        <f>SUM(L317:L324)</f>
        <v>836208000</v>
      </c>
    </row>
    <row r="317" spans="1:13" ht="140.25" customHeight="1">
      <c r="A317" s="142" t="s">
        <v>247</v>
      </c>
      <c r="B317" s="143" t="s">
        <v>244</v>
      </c>
      <c r="C317" s="143" t="s">
        <v>244</v>
      </c>
      <c r="D317" s="143" t="s">
        <v>195</v>
      </c>
      <c r="E317" s="143" t="s">
        <v>354</v>
      </c>
      <c r="F317" s="321">
        <v>2019005810172</v>
      </c>
      <c r="G317" s="143" t="s">
        <v>509</v>
      </c>
      <c r="H317" s="143" t="s">
        <v>252</v>
      </c>
      <c r="I317" s="180" t="s">
        <v>510</v>
      </c>
      <c r="J317" s="322"/>
      <c r="K317" s="323"/>
      <c r="L317" s="183">
        <f>+K318</f>
        <v>250000000</v>
      </c>
      <c r="M317" s="149"/>
    </row>
    <row r="318" spans="1:13" ht="38.25" customHeight="1" thickBot="1">
      <c r="A318" s="134"/>
      <c r="B318" s="135"/>
      <c r="C318" s="135"/>
      <c r="D318" s="135"/>
      <c r="E318" s="135"/>
      <c r="F318" s="314"/>
      <c r="G318" s="135"/>
      <c r="H318" s="135"/>
      <c r="I318" s="315"/>
      <c r="J318" s="199" t="s">
        <v>353</v>
      </c>
      <c r="K318" s="534">
        <v>250000000</v>
      </c>
      <c r="L318" s="317"/>
      <c r="M318" s="130"/>
    </row>
    <row r="319" spans="1:13" ht="133.5" customHeight="1">
      <c r="A319" s="201" t="s">
        <v>247</v>
      </c>
      <c r="B319" s="202" t="s">
        <v>244</v>
      </c>
      <c r="C319" s="202" t="s">
        <v>244</v>
      </c>
      <c r="D319" s="202" t="s">
        <v>195</v>
      </c>
      <c r="E319" s="202" t="s">
        <v>354</v>
      </c>
      <c r="F319" s="307">
        <v>2019005810149</v>
      </c>
      <c r="G319" s="202" t="s">
        <v>511</v>
      </c>
      <c r="H319" s="202" t="s">
        <v>252</v>
      </c>
      <c r="I319" s="206" t="s">
        <v>512</v>
      </c>
      <c r="J319" s="286"/>
      <c r="K319" s="308"/>
      <c r="L319" s="209">
        <f>SUM(K320:K323)</f>
        <v>249973000</v>
      </c>
      <c r="M319" s="130"/>
    </row>
    <row r="320" spans="1:13" ht="41.25" customHeight="1">
      <c r="A320" s="123"/>
      <c r="B320" s="124"/>
      <c r="C320" s="124"/>
      <c r="D320" s="124"/>
      <c r="E320" s="124"/>
      <c r="F320" s="184"/>
      <c r="G320" s="124"/>
      <c r="H320" s="124"/>
      <c r="I320" s="185"/>
      <c r="J320" s="163" t="s">
        <v>15</v>
      </c>
      <c r="K320" s="186">
        <v>5000000</v>
      </c>
      <c r="L320" s="187"/>
      <c r="M320" s="130"/>
    </row>
    <row r="321" spans="1:13" ht="23.25" customHeight="1">
      <c r="A321" s="123"/>
      <c r="B321" s="124"/>
      <c r="C321" s="124"/>
      <c r="D321" s="124"/>
      <c r="E321" s="124"/>
      <c r="F321" s="184"/>
      <c r="G321" s="124"/>
      <c r="H321" s="124"/>
      <c r="I321" s="185"/>
      <c r="J321" s="163" t="s">
        <v>4</v>
      </c>
      <c r="K321" s="186">
        <v>5502861</v>
      </c>
      <c r="L321" s="187"/>
      <c r="M321" s="130"/>
    </row>
    <row r="322" spans="1:13" ht="25.5" customHeight="1">
      <c r="A322" s="123"/>
      <c r="B322" s="124"/>
      <c r="C322" s="124"/>
      <c r="D322" s="124"/>
      <c r="E322" s="124"/>
      <c r="F322" s="184"/>
      <c r="G322" s="124"/>
      <c r="H322" s="124"/>
      <c r="I322" s="185"/>
      <c r="J322" s="163" t="s">
        <v>353</v>
      </c>
      <c r="K322" s="186">
        <v>236048739</v>
      </c>
      <c r="L322" s="187"/>
      <c r="M322" s="130"/>
    </row>
    <row r="323" spans="1:13" ht="38.25" customHeight="1" thickBot="1">
      <c r="A323" s="134"/>
      <c r="B323" s="135"/>
      <c r="C323" s="135"/>
      <c r="D323" s="135"/>
      <c r="E323" s="135"/>
      <c r="F323" s="314"/>
      <c r="G323" s="135"/>
      <c r="H323" s="135"/>
      <c r="I323" s="315"/>
      <c r="J323" s="199" t="s">
        <v>5</v>
      </c>
      <c r="K323" s="534">
        <v>3421400</v>
      </c>
      <c r="L323" s="317"/>
      <c r="M323" s="130"/>
    </row>
    <row r="324" spans="1:13" ht="119.25" customHeight="1">
      <c r="A324" s="201" t="s">
        <v>247</v>
      </c>
      <c r="B324" s="202" t="s">
        <v>244</v>
      </c>
      <c r="C324" s="202" t="s">
        <v>244</v>
      </c>
      <c r="D324" s="202" t="s">
        <v>195</v>
      </c>
      <c r="E324" s="202" t="s">
        <v>354</v>
      </c>
      <c r="F324" s="324">
        <v>2019005810057</v>
      </c>
      <c r="G324" s="202" t="s">
        <v>513</v>
      </c>
      <c r="H324" s="202" t="s">
        <v>252</v>
      </c>
      <c r="I324" s="276" t="s">
        <v>514</v>
      </c>
      <c r="J324" s="325"/>
      <c r="K324" s="326"/>
      <c r="L324" s="327">
        <f>SUM(K325:K327)</f>
        <v>336235000</v>
      </c>
      <c r="M324" s="130"/>
    </row>
    <row r="325" spans="1:13" ht="42.75" customHeight="1">
      <c r="A325" s="191"/>
      <c r="B325" s="192"/>
      <c r="C325" s="192"/>
      <c r="D325" s="192"/>
      <c r="E325" s="192"/>
      <c r="F325" s="328"/>
      <c r="G325" s="192"/>
      <c r="H325" s="192"/>
      <c r="I325" s="329"/>
      <c r="J325" s="163" t="s">
        <v>256</v>
      </c>
      <c r="K325" s="531">
        <v>50000000</v>
      </c>
      <c r="L325" s="218"/>
      <c r="M325" s="130"/>
    </row>
    <row r="326" spans="1:13" ht="54" customHeight="1">
      <c r="A326" s="191"/>
      <c r="B326" s="192"/>
      <c r="C326" s="192"/>
      <c r="D326" s="192"/>
      <c r="E326" s="192"/>
      <c r="F326" s="328"/>
      <c r="G326" s="192"/>
      <c r="H326" s="192"/>
      <c r="I326" s="329"/>
      <c r="J326" s="532" t="s">
        <v>351</v>
      </c>
      <c r="K326" s="531">
        <v>86535000</v>
      </c>
      <c r="L326" s="218"/>
      <c r="M326" s="130"/>
    </row>
    <row r="327" spans="1:13" ht="30" customHeight="1" thickBot="1">
      <c r="A327" s="243"/>
      <c r="B327" s="244"/>
      <c r="C327" s="244"/>
      <c r="D327" s="244"/>
      <c r="E327" s="244"/>
      <c r="F327" s="330"/>
      <c r="G327" s="244"/>
      <c r="H327" s="244"/>
      <c r="I327" s="331"/>
      <c r="J327" s="154" t="s">
        <v>353</v>
      </c>
      <c r="K327" s="533">
        <v>199700000</v>
      </c>
      <c r="L327" s="332"/>
      <c r="M327" s="157"/>
    </row>
    <row r="328" spans="1:13" ht="48.75" customHeight="1" thickBot="1">
      <c r="A328" s="106" t="s">
        <v>320</v>
      </c>
      <c r="B328" s="107"/>
      <c r="C328" s="107"/>
      <c r="D328" s="107"/>
      <c r="E328" s="107"/>
      <c r="F328" s="108"/>
      <c r="G328" s="109"/>
      <c r="H328" s="109"/>
      <c r="I328" s="110" t="s">
        <v>515</v>
      </c>
      <c r="J328" s="177"/>
      <c r="K328" s="178"/>
      <c r="L328" s="113"/>
      <c r="M328" s="114"/>
    </row>
    <row r="329" spans="1:13" ht="33" customHeight="1">
      <c r="A329" s="115" t="s">
        <v>320</v>
      </c>
      <c r="B329" s="116" t="s">
        <v>197</v>
      </c>
      <c r="C329" s="116"/>
      <c r="D329" s="116"/>
      <c r="E329" s="116"/>
      <c r="F329" s="117"/>
      <c r="G329" s="116"/>
      <c r="H329" s="116"/>
      <c r="I329" s="118" t="s">
        <v>198</v>
      </c>
      <c r="J329" s="119"/>
      <c r="K329" s="120"/>
      <c r="L329" s="121"/>
      <c r="M329" s="122"/>
    </row>
    <row r="330" spans="1:13" ht="33" customHeight="1">
      <c r="A330" s="123" t="s">
        <v>320</v>
      </c>
      <c r="B330" s="124" t="s">
        <v>197</v>
      </c>
      <c r="C330" s="124" t="s">
        <v>199</v>
      </c>
      <c r="D330" s="124"/>
      <c r="E330" s="124"/>
      <c r="F330" s="125"/>
      <c r="G330" s="124"/>
      <c r="H330" s="124"/>
      <c r="I330" s="126" t="s">
        <v>200</v>
      </c>
      <c r="J330" s="127"/>
      <c r="K330" s="128"/>
      <c r="L330" s="129"/>
      <c r="M330" s="130"/>
    </row>
    <row r="331" spans="1:13" ht="33" customHeight="1">
      <c r="A331" s="123" t="s">
        <v>320</v>
      </c>
      <c r="B331" s="124" t="s">
        <v>197</v>
      </c>
      <c r="C331" s="124" t="s">
        <v>199</v>
      </c>
      <c r="D331" s="124" t="s">
        <v>201</v>
      </c>
      <c r="E331" s="124"/>
      <c r="F331" s="125"/>
      <c r="G331" s="124"/>
      <c r="H331" s="124"/>
      <c r="I331" s="132" t="s">
        <v>202</v>
      </c>
      <c r="J331" s="133"/>
      <c r="K331" s="128"/>
      <c r="L331" s="129"/>
      <c r="M331" s="130"/>
    </row>
    <row r="332" spans="1:13" ht="33" customHeight="1" thickBot="1">
      <c r="A332" s="134" t="s">
        <v>320</v>
      </c>
      <c r="B332" s="135" t="s">
        <v>197</v>
      </c>
      <c r="C332" s="135" t="s">
        <v>199</v>
      </c>
      <c r="D332" s="135" t="s">
        <v>201</v>
      </c>
      <c r="E332" s="135" t="s">
        <v>268</v>
      </c>
      <c r="F332" s="136"/>
      <c r="G332" s="135"/>
      <c r="H332" s="135"/>
      <c r="I332" s="137" t="s">
        <v>269</v>
      </c>
      <c r="J332" s="138"/>
      <c r="K332" s="139"/>
      <c r="L332" s="140"/>
      <c r="M332" s="539">
        <v>171044150</v>
      </c>
    </row>
    <row r="333" spans="1:13" ht="108.75" customHeight="1">
      <c r="A333" s="142" t="s">
        <v>320</v>
      </c>
      <c r="B333" s="143" t="s">
        <v>197</v>
      </c>
      <c r="C333" s="143" t="s">
        <v>199</v>
      </c>
      <c r="D333" s="143" t="s">
        <v>201</v>
      </c>
      <c r="E333" s="143" t="s">
        <v>268</v>
      </c>
      <c r="F333" s="253">
        <v>2019005810075</v>
      </c>
      <c r="G333" s="143" t="s">
        <v>516</v>
      </c>
      <c r="H333" s="143" t="s">
        <v>207</v>
      </c>
      <c r="I333" s="145" t="s">
        <v>517</v>
      </c>
      <c r="J333" s="305"/>
      <c r="K333" s="306"/>
      <c r="L333" s="148">
        <f>SUM(K334:K349)</f>
        <v>171044150</v>
      </c>
      <c r="M333" s="149"/>
    </row>
    <row r="334" spans="1:13" ht="44.25" customHeight="1">
      <c r="A334" s="123"/>
      <c r="B334" s="124"/>
      <c r="C334" s="124"/>
      <c r="D334" s="124"/>
      <c r="E334" s="124"/>
      <c r="F334" s="125"/>
      <c r="G334" s="124"/>
      <c r="H334" s="124"/>
      <c r="I334" s="162"/>
      <c r="J334" s="395" t="s">
        <v>209</v>
      </c>
      <c r="K334" s="396">
        <v>12750000</v>
      </c>
      <c r="L334" s="165"/>
      <c r="M334" s="130"/>
    </row>
    <row r="335" spans="1:13" ht="49.5" customHeight="1">
      <c r="A335" s="123"/>
      <c r="B335" s="124"/>
      <c r="C335" s="124"/>
      <c r="D335" s="124"/>
      <c r="E335" s="124"/>
      <c r="F335" s="125"/>
      <c r="G335" s="124"/>
      <c r="H335" s="124"/>
      <c r="I335" s="162"/>
      <c r="J335" s="395" t="s">
        <v>241</v>
      </c>
      <c r="K335" s="396">
        <v>3750000</v>
      </c>
      <c r="L335" s="165"/>
      <c r="M335" s="130"/>
    </row>
    <row r="336" spans="1:13" ht="39.75" customHeight="1">
      <c r="A336" s="123"/>
      <c r="B336" s="124"/>
      <c r="C336" s="124"/>
      <c r="D336" s="124"/>
      <c r="E336" s="124"/>
      <c r="F336" s="125"/>
      <c r="G336" s="124"/>
      <c r="H336" s="124"/>
      <c r="I336" s="162"/>
      <c r="J336" s="395" t="s">
        <v>242</v>
      </c>
      <c r="K336" s="396">
        <v>1500000</v>
      </c>
      <c r="L336" s="165"/>
      <c r="M336" s="130"/>
    </row>
    <row r="337" spans="1:13" ht="40.5" customHeight="1">
      <c r="A337" s="123"/>
      <c r="B337" s="124"/>
      <c r="C337" s="124"/>
      <c r="D337" s="124"/>
      <c r="E337" s="124"/>
      <c r="F337" s="125"/>
      <c r="G337" s="124"/>
      <c r="H337" s="124"/>
      <c r="I337" s="162"/>
      <c r="J337" s="427" t="s">
        <v>256</v>
      </c>
      <c r="K337" s="396">
        <v>105000000</v>
      </c>
      <c r="L337" s="165"/>
      <c r="M337" s="130"/>
    </row>
    <row r="338" spans="1:13" ht="46.5" customHeight="1">
      <c r="A338" s="123"/>
      <c r="B338" s="124"/>
      <c r="C338" s="124"/>
      <c r="D338" s="124"/>
      <c r="E338" s="124"/>
      <c r="F338" s="125"/>
      <c r="G338" s="124"/>
      <c r="H338" s="124"/>
      <c r="I338" s="162"/>
      <c r="J338" s="427" t="s">
        <v>346</v>
      </c>
      <c r="K338" s="396">
        <v>300000</v>
      </c>
      <c r="L338" s="165"/>
      <c r="M338" s="130"/>
    </row>
    <row r="339" spans="1:13" ht="52.5" customHeight="1">
      <c r="A339" s="123"/>
      <c r="B339" s="124"/>
      <c r="C339" s="124"/>
      <c r="D339" s="124"/>
      <c r="E339" s="124"/>
      <c r="F339" s="125"/>
      <c r="G339" s="124"/>
      <c r="H339" s="124"/>
      <c r="I339" s="162"/>
      <c r="J339" s="395" t="s">
        <v>347</v>
      </c>
      <c r="K339" s="396">
        <v>975000</v>
      </c>
      <c r="L339" s="165"/>
      <c r="M339" s="130"/>
    </row>
    <row r="340" spans="1:13" ht="44.25" customHeight="1">
      <c r="A340" s="123"/>
      <c r="B340" s="124"/>
      <c r="C340" s="124"/>
      <c r="D340" s="124"/>
      <c r="E340" s="124"/>
      <c r="F340" s="125"/>
      <c r="G340" s="124"/>
      <c r="H340" s="124"/>
      <c r="I340" s="162"/>
      <c r="J340" s="426" t="s">
        <v>348</v>
      </c>
      <c r="K340" s="396">
        <v>9750000</v>
      </c>
      <c r="L340" s="165"/>
      <c r="M340" s="130"/>
    </row>
    <row r="341" spans="1:13" ht="54.75" customHeight="1">
      <c r="A341" s="123"/>
      <c r="B341" s="124"/>
      <c r="C341" s="124"/>
      <c r="D341" s="124"/>
      <c r="E341" s="124"/>
      <c r="F341" s="125"/>
      <c r="G341" s="124"/>
      <c r="H341" s="124"/>
      <c r="I341" s="162"/>
      <c r="J341" s="395" t="s">
        <v>326</v>
      </c>
      <c r="K341" s="396">
        <v>5380000</v>
      </c>
      <c r="L341" s="165"/>
      <c r="M341" s="130"/>
    </row>
    <row r="342" spans="1:13" ht="43.5" customHeight="1">
      <c r="A342" s="123"/>
      <c r="B342" s="124"/>
      <c r="C342" s="124"/>
      <c r="D342" s="124"/>
      <c r="E342" s="124"/>
      <c r="F342" s="125"/>
      <c r="G342" s="124"/>
      <c r="H342" s="124"/>
      <c r="I342" s="162"/>
      <c r="J342" s="428" t="s">
        <v>327</v>
      </c>
      <c r="K342" s="396">
        <v>8070000</v>
      </c>
      <c r="L342" s="165"/>
      <c r="M342" s="130"/>
    </row>
    <row r="343" spans="1:13" ht="54" customHeight="1">
      <c r="A343" s="123"/>
      <c r="B343" s="124"/>
      <c r="C343" s="124"/>
      <c r="D343" s="124"/>
      <c r="E343" s="124"/>
      <c r="F343" s="125"/>
      <c r="G343" s="124"/>
      <c r="H343" s="124"/>
      <c r="I343" s="162"/>
      <c r="J343" s="166" t="s">
        <v>350</v>
      </c>
      <c r="K343" s="167">
        <v>2071650</v>
      </c>
      <c r="L343" s="165"/>
      <c r="M343" s="130"/>
    </row>
    <row r="344" spans="1:13" ht="57" customHeight="1">
      <c r="A344" s="123"/>
      <c r="B344" s="124"/>
      <c r="C344" s="124"/>
      <c r="D344" s="124"/>
      <c r="E344" s="124"/>
      <c r="F344" s="125"/>
      <c r="G344" s="124"/>
      <c r="H344" s="124"/>
      <c r="I344" s="162"/>
      <c r="J344" s="425" t="s">
        <v>351</v>
      </c>
      <c r="K344" s="396">
        <v>2250000</v>
      </c>
      <c r="L344" s="165"/>
      <c r="M344" s="130"/>
    </row>
    <row r="345" spans="1:13" ht="57.75" customHeight="1">
      <c r="A345" s="123"/>
      <c r="B345" s="124"/>
      <c r="C345" s="124"/>
      <c r="D345" s="124"/>
      <c r="E345" s="124"/>
      <c r="F345" s="125"/>
      <c r="G345" s="124"/>
      <c r="H345" s="124"/>
      <c r="I345" s="162"/>
      <c r="J345" s="425" t="s">
        <v>352</v>
      </c>
      <c r="K345" s="396">
        <v>750000</v>
      </c>
      <c r="L345" s="165"/>
      <c r="M345" s="130"/>
    </row>
    <row r="346" spans="1:13" ht="36.75" customHeight="1">
      <c r="A346" s="123"/>
      <c r="B346" s="124"/>
      <c r="C346" s="124"/>
      <c r="D346" s="124"/>
      <c r="E346" s="124"/>
      <c r="F346" s="125"/>
      <c r="G346" s="124"/>
      <c r="H346" s="124"/>
      <c r="I346" s="162"/>
      <c r="J346" s="429" t="s">
        <v>12</v>
      </c>
      <c r="K346" s="396">
        <v>17500000</v>
      </c>
      <c r="L346" s="165"/>
      <c r="M346" s="130"/>
    </row>
    <row r="347" spans="1:13" ht="33" customHeight="1">
      <c r="A347" s="150"/>
      <c r="B347" s="151"/>
      <c r="C347" s="151"/>
      <c r="D347" s="151"/>
      <c r="E347" s="151"/>
      <c r="F347" s="152"/>
      <c r="G347" s="151"/>
      <c r="H347" s="151"/>
      <c r="I347" s="153"/>
      <c r="J347" s="430" t="s">
        <v>30</v>
      </c>
      <c r="K347" s="398">
        <v>7500</v>
      </c>
      <c r="L347" s="156"/>
      <c r="M347" s="130"/>
    </row>
    <row r="348" spans="1:13" ht="33" customHeight="1">
      <c r="A348" s="150"/>
      <c r="B348" s="151"/>
      <c r="C348" s="151"/>
      <c r="D348" s="151"/>
      <c r="E348" s="151"/>
      <c r="F348" s="152"/>
      <c r="G348" s="151"/>
      <c r="H348" s="151"/>
      <c r="I348" s="153"/>
      <c r="J348" s="431" t="s">
        <v>518</v>
      </c>
      <c r="K348" s="398">
        <v>90000</v>
      </c>
      <c r="L348" s="156"/>
      <c r="M348" s="130"/>
    </row>
    <row r="349" spans="1:13" ht="28.5" customHeight="1" thickBot="1">
      <c r="A349" s="150"/>
      <c r="B349" s="151"/>
      <c r="C349" s="151"/>
      <c r="D349" s="151"/>
      <c r="E349" s="151"/>
      <c r="F349" s="152"/>
      <c r="G349" s="151"/>
      <c r="H349" s="151"/>
      <c r="I349" s="153"/>
      <c r="J349" s="397" t="s">
        <v>4</v>
      </c>
      <c r="K349" s="398">
        <v>900000</v>
      </c>
      <c r="L349" s="156"/>
      <c r="M349" s="157"/>
    </row>
    <row r="350" spans="1:13" ht="36.75" customHeight="1" thickBot="1">
      <c r="A350" s="106" t="s">
        <v>519</v>
      </c>
      <c r="B350" s="107"/>
      <c r="C350" s="107"/>
      <c r="D350" s="107"/>
      <c r="E350" s="107"/>
      <c r="F350" s="108"/>
      <c r="G350" s="109"/>
      <c r="H350" s="109"/>
      <c r="I350" s="110" t="s">
        <v>520</v>
      </c>
      <c r="J350" s="177"/>
      <c r="K350" s="178"/>
      <c r="L350" s="113"/>
      <c r="M350" s="114"/>
    </row>
    <row r="351" spans="1:13" ht="21" customHeight="1">
      <c r="A351" s="115" t="s">
        <v>519</v>
      </c>
      <c r="B351" s="116" t="s">
        <v>235</v>
      </c>
      <c r="C351" s="116"/>
      <c r="D351" s="116"/>
      <c r="E351" s="116"/>
      <c r="F351" s="117"/>
      <c r="G351" s="116"/>
      <c r="H351" s="116"/>
      <c r="I351" s="118" t="s">
        <v>335</v>
      </c>
      <c r="J351" s="119"/>
      <c r="K351" s="120"/>
      <c r="L351" s="121"/>
      <c r="M351" s="122"/>
    </row>
    <row r="352" spans="1:13" ht="21" customHeight="1">
      <c r="A352" s="123" t="s">
        <v>519</v>
      </c>
      <c r="B352" s="124" t="s">
        <v>235</v>
      </c>
      <c r="C352" s="124" t="s">
        <v>197</v>
      </c>
      <c r="D352" s="124"/>
      <c r="E352" s="124"/>
      <c r="F352" s="125"/>
      <c r="G352" s="124"/>
      <c r="H352" s="124"/>
      <c r="I352" s="126" t="s">
        <v>336</v>
      </c>
      <c r="J352" s="127"/>
      <c r="K352" s="128"/>
      <c r="L352" s="129"/>
      <c r="M352" s="130"/>
    </row>
    <row r="353" spans="1:14" ht="36" customHeight="1">
      <c r="A353" s="123" t="s">
        <v>519</v>
      </c>
      <c r="B353" s="124" t="s">
        <v>235</v>
      </c>
      <c r="C353" s="124" t="s">
        <v>197</v>
      </c>
      <c r="D353" s="124" t="s">
        <v>337</v>
      </c>
      <c r="E353" s="124"/>
      <c r="F353" s="125"/>
      <c r="G353" s="124"/>
      <c r="H353" s="124"/>
      <c r="I353" s="132" t="s">
        <v>338</v>
      </c>
      <c r="J353" s="133"/>
      <c r="K353" s="128"/>
      <c r="L353" s="129"/>
      <c r="M353" s="130"/>
    </row>
    <row r="354" spans="1:14" ht="36" customHeight="1" thickBot="1">
      <c r="A354" s="134" t="s">
        <v>519</v>
      </c>
      <c r="B354" s="135" t="s">
        <v>235</v>
      </c>
      <c r="C354" s="135" t="s">
        <v>197</v>
      </c>
      <c r="D354" s="135" t="s">
        <v>337</v>
      </c>
      <c r="E354" s="135" t="s">
        <v>521</v>
      </c>
      <c r="F354" s="136"/>
      <c r="G354" s="135"/>
      <c r="H354" s="135"/>
      <c r="I354" s="137" t="s">
        <v>522</v>
      </c>
      <c r="J354" s="138"/>
      <c r="K354" s="139"/>
      <c r="L354" s="140"/>
      <c r="M354" s="539">
        <f>SUM(L355:L376)</f>
        <v>704900000</v>
      </c>
      <c r="N354" s="234">
        <f>M354+'[1]POAI 2020'!$N$67</f>
        <v>1054900000</v>
      </c>
    </row>
    <row r="355" spans="1:14" ht="78.75" customHeight="1">
      <c r="A355" s="158" t="s">
        <v>519</v>
      </c>
      <c r="B355" s="143" t="s">
        <v>235</v>
      </c>
      <c r="C355" s="143" t="s">
        <v>197</v>
      </c>
      <c r="D355" s="143" t="s">
        <v>337</v>
      </c>
      <c r="E355" s="143" t="s">
        <v>521</v>
      </c>
      <c r="F355" s="253">
        <v>2019005810126</v>
      </c>
      <c r="G355" s="143" t="s">
        <v>523</v>
      </c>
      <c r="H355" s="143" t="s">
        <v>252</v>
      </c>
      <c r="I355" s="145" t="s">
        <v>524</v>
      </c>
      <c r="J355" s="305"/>
      <c r="K355" s="306"/>
      <c r="L355" s="148">
        <f>SUM(K356:K374)</f>
        <v>544900000</v>
      </c>
      <c r="M355" s="149"/>
    </row>
    <row r="356" spans="1:14" ht="45.75" customHeight="1">
      <c r="A356" s="160"/>
      <c r="B356" s="124"/>
      <c r="C356" s="124"/>
      <c r="D356" s="124"/>
      <c r="E356" s="124"/>
      <c r="F356" s="125"/>
      <c r="G356" s="124"/>
      <c r="H356" s="124"/>
      <c r="I356" s="162"/>
      <c r="J356" s="411" t="s">
        <v>209</v>
      </c>
      <c r="K356" s="412">
        <v>34000000</v>
      </c>
      <c r="L356" s="165"/>
      <c r="M356" s="130"/>
    </row>
    <row r="357" spans="1:14" ht="53.25" customHeight="1">
      <c r="A357" s="160"/>
      <c r="B357" s="124"/>
      <c r="C357" s="124"/>
      <c r="D357" s="124"/>
      <c r="E357" s="124"/>
      <c r="F357" s="125"/>
      <c r="G357" s="124"/>
      <c r="H357" s="124"/>
      <c r="I357" s="162"/>
      <c r="J357" s="411" t="s">
        <v>241</v>
      </c>
      <c r="K357" s="412">
        <v>10000000</v>
      </c>
      <c r="L357" s="165"/>
      <c r="M357" s="130"/>
    </row>
    <row r="358" spans="1:14" ht="45.75" customHeight="1">
      <c r="A358" s="160"/>
      <c r="B358" s="124"/>
      <c r="C358" s="124"/>
      <c r="D358" s="124"/>
      <c r="E358" s="124"/>
      <c r="F358" s="125"/>
      <c r="G358" s="124"/>
      <c r="H358" s="124"/>
      <c r="I358" s="162"/>
      <c r="J358" s="411" t="s">
        <v>242</v>
      </c>
      <c r="K358" s="412">
        <v>4000000</v>
      </c>
      <c r="L358" s="165"/>
      <c r="M358" s="130"/>
    </row>
    <row r="359" spans="1:14" ht="41.25" customHeight="1">
      <c r="A359" s="160"/>
      <c r="B359" s="124"/>
      <c r="C359" s="124"/>
      <c r="D359" s="124"/>
      <c r="E359" s="124"/>
      <c r="F359" s="125"/>
      <c r="G359" s="124"/>
      <c r="H359" s="124"/>
      <c r="I359" s="162"/>
      <c r="J359" s="416" t="s">
        <v>256</v>
      </c>
      <c r="K359" s="412">
        <v>80000000</v>
      </c>
      <c r="L359" s="165"/>
      <c r="M359" s="130"/>
    </row>
    <row r="360" spans="1:14" ht="44.25" customHeight="1">
      <c r="A360" s="160"/>
      <c r="B360" s="124"/>
      <c r="C360" s="124"/>
      <c r="D360" s="124"/>
      <c r="E360" s="124"/>
      <c r="F360" s="125"/>
      <c r="G360" s="124"/>
      <c r="H360" s="124"/>
      <c r="I360" s="162"/>
      <c r="J360" s="416" t="s">
        <v>346</v>
      </c>
      <c r="K360" s="412">
        <v>800000</v>
      </c>
      <c r="L360" s="165"/>
      <c r="M360" s="130"/>
    </row>
    <row r="361" spans="1:14" ht="49.5" customHeight="1">
      <c r="A361" s="160"/>
      <c r="B361" s="124"/>
      <c r="C361" s="124"/>
      <c r="D361" s="124"/>
      <c r="E361" s="124"/>
      <c r="F361" s="125"/>
      <c r="G361" s="124"/>
      <c r="H361" s="124"/>
      <c r="I361" s="162"/>
      <c r="J361" s="411" t="s">
        <v>347</v>
      </c>
      <c r="K361" s="412">
        <v>2600000</v>
      </c>
      <c r="L361" s="165"/>
      <c r="M361" s="130"/>
    </row>
    <row r="362" spans="1:14" ht="38.25" customHeight="1">
      <c r="A362" s="160"/>
      <c r="B362" s="124"/>
      <c r="C362" s="124"/>
      <c r="D362" s="124"/>
      <c r="E362" s="124"/>
      <c r="F362" s="125"/>
      <c r="G362" s="124"/>
      <c r="H362" s="124"/>
      <c r="I362" s="162"/>
      <c r="J362" s="415" t="s">
        <v>348</v>
      </c>
      <c r="K362" s="412">
        <v>26000000</v>
      </c>
      <c r="L362" s="165"/>
      <c r="M362" s="130"/>
    </row>
    <row r="363" spans="1:14" ht="60.75" customHeight="1">
      <c r="A363" s="160"/>
      <c r="B363" s="124"/>
      <c r="C363" s="124"/>
      <c r="D363" s="124"/>
      <c r="E363" s="124"/>
      <c r="F363" s="125"/>
      <c r="G363" s="124"/>
      <c r="H363" s="124"/>
      <c r="I363" s="162"/>
      <c r="J363" s="411" t="s">
        <v>326</v>
      </c>
      <c r="K363" s="412">
        <v>800000</v>
      </c>
      <c r="L363" s="165"/>
      <c r="M363" s="130"/>
    </row>
    <row r="364" spans="1:14" ht="51" customHeight="1">
      <c r="A364" s="160"/>
      <c r="B364" s="124"/>
      <c r="C364" s="124"/>
      <c r="D364" s="124"/>
      <c r="E364" s="124"/>
      <c r="F364" s="125"/>
      <c r="G364" s="124"/>
      <c r="H364" s="124"/>
      <c r="I364" s="162"/>
      <c r="J364" s="419" t="s">
        <v>327</v>
      </c>
      <c r="K364" s="412">
        <v>1200000</v>
      </c>
      <c r="L364" s="165"/>
      <c r="M364" s="130"/>
    </row>
    <row r="365" spans="1:14" ht="33.75" customHeight="1">
      <c r="A365" s="160"/>
      <c r="B365" s="124"/>
      <c r="C365" s="124"/>
      <c r="D365" s="124"/>
      <c r="E365" s="124"/>
      <c r="F365" s="125"/>
      <c r="G365" s="124"/>
      <c r="H365" s="124"/>
      <c r="I365" s="162"/>
      <c r="J365" s="411" t="s">
        <v>349</v>
      </c>
      <c r="K365" s="412">
        <v>13000000</v>
      </c>
      <c r="L365" s="165"/>
      <c r="M365" s="130"/>
    </row>
    <row r="366" spans="1:14" ht="35.25" customHeight="1">
      <c r="A366" s="160"/>
      <c r="B366" s="124"/>
      <c r="C366" s="124"/>
      <c r="D366" s="124"/>
      <c r="E366" s="124"/>
      <c r="F366" s="125"/>
      <c r="G366" s="124"/>
      <c r="H366" s="124"/>
      <c r="I366" s="162"/>
      <c r="J366" s="411" t="s">
        <v>13</v>
      </c>
      <c r="K366" s="412">
        <v>20000</v>
      </c>
      <c r="L366" s="165"/>
      <c r="M366" s="130"/>
    </row>
    <row r="367" spans="1:14" ht="30.6">
      <c r="A367" s="160"/>
      <c r="B367" s="124"/>
      <c r="C367" s="124"/>
      <c r="D367" s="124"/>
      <c r="E367" s="124"/>
      <c r="F367" s="125"/>
      <c r="G367" s="124"/>
      <c r="H367" s="124"/>
      <c r="I367" s="162"/>
      <c r="J367" s="411" t="s">
        <v>350</v>
      </c>
      <c r="K367" s="412">
        <v>140000</v>
      </c>
      <c r="L367" s="165"/>
      <c r="M367" s="130"/>
    </row>
    <row r="368" spans="1:14" ht="47.25" customHeight="1">
      <c r="A368" s="160"/>
      <c r="B368" s="124"/>
      <c r="C368" s="124"/>
      <c r="D368" s="124"/>
      <c r="E368" s="124"/>
      <c r="F368" s="125"/>
      <c r="G368" s="124"/>
      <c r="H368" s="124"/>
      <c r="I368" s="162"/>
      <c r="J368" s="413" t="s">
        <v>351</v>
      </c>
      <c r="K368" s="412">
        <v>6000000</v>
      </c>
      <c r="L368" s="165"/>
      <c r="M368" s="130"/>
    </row>
    <row r="369" spans="1:14" ht="45" customHeight="1">
      <c r="A369" s="160"/>
      <c r="B369" s="124"/>
      <c r="C369" s="124"/>
      <c r="D369" s="124"/>
      <c r="E369" s="124"/>
      <c r="F369" s="125"/>
      <c r="G369" s="124"/>
      <c r="H369" s="124"/>
      <c r="I369" s="162"/>
      <c r="J369" s="413" t="s">
        <v>352</v>
      </c>
      <c r="K369" s="412">
        <v>2000000</v>
      </c>
      <c r="L369" s="165"/>
      <c r="M369" s="130"/>
    </row>
    <row r="370" spans="1:14" ht="27.75" customHeight="1">
      <c r="A370" s="160"/>
      <c r="B370" s="124"/>
      <c r="C370" s="124"/>
      <c r="D370" s="124"/>
      <c r="E370" s="124"/>
      <c r="F370" s="125"/>
      <c r="G370" s="124"/>
      <c r="H370" s="124"/>
      <c r="I370" s="162"/>
      <c r="J370" s="411" t="s">
        <v>12</v>
      </c>
      <c r="K370" s="412">
        <v>700000</v>
      </c>
      <c r="L370" s="165"/>
      <c r="M370" s="130"/>
    </row>
    <row r="371" spans="1:14" ht="27.75" customHeight="1">
      <c r="A371" s="160"/>
      <c r="B371" s="124"/>
      <c r="C371" s="124"/>
      <c r="D371" s="124"/>
      <c r="E371" s="124"/>
      <c r="F371" s="125"/>
      <c r="G371" s="124"/>
      <c r="H371" s="124"/>
      <c r="I371" s="162"/>
      <c r="J371" s="411" t="s">
        <v>4</v>
      </c>
      <c r="K371" s="412">
        <v>2400000</v>
      </c>
      <c r="L371" s="165"/>
      <c r="M371" s="130"/>
    </row>
    <row r="372" spans="1:14" ht="27.75" customHeight="1">
      <c r="A372" s="160"/>
      <c r="B372" s="124"/>
      <c r="C372" s="124"/>
      <c r="D372" s="124"/>
      <c r="E372" s="124"/>
      <c r="F372" s="125"/>
      <c r="G372" s="124"/>
      <c r="H372" s="124"/>
      <c r="I372" s="162"/>
      <c r="J372" s="411" t="s">
        <v>353</v>
      </c>
      <c r="K372" s="412">
        <v>360000000</v>
      </c>
      <c r="L372" s="165"/>
      <c r="M372" s="130"/>
    </row>
    <row r="373" spans="1:14" ht="31.5" customHeight="1">
      <c r="A373" s="160"/>
      <c r="B373" s="124"/>
      <c r="C373" s="124"/>
      <c r="D373" s="124"/>
      <c r="E373" s="124"/>
      <c r="F373" s="125"/>
      <c r="G373" s="124"/>
      <c r="H373" s="124"/>
      <c r="I373" s="162"/>
      <c r="J373" s="411" t="s">
        <v>5</v>
      </c>
      <c r="K373" s="412">
        <v>240000</v>
      </c>
      <c r="L373" s="165"/>
      <c r="M373" s="130"/>
    </row>
    <row r="374" spans="1:14" ht="69" customHeight="1" thickBot="1">
      <c r="A374" s="251"/>
      <c r="B374" s="135"/>
      <c r="C374" s="135"/>
      <c r="D374" s="135"/>
      <c r="E374" s="135"/>
      <c r="F374" s="136"/>
      <c r="G374" s="135"/>
      <c r="H374" s="135"/>
      <c r="I374" s="198"/>
      <c r="J374" s="472" t="s">
        <v>60</v>
      </c>
      <c r="K374" s="473">
        <v>1000000</v>
      </c>
      <c r="L374" s="200"/>
      <c r="M374" s="130"/>
    </row>
    <row r="375" spans="1:14" ht="127.5" customHeight="1">
      <c r="A375" s="233" t="s">
        <v>519</v>
      </c>
      <c r="B375" s="202" t="s">
        <v>235</v>
      </c>
      <c r="C375" s="202" t="s">
        <v>197</v>
      </c>
      <c r="D375" s="202" t="s">
        <v>337</v>
      </c>
      <c r="E375" s="202" t="s">
        <v>521</v>
      </c>
      <c r="F375" s="254" t="s">
        <v>525</v>
      </c>
      <c r="G375" s="202" t="s">
        <v>526</v>
      </c>
      <c r="H375" s="202" t="s">
        <v>252</v>
      </c>
      <c r="I375" s="235" t="s">
        <v>527</v>
      </c>
      <c r="J375" s="333"/>
      <c r="K375" s="334"/>
      <c r="L375" s="238">
        <f>SUM(K376:K377)</f>
        <v>160000000</v>
      </c>
      <c r="M375" s="130"/>
    </row>
    <row r="376" spans="1:14" ht="51" customHeight="1">
      <c r="A376" s="160"/>
      <c r="B376" s="124"/>
      <c r="C376" s="124"/>
      <c r="D376" s="124"/>
      <c r="E376" s="124"/>
      <c r="F376" s="125"/>
      <c r="G376" s="124"/>
      <c r="H376" s="124"/>
      <c r="I376" s="162"/>
      <c r="J376" s="447" t="s">
        <v>278</v>
      </c>
      <c r="K376" s="470">
        <v>10000000</v>
      </c>
      <c r="L376" s="165"/>
      <c r="M376" s="130"/>
    </row>
    <row r="377" spans="1:14" ht="51" customHeight="1" thickBot="1">
      <c r="A377" s="168"/>
      <c r="B377" s="151"/>
      <c r="C377" s="151"/>
      <c r="D377" s="151"/>
      <c r="E377" s="151"/>
      <c r="F377" s="152"/>
      <c r="G377" s="151"/>
      <c r="H377" s="151"/>
      <c r="I377" s="153"/>
      <c r="J377" s="417" t="s">
        <v>256</v>
      </c>
      <c r="K377" s="418">
        <v>150000000</v>
      </c>
      <c r="L377" s="156"/>
      <c r="M377" s="157"/>
      <c r="N377" s="90" t="s">
        <v>528</v>
      </c>
    </row>
    <row r="378" spans="1:14" ht="50.25" customHeight="1" thickBot="1">
      <c r="A378" s="106" t="s">
        <v>337</v>
      </c>
      <c r="B378" s="107"/>
      <c r="C378" s="107"/>
      <c r="D378" s="107"/>
      <c r="E378" s="107"/>
      <c r="F378" s="108"/>
      <c r="G378" s="109"/>
      <c r="H378" s="109"/>
      <c r="I378" s="110" t="s">
        <v>529</v>
      </c>
      <c r="J378" s="177"/>
      <c r="K378" s="178"/>
      <c r="L378" s="113"/>
      <c r="M378" s="114"/>
    </row>
    <row r="379" spans="1:14" ht="34.5" customHeight="1">
      <c r="A379" s="115" t="s">
        <v>337</v>
      </c>
      <c r="B379" s="116" t="s">
        <v>244</v>
      </c>
      <c r="C379" s="116"/>
      <c r="D379" s="116"/>
      <c r="E379" s="116"/>
      <c r="F379" s="117"/>
      <c r="G379" s="116"/>
      <c r="H379" s="116"/>
      <c r="I379" s="118" t="s">
        <v>245</v>
      </c>
      <c r="J379" s="119"/>
      <c r="K379" s="120"/>
      <c r="L379" s="121"/>
      <c r="M379" s="122"/>
    </row>
    <row r="380" spans="1:14" ht="34.5" customHeight="1">
      <c r="A380" s="123" t="s">
        <v>337</v>
      </c>
      <c r="B380" s="124" t="s">
        <v>244</v>
      </c>
      <c r="C380" s="124" t="s">
        <v>195</v>
      </c>
      <c r="D380" s="124"/>
      <c r="E380" s="124"/>
      <c r="F380" s="125"/>
      <c r="G380" s="124"/>
      <c r="H380" s="124"/>
      <c r="I380" s="126" t="s">
        <v>246</v>
      </c>
      <c r="J380" s="127"/>
      <c r="K380" s="128"/>
      <c r="L380" s="129"/>
      <c r="M380" s="130"/>
    </row>
    <row r="381" spans="1:14" ht="34.5" customHeight="1">
      <c r="A381" s="123" t="s">
        <v>337</v>
      </c>
      <c r="B381" s="124" t="s">
        <v>244</v>
      </c>
      <c r="C381" s="124" t="s">
        <v>195</v>
      </c>
      <c r="D381" s="124" t="s">
        <v>199</v>
      </c>
      <c r="E381" s="124"/>
      <c r="F381" s="125"/>
      <c r="G381" s="124"/>
      <c r="H381" s="124"/>
      <c r="I381" s="132" t="s">
        <v>530</v>
      </c>
      <c r="J381" s="133"/>
      <c r="K381" s="128"/>
      <c r="L381" s="129"/>
      <c r="M381" s="130"/>
    </row>
    <row r="382" spans="1:14" ht="34.5" customHeight="1" thickBot="1">
      <c r="A382" s="134" t="s">
        <v>337</v>
      </c>
      <c r="B382" s="135" t="s">
        <v>244</v>
      </c>
      <c r="C382" s="135" t="s">
        <v>195</v>
      </c>
      <c r="D382" s="135" t="s">
        <v>199</v>
      </c>
      <c r="E382" s="135" t="s">
        <v>531</v>
      </c>
      <c r="F382" s="136"/>
      <c r="G382" s="135"/>
      <c r="H382" s="135"/>
      <c r="I382" s="335" t="s">
        <v>532</v>
      </c>
      <c r="J382" s="336"/>
      <c r="K382" s="139"/>
      <c r="L382" s="140"/>
      <c r="M382" s="539">
        <v>100000000</v>
      </c>
    </row>
    <row r="383" spans="1:14" ht="75.75" customHeight="1">
      <c r="A383" s="142" t="s">
        <v>337</v>
      </c>
      <c r="B383" s="143" t="s">
        <v>244</v>
      </c>
      <c r="C383" s="143" t="s">
        <v>195</v>
      </c>
      <c r="D383" s="143" t="s">
        <v>199</v>
      </c>
      <c r="E383" s="143" t="s">
        <v>531</v>
      </c>
      <c r="F383" s="253">
        <v>2019005810085</v>
      </c>
      <c r="G383" s="143" t="s">
        <v>533</v>
      </c>
      <c r="H383" s="143" t="s">
        <v>252</v>
      </c>
      <c r="I383" s="337" t="s">
        <v>534</v>
      </c>
      <c r="J383" s="338"/>
      <c r="K383" s="302"/>
      <c r="L383" s="197">
        <f>+K384</f>
        <v>100000000</v>
      </c>
      <c r="M383" s="149"/>
    </row>
    <row r="384" spans="1:14" ht="34.5" customHeight="1" thickBot="1">
      <c r="A384" s="150"/>
      <c r="B384" s="151"/>
      <c r="C384" s="151"/>
      <c r="D384" s="151"/>
      <c r="E384" s="151"/>
      <c r="F384" s="152"/>
      <c r="G384" s="151"/>
      <c r="H384" s="151"/>
      <c r="I384" s="339"/>
      <c r="J384" s="154" t="s">
        <v>353</v>
      </c>
      <c r="K384" s="446">
        <v>100000000</v>
      </c>
      <c r="L384" s="227"/>
      <c r="M384" s="157"/>
    </row>
    <row r="385" spans="1:14" ht="33" customHeight="1" thickBot="1">
      <c r="A385" s="210" t="s">
        <v>337</v>
      </c>
      <c r="B385" s="211" t="s">
        <v>244</v>
      </c>
      <c r="C385" s="211" t="s">
        <v>195</v>
      </c>
      <c r="D385" s="211" t="s">
        <v>199</v>
      </c>
      <c r="E385" s="211" t="s">
        <v>535</v>
      </c>
      <c r="F385" s="212"/>
      <c r="G385" s="211"/>
      <c r="H385" s="211"/>
      <c r="I385" s="340" t="s">
        <v>536</v>
      </c>
      <c r="J385" s="267"/>
      <c r="K385" s="178"/>
      <c r="L385" s="113"/>
      <c r="M385" s="540">
        <v>100000000</v>
      </c>
    </row>
    <row r="386" spans="1:14" ht="69.75" customHeight="1">
      <c r="A386" s="142" t="s">
        <v>337</v>
      </c>
      <c r="B386" s="143" t="s">
        <v>244</v>
      </c>
      <c r="C386" s="143" t="s">
        <v>195</v>
      </c>
      <c r="D386" s="143" t="s">
        <v>199</v>
      </c>
      <c r="E386" s="143" t="s">
        <v>535</v>
      </c>
      <c r="F386" s="253">
        <v>2019005810084</v>
      </c>
      <c r="G386" s="143" t="s">
        <v>537</v>
      </c>
      <c r="H386" s="143" t="s">
        <v>252</v>
      </c>
      <c r="I386" s="341" t="s">
        <v>538</v>
      </c>
      <c r="J386" s="322"/>
      <c r="K386" s="323"/>
      <c r="L386" s="183">
        <f>+K387</f>
        <v>100000000</v>
      </c>
      <c r="M386" s="149"/>
    </row>
    <row r="387" spans="1:14" ht="27" customHeight="1" thickBot="1">
      <c r="A387" s="150"/>
      <c r="B387" s="151"/>
      <c r="C387" s="151"/>
      <c r="D387" s="151"/>
      <c r="E387" s="151"/>
      <c r="F387" s="152"/>
      <c r="G387" s="151"/>
      <c r="H387" s="151"/>
      <c r="I387" s="342"/>
      <c r="J387" s="154" t="s">
        <v>353</v>
      </c>
      <c r="K387" s="436">
        <v>100000000</v>
      </c>
      <c r="L387" s="190"/>
      <c r="M387" s="157"/>
    </row>
    <row r="388" spans="1:14" ht="33" customHeight="1" thickBot="1">
      <c r="A388" s="210" t="s">
        <v>337</v>
      </c>
      <c r="B388" s="211" t="s">
        <v>244</v>
      </c>
      <c r="C388" s="211" t="s">
        <v>195</v>
      </c>
      <c r="D388" s="211" t="s">
        <v>199</v>
      </c>
      <c r="E388" s="211" t="s">
        <v>328</v>
      </c>
      <c r="F388" s="212"/>
      <c r="G388" s="211"/>
      <c r="H388" s="211"/>
      <c r="I388" s="343" t="s">
        <v>539</v>
      </c>
      <c r="J388" s="344"/>
      <c r="K388" s="345"/>
      <c r="L388" s="346"/>
      <c r="M388" s="540">
        <v>100000000</v>
      </c>
    </row>
    <row r="389" spans="1:14" ht="84" customHeight="1">
      <c r="A389" s="142" t="s">
        <v>337</v>
      </c>
      <c r="B389" s="143" t="s">
        <v>244</v>
      </c>
      <c r="C389" s="143" t="s">
        <v>195</v>
      </c>
      <c r="D389" s="143" t="s">
        <v>199</v>
      </c>
      <c r="E389" s="143" t="s">
        <v>328</v>
      </c>
      <c r="F389" s="253">
        <v>2019005810169</v>
      </c>
      <c r="G389" s="143" t="s">
        <v>540</v>
      </c>
      <c r="H389" s="143" t="s">
        <v>252</v>
      </c>
      <c r="I389" s="341" t="s">
        <v>541</v>
      </c>
      <c r="J389" s="322"/>
      <c r="K389" s="323"/>
      <c r="L389" s="183">
        <f>+K390</f>
        <v>100000000</v>
      </c>
      <c r="M389" s="149"/>
    </row>
    <row r="390" spans="1:14" ht="33" customHeight="1" thickBot="1">
      <c r="A390" s="150"/>
      <c r="B390" s="151"/>
      <c r="C390" s="151"/>
      <c r="D390" s="151"/>
      <c r="E390" s="151"/>
      <c r="F390" s="152"/>
      <c r="G390" s="151"/>
      <c r="H390" s="151"/>
      <c r="I390" s="342"/>
      <c r="J390" s="154" t="s">
        <v>353</v>
      </c>
      <c r="K390" s="436">
        <v>100000000</v>
      </c>
      <c r="L390" s="190"/>
      <c r="M390" s="157"/>
    </row>
    <row r="391" spans="1:14" ht="38.25" customHeight="1" thickBot="1">
      <c r="A391" s="210" t="s">
        <v>337</v>
      </c>
      <c r="B391" s="211" t="s">
        <v>244</v>
      </c>
      <c r="C391" s="211" t="s">
        <v>195</v>
      </c>
      <c r="D391" s="211" t="s">
        <v>199</v>
      </c>
      <c r="E391" s="211" t="s">
        <v>519</v>
      </c>
      <c r="F391" s="212"/>
      <c r="G391" s="211"/>
      <c r="H391" s="211"/>
      <c r="I391" s="343" t="s">
        <v>542</v>
      </c>
      <c r="J391" s="344"/>
      <c r="K391" s="345"/>
      <c r="L391" s="346"/>
      <c r="M391" s="540">
        <f>SUM(L392)</f>
        <v>90000000</v>
      </c>
    </row>
    <row r="392" spans="1:14" ht="68.25" customHeight="1">
      <c r="A392" s="142" t="s">
        <v>337</v>
      </c>
      <c r="B392" s="143" t="s">
        <v>244</v>
      </c>
      <c r="C392" s="143" t="s">
        <v>195</v>
      </c>
      <c r="D392" s="143" t="s">
        <v>199</v>
      </c>
      <c r="E392" s="143" t="s">
        <v>519</v>
      </c>
      <c r="F392" s="253">
        <v>2019005810082</v>
      </c>
      <c r="G392" s="143" t="s">
        <v>543</v>
      </c>
      <c r="H392" s="143" t="s">
        <v>252</v>
      </c>
      <c r="I392" s="341" t="s">
        <v>544</v>
      </c>
      <c r="J392" s="322"/>
      <c r="K392" s="323"/>
      <c r="L392" s="183">
        <f>+K393</f>
        <v>90000000</v>
      </c>
      <c r="M392" s="149"/>
    </row>
    <row r="393" spans="1:14" ht="42" customHeight="1" thickBot="1">
      <c r="A393" s="150"/>
      <c r="B393" s="151"/>
      <c r="C393" s="151"/>
      <c r="D393" s="151"/>
      <c r="E393" s="151"/>
      <c r="F393" s="152"/>
      <c r="G393" s="151"/>
      <c r="H393" s="151"/>
      <c r="I393" s="342"/>
      <c r="J393" s="154" t="s">
        <v>353</v>
      </c>
      <c r="K393" s="436">
        <v>90000000</v>
      </c>
      <c r="L393" s="190"/>
      <c r="M393" s="157"/>
      <c r="N393" s="90" t="s">
        <v>545</v>
      </c>
    </row>
    <row r="394" spans="1:14" ht="27" customHeight="1">
      <c r="A394" s="115" t="s">
        <v>337</v>
      </c>
      <c r="B394" s="116" t="s">
        <v>244</v>
      </c>
      <c r="C394" s="116" t="s">
        <v>195</v>
      </c>
      <c r="D394" s="116" t="s">
        <v>219</v>
      </c>
      <c r="E394" s="116"/>
      <c r="F394" s="117"/>
      <c r="G394" s="116"/>
      <c r="H394" s="116"/>
      <c r="I394" s="347" t="s">
        <v>546</v>
      </c>
      <c r="J394" s="207"/>
      <c r="K394" s="208"/>
      <c r="L394" s="209"/>
      <c r="M394" s="122"/>
    </row>
    <row r="395" spans="1:14" ht="36" customHeight="1" thickBot="1">
      <c r="A395" s="134" t="s">
        <v>337</v>
      </c>
      <c r="B395" s="135" t="s">
        <v>244</v>
      </c>
      <c r="C395" s="135" t="s">
        <v>195</v>
      </c>
      <c r="D395" s="135" t="s">
        <v>219</v>
      </c>
      <c r="E395" s="135" t="s">
        <v>337</v>
      </c>
      <c r="F395" s="136"/>
      <c r="G395" s="135"/>
      <c r="H395" s="135"/>
      <c r="I395" s="348" t="s">
        <v>547</v>
      </c>
      <c r="J395" s="349"/>
      <c r="K395" s="316"/>
      <c r="L395" s="317"/>
      <c r="M395" s="539">
        <v>100000000</v>
      </c>
    </row>
    <row r="396" spans="1:14" ht="70.5" customHeight="1">
      <c r="A396" s="142" t="s">
        <v>337</v>
      </c>
      <c r="B396" s="143" t="s">
        <v>244</v>
      </c>
      <c r="C396" s="143" t="s">
        <v>195</v>
      </c>
      <c r="D396" s="143" t="s">
        <v>219</v>
      </c>
      <c r="E396" s="143" t="s">
        <v>337</v>
      </c>
      <c r="F396" s="253">
        <v>2019005810083</v>
      </c>
      <c r="G396" s="143" t="s">
        <v>548</v>
      </c>
      <c r="H396" s="143" t="s">
        <v>252</v>
      </c>
      <c r="I396" s="341" t="s">
        <v>549</v>
      </c>
      <c r="J396" s="322"/>
      <c r="K396" s="323"/>
      <c r="L396" s="183">
        <f>+K397</f>
        <v>100000000</v>
      </c>
      <c r="M396" s="149"/>
    </row>
    <row r="397" spans="1:14" ht="35.25" customHeight="1" thickBot="1">
      <c r="A397" s="150"/>
      <c r="B397" s="151"/>
      <c r="C397" s="151"/>
      <c r="D397" s="151"/>
      <c r="E397" s="151"/>
      <c r="F397" s="152"/>
      <c r="G397" s="151"/>
      <c r="H397" s="151"/>
      <c r="I397" s="342"/>
      <c r="J397" s="154" t="s">
        <v>353</v>
      </c>
      <c r="K397" s="436">
        <v>100000000</v>
      </c>
      <c r="L397" s="190"/>
      <c r="M397" s="157"/>
    </row>
    <row r="398" spans="1:14" ht="35.25" customHeight="1">
      <c r="A398" s="115" t="s">
        <v>337</v>
      </c>
      <c r="B398" s="116" t="s">
        <v>244</v>
      </c>
      <c r="C398" s="116" t="s">
        <v>195</v>
      </c>
      <c r="D398" s="116" t="s">
        <v>316</v>
      </c>
      <c r="E398" s="116"/>
      <c r="F398" s="117"/>
      <c r="G398" s="116"/>
      <c r="H398" s="116"/>
      <c r="I398" s="347" t="s">
        <v>550</v>
      </c>
      <c r="J398" s="207"/>
      <c r="K398" s="208"/>
      <c r="L398" s="209"/>
      <c r="M398" s="122"/>
    </row>
    <row r="399" spans="1:14" ht="35.25" customHeight="1" thickBot="1">
      <c r="A399" s="134" t="s">
        <v>337</v>
      </c>
      <c r="B399" s="135" t="s">
        <v>244</v>
      </c>
      <c r="C399" s="135" t="s">
        <v>195</v>
      </c>
      <c r="D399" s="135" t="s">
        <v>316</v>
      </c>
      <c r="E399" s="135" t="s">
        <v>201</v>
      </c>
      <c r="F399" s="136"/>
      <c r="G399" s="135"/>
      <c r="H399" s="135"/>
      <c r="I399" s="348" t="s">
        <v>551</v>
      </c>
      <c r="J399" s="349"/>
      <c r="K399" s="316"/>
      <c r="L399" s="317"/>
      <c r="M399" s="539">
        <f>+L400</f>
        <v>150000000</v>
      </c>
    </row>
    <row r="400" spans="1:14" ht="85.5" customHeight="1">
      <c r="A400" s="142" t="s">
        <v>337</v>
      </c>
      <c r="B400" s="143" t="s">
        <v>244</v>
      </c>
      <c r="C400" s="143" t="s">
        <v>195</v>
      </c>
      <c r="D400" s="143" t="s">
        <v>316</v>
      </c>
      <c r="E400" s="143" t="s">
        <v>201</v>
      </c>
      <c r="F400" s="253">
        <v>2019005810092</v>
      </c>
      <c r="G400" s="143" t="s">
        <v>552</v>
      </c>
      <c r="H400" s="143" t="s">
        <v>252</v>
      </c>
      <c r="I400" s="341" t="s">
        <v>553</v>
      </c>
      <c r="J400" s="322"/>
      <c r="K400" s="323"/>
      <c r="L400" s="183">
        <f>+K401</f>
        <v>150000000</v>
      </c>
      <c r="M400" s="149"/>
    </row>
    <row r="401" spans="1:14" ht="32.25" customHeight="1" thickBot="1">
      <c r="A401" s="150"/>
      <c r="B401" s="151"/>
      <c r="C401" s="151"/>
      <c r="D401" s="151"/>
      <c r="E401" s="151"/>
      <c r="F401" s="152"/>
      <c r="G401" s="151"/>
      <c r="H401" s="151"/>
      <c r="I401" s="342"/>
      <c r="J401" s="154" t="s">
        <v>353</v>
      </c>
      <c r="K401" s="436">
        <v>150000000</v>
      </c>
      <c r="L401" s="190"/>
      <c r="M401" s="157"/>
      <c r="N401" s="90" t="s">
        <v>554</v>
      </c>
    </row>
    <row r="402" spans="1:14" ht="42.75" customHeight="1" thickBot="1">
      <c r="A402" s="210" t="s">
        <v>337</v>
      </c>
      <c r="B402" s="211" t="s">
        <v>244</v>
      </c>
      <c r="C402" s="211" t="s">
        <v>195</v>
      </c>
      <c r="D402" s="211" t="s">
        <v>316</v>
      </c>
      <c r="E402" s="211" t="s">
        <v>279</v>
      </c>
      <c r="F402" s="212"/>
      <c r="G402" s="211"/>
      <c r="H402" s="211"/>
      <c r="I402" s="343" t="s">
        <v>555</v>
      </c>
      <c r="J402" s="344"/>
      <c r="K402" s="345"/>
      <c r="L402" s="346"/>
      <c r="M402" s="540">
        <f>+L403</f>
        <v>90000000</v>
      </c>
    </row>
    <row r="403" spans="1:14" ht="127.5" customHeight="1">
      <c r="A403" s="142" t="s">
        <v>337</v>
      </c>
      <c r="B403" s="143" t="s">
        <v>244</v>
      </c>
      <c r="C403" s="143" t="s">
        <v>195</v>
      </c>
      <c r="D403" s="143" t="s">
        <v>316</v>
      </c>
      <c r="E403" s="143" t="s">
        <v>279</v>
      </c>
      <c r="F403" s="253">
        <v>2019005810091</v>
      </c>
      <c r="G403" s="143" t="s">
        <v>556</v>
      </c>
      <c r="H403" s="143" t="s">
        <v>252</v>
      </c>
      <c r="I403" s="341" t="s">
        <v>557</v>
      </c>
      <c r="J403" s="322"/>
      <c r="K403" s="323"/>
      <c r="L403" s="183">
        <f>+K404</f>
        <v>90000000</v>
      </c>
      <c r="M403" s="149"/>
    </row>
    <row r="404" spans="1:14" ht="38.25" customHeight="1" thickBot="1">
      <c r="A404" s="150"/>
      <c r="B404" s="151"/>
      <c r="C404" s="151"/>
      <c r="D404" s="151"/>
      <c r="E404" s="151"/>
      <c r="F404" s="152"/>
      <c r="G404" s="151"/>
      <c r="H404" s="151"/>
      <c r="I404" s="342"/>
      <c r="J404" s="154" t="s">
        <v>353</v>
      </c>
      <c r="K404" s="436">
        <v>90000000</v>
      </c>
      <c r="L404" s="190"/>
      <c r="M404" s="157"/>
      <c r="N404" s="90" t="s">
        <v>545</v>
      </c>
    </row>
    <row r="405" spans="1:14" ht="30.75" customHeight="1" thickBot="1">
      <c r="A405" s="210" t="s">
        <v>337</v>
      </c>
      <c r="B405" s="211" t="s">
        <v>244</v>
      </c>
      <c r="C405" s="211" t="s">
        <v>195</v>
      </c>
      <c r="D405" s="211" t="s">
        <v>316</v>
      </c>
      <c r="E405" s="211" t="s">
        <v>210</v>
      </c>
      <c r="F405" s="212"/>
      <c r="G405" s="211"/>
      <c r="H405" s="211"/>
      <c r="I405" s="343" t="s">
        <v>558</v>
      </c>
      <c r="J405" s="344"/>
      <c r="K405" s="345"/>
      <c r="L405" s="346"/>
      <c r="M405" s="540">
        <f>+L406</f>
        <v>90000000</v>
      </c>
    </row>
    <row r="406" spans="1:14" ht="73.5" customHeight="1">
      <c r="A406" s="142" t="s">
        <v>337</v>
      </c>
      <c r="B406" s="143" t="s">
        <v>244</v>
      </c>
      <c r="C406" s="143" t="s">
        <v>195</v>
      </c>
      <c r="D406" s="143" t="s">
        <v>316</v>
      </c>
      <c r="E406" s="143" t="s">
        <v>210</v>
      </c>
      <c r="F406" s="253">
        <v>2019005810093</v>
      </c>
      <c r="G406" s="143" t="s">
        <v>559</v>
      </c>
      <c r="H406" s="143" t="s">
        <v>252</v>
      </c>
      <c r="I406" s="341" t="s">
        <v>560</v>
      </c>
      <c r="J406" s="181"/>
      <c r="K406" s="182"/>
      <c r="L406" s="183">
        <f>+K407</f>
        <v>90000000</v>
      </c>
      <c r="M406" s="149"/>
    </row>
    <row r="407" spans="1:14" ht="34.5" customHeight="1" thickBot="1">
      <c r="A407" s="150"/>
      <c r="B407" s="151"/>
      <c r="C407" s="151"/>
      <c r="D407" s="151"/>
      <c r="E407" s="151"/>
      <c r="F407" s="152"/>
      <c r="G407" s="151"/>
      <c r="H407" s="151"/>
      <c r="I407" s="342"/>
      <c r="J407" s="154" t="s">
        <v>353</v>
      </c>
      <c r="K407" s="436">
        <v>90000000</v>
      </c>
      <c r="L407" s="190"/>
      <c r="M407" s="157"/>
      <c r="N407" s="90" t="s">
        <v>545</v>
      </c>
    </row>
    <row r="408" spans="1:14" ht="27.75" customHeight="1" thickBot="1">
      <c r="A408" s="210" t="s">
        <v>337</v>
      </c>
      <c r="B408" s="211" t="s">
        <v>244</v>
      </c>
      <c r="C408" s="211" t="s">
        <v>195</v>
      </c>
      <c r="D408" s="211" t="s">
        <v>316</v>
      </c>
      <c r="E408" s="211" t="s">
        <v>221</v>
      </c>
      <c r="F408" s="212"/>
      <c r="G408" s="211"/>
      <c r="H408" s="211"/>
      <c r="I408" s="343" t="s">
        <v>561</v>
      </c>
      <c r="J408" s="344"/>
      <c r="K408" s="345"/>
      <c r="L408" s="346"/>
      <c r="M408" s="540">
        <v>1820000000</v>
      </c>
    </row>
    <row r="409" spans="1:14" ht="62.25" customHeight="1">
      <c r="A409" s="142" t="s">
        <v>337</v>
      </c>
      <c r="B409" s="143" t="s">
        <v>244</v>
      </c>
      <c r="C409" s="143" t="s">
        <v>195</v>
      </c>
      <c r="D409" s="143" t="s">
        <v>316</v>
      </c>
      <c r="E409" s="143" t="s">
        <v>221</v>
      </c>
      <c r="F409" s="253">
        <v>2019005810094</v>
      </c>
      <c r="G409" s="143" t="s">
        <v>562</v>
      </c>
      <c r="H409" s="143" t="s">
        <v>252</v>
      </c>
      <c r="I409" s="341" t="s">
        <v>563</v>
      </c>
      <c r="J409" s="350"/>
      <c r="K409" s="351"/>
      <c r="L409" s="183">
        <f>+K410+K411</f>
        <v>1820000000</v>
      </c>
      <c r="M409" s="149"/>
    </row>
    <row r="410" spans="1:14" ht="43.5" customHeight="1">
      <c r="A410" s="123"/>
      <c r="B410" s="124"/>
      <c r="C410" s="124"/>
      <c r="D410" s="124"/>
      <c r="E410" s="124"/>
      <c r="F410" s="125"/>
      <c r="G410" s="124"/>
      <c r="H410" s="124"/>
      <c r="I410" s="352"/>
      <c r="J410" s="535" t="s">
        <v>564</v>
      </c>
      <c r="K410" s="536">
        <v>1800000000</v>
      </c>
      <c r="L410" s="353"/>
      <c r="M410" s="130"/>
    </row>
    <row r="411" spans="1:14" ht="54.75" customHeight="1" thickBot="1">
      <c r="A411" s="150"/>
      <c r="B411" s="151"/>
      <c r="C411" s="151"/>
      <c r="D411" s="151"/>
      <c r="E411" s="151"/>
      <c r="F411" s="152"/>
      <c r="G411" s="151"/>
      <c r="H411" s="151"/>
      <c r="I411" s="354"/>
      <c r="J411" s="537" t="s">
        <v>56</v>
      </c>
      <c r="K411" s="538">
        <v>20000000</v>
      </c>
      <c r="L411" s="355"/>
      <c r="M411" s="157"/>
    </row>
    <row r="412" spans="1:14" ht="26.25" customHeight="1">
      <c r="A412" s="115" t="s">
        <v>337</v>
      </c>
      <c r="B412" s="116" t="s">
        <v>244</v>
      </c>
      <c r="C412" s="116" t="s">
        <v>195</v>
      </c>
      <c r="D412" s="116" t="s">
        <v>354</v>
      </c>
      <c r="E412" s="116"/>
      <c r="F412" s="117"/>
      <c r="G412" s="116"/>
      <c r="H412" s="116"/>
      <c r="I412" s="347" t="s">
        <v>565</v>
      </c>
      <c r="J412" s="207"/>
      <c r="K412" s="208"/>
      <c r="L412" s="209"/>
      <c r="M412" s="122"/>
    </row>
    <row r="413" spans="1:14" ht="26.25" customHeight="1" thickBot="1">
      <c r="A413" s="134" t="s">
        <v>337</v>
      </c>
      <c r="B413" s="135" t="s">
        <v>244</v>
      </c>
      <c r="C413" s="135" t="s">
        <v>195</v>
      </c>
      <c r="D413" s="135" t="s">
        <v>354</v>
      </c>
      <c r="E413" s="135" t="s">
        <v>228</v>
      </c>
      <c r="F413" s="136"/>
      <c r="G413" s="135"/>
      <c r="H413" s="135"/>
      <c r="I413" s="348" t="s">
        <v>566</v>
      </c>
      <c r="J413" s="349"/>
      <c r="K413" s="316"/>
      <c r="L413" s="317"/>
      <c r="M413" s="539">
        <f>+L414</f>
        <v>90000000</v>
      </c>
    </row>
    <row r="414" spans="1:14" ht="73.5" customHeight="1">
      <c r="A414" s="201" t="s">
        <v>337</v>
      </c>
      <c r="B414" s="202" t="s">
        <v>244</v>
      </c>
      <c r="C414" s="202" t="s">
        <v>195</v>
      </c>
      <c r="D414" s="202" t="s">
        <v>354</v>
      </c>
      <c r="E414" s="202" t="s">
        <v>228</v>
      </c>
      <c r="F414" s="203">
        <v>2019005810099</v>
      </c>
      <c r="G414" s="202" t="s">
        <v>567</v>
      </c>
      <c r="H414" s="202" t="s">
        <v>252</v>
      </c>
      <c r="I414" s="356" t="s">
        <v>568</v>
      </c>
      <c r="J414" s="207"/>
      <c r="K414" s="208"/>
      <c r="L414" s="209">
        <f>+K415</f>
        <v>90000000</v>
      </c>
      <c r="M414" s="122"/>
    </row>
    <row r="415" spans="1:14" ht="27" customHeight="1" thickBot="1">
      <c r="A415" s="134"/>
      <c r="B415" s="135"/>
      <c r="C415" s="135"/>
      <c r="D415" s="135"/>
      <c r="E415" s="135"/>
      <c r="F415" s="136"/>
      <c r="G415" s="135"/>
      <c r="H415" s="135"/>
      <c r="I415" s="348"/>
      <c r="J415" s="199" t="s">
        <v>353</v>
      </c>
      <c r="K415" s="534">
        <v>90000000</v>
      </c>
      <c r="L415" s="317"/>
      <c r="M415" s="141"/>
      <c r="N415" s="90" t="s">
        <v>545</v>
      </c>
    </row>
    <row r="416" spans="1:14" ht="27.75" customHeight="1" thickBot="1">
      <c r="A416" s="210" t="s">
        <v>337</v>
      </c>
      <c r="B416" s="211" t="s">
        <v>244</v>
      </c>
      <c r="C416" s="211" t="s">
        <v>195</v>
      </c>
      <c r="D416" s="211" t="s">
        <v>354</v>
      </c>
      <c r="E416" s="211" t="s">
        <v>569</v>
      </c>
      <c r="F416" s="212"/>
      <c r="G416" s="211"/>
      <c r="H416" s="211"/>
      <c r="I416" s="343" t="s">
        <v>570</v>
      </c>
      <c r="J416" s="344"/>
      <c r="K416" s="345"/>
      <c r="L416" s="346"/>
      <c r="M416" s="540">
        <f>SUM(L417:L421)</f>
        <v>270000000</v>
      </c>
    </row>
    <row r="417" spans="1:15" ht="81.75" customHeight="1">
      <c r="A417" s="142" t="s">
        <v>337</v>
      </c>
      <c r="B417" s="143" t="s">
        <v>244</v>
      </c>
      <c r="C417" s="143" t="s">
        <v>195</v>
      </c>
      <c r="D417" s="143" t="s">
        <v>354</v>
      </c>
      <c r="E417" s="143" t="s">
        <v>569</v>
      </c>
      <c r="F417" s="253">
        <v>2019005810089</v>
      </c>
      <c r="G417" s="143" t="s">
        <v>571</v>
      </c>
      <c r="H417" s="143" t="s">
        <v>252</v>
      </c>
      <c r="I417" s="341" t="s">
        <v>572</v>
      </c>
      <c r="J417" s="181"/>
      <c r="K417" s="182"/>
      <c r="L417" s="183">
        <f>+K418</f>
        <v>90000000</v>
      </c>
      <c r="M417" s="149"/>
    </row>
    <row r="418" spans="1:15" ht="34.5" customHeight="1" thickBot="1">
      <c r="A418" s="134"/>
      <c r="B418" s="135"/>
      <c r="C418" s="135"/>
      <c r="D418" s="135"/>
      <c r="E418" s="135"/>
      <c r="F418" s="136"/>
      <c r="G418" s="135"/>
      <c r="H418" s="135"/>
      <c r="I418" s="348"/>
      <c r="J418" s="199" t="s">
        <v>353</v>
      </c>
      <c r="K418" s="436">
        <v>90000000</v>
      </c>
      <c r="L418" s="317"/>
      <c r="M418" s="130"/>
      <c r="N418" s="90" t="s">
        <v>545</v>
      </c>
    </row>
    <row r="419" spans="1:15" ht="78" customHeight="1">
      <c r="A419" s="201" t="s">
        <v>337</v>
      </c>
      <c r="B419" s="202" t="s">
        <v>244</v>
      </c>
      <c r="C419" s="202" t="s">
        <v>195</v>
      </c>
      <c r="D419" s="202" t="s">
        <v>354</v>
      </c>
      <c r="E419" s="202" t="s">
        <v>569</v>
      </c>
      <c r="F419" s="254">
        <v>2019005810096</v>
      </c>
      <c r="G419" s="202" t="s">
        <v>573</v>
      </c>
      <c r="H419" s="202" t="s">
        <v>252</v>
      </c>
      <c r="I419" s="356" t="s">
        <v>574</v>
      </c>
      <c r="J419" s="207"/>
      <c r="K419" s="208"/>
      <c r="L419" s="209">
        <f>+K420</f>
        <v>90000000</v>
      </c>
      <c r="M419" s="130"/>
    </row>
    <row r="420" spans="1:15" ht="24.75" customHeight="1" thickBot="1">
      <c r="A420" s="134"/>
      <c r="B420" s="135"/>
      <c r="C420" s="135"/>
      <c r="D420" s="135"/>
      <c r="E420" s="135"/>
      <c r="F420" s="136"/>
      <c r="G420" s="135"/>
      <c r="H420" s="135"/>
      <c r="I420" s="348"/>
      <c r="J420" s="199" t="s">
        <v>353</v>
      </c>
      <c r="K420" s="436">
        <v>90000000</v>
      </c>
      <c r="L420" s="317"/>
      <c r="M420" s="130"/>
      <c r="N420" s="90" t="s">
        <v>545</v>
      </c>
    </row>
    <row r="421" spans="1:15" ht="57" customHeight="1">
      <c r="A421" s="201" t="s">
        <v>337</v>
      </c>
      <c r="B421" s="202" t="s">
        <v>244</v>
      </c>
      <c r="C421" s="202" t="s">
        <v>195</v>
      </c>
      <c r="D421" s="202" t="s">
        <v>354</v>
      </c>
      <c r="E421" s="202" t="s">
        <v>569</v>
      </c>
      <c r="F421" s="254">
        <v>2019005810146</v>
      </c>
      <c r="G421" s="202" t="s">
        <v>575</v>
      </c>
      <c r="H421" s="202" t="s">
        <v>252</v>
      </c>
      <c r="I421" s="356" t="s">
        <v>576</v>
      </c>
      <c r="J421" s="207"/>
      <c r="K421" s="208"/>
      <c r="L421" s="209">
        <f>+K422</f>
        <v>90000000</v>
      </c>
      <c r="M421" s="130"/>
    </row>
    <row r="422" spans="1:15" ht="27" customHeight="1" thickBot="1">
      <c r="A422" s="150"/>
      <c r="B422" s="151"/>
      <c r="C422" s="151"/>
      <c r="D422" s="151"/>
      <c r="E422" s="151"/>
      <c r="F422" s="152"/>
      <c r="G422" s="151"/>
      <c r="H422" s="151"/>
      <c r="I422" s="342"/>
      <c r="J422" s="154" t="s">
        <v>353</v>
      </c>
      <c r="K422" s="436">
        <v>90000000</v>
      </c>
      <c r="L422" s="190"/>
      <c r="M422" s="157"/>
      <c r="N422" s="90" t="s">
        <v>545</v>
      </c>
    </row>
    <row r="423" spans="1:15" ht="24" customHeight="1">
      <c r="A423" s="115" t="s">
        <v>337</v>
      </c>
      <c r="B423" s="116" t="s">
        <v>244</v>
      </c>
      <c r="C423" s="116" t="s">
        <v>195</v>
      </c>
      <c r="D423" s="116" t="s">
        <v>357</v>
      </c>
      <c r="E423" s="116"/>
      <c r="F423" s="117"/>
      <c r="G423" s="116"/>
      <c r="H423" s="116"/>
      <c r="I423" s="347" t="s">
        <v>577</v>
      </c>
      <c r="J423" s="207"/>
      <c r="K423" s="208"/>
      <c r="L423" s="209"/>
      <c r="M423" s="122"/>
    </row>
    <row r="424" spans="1:15" ht="35.25" customHeight="1" thickBot="1">
      <c r="A424" s="134" t="s">
        <v>337</v>
      </c>
      <c r="B424" s="135" t="s">
        <v>244</v>
      </c>
      <c r="C424" s="135" t="s">
        <v>195</v>
      </c>
      <c r="D424" s="135" t="s">
        <v>357</v>
      </c>
      <c r="E424" s="135" t="s">
        <v>578</v>
      </c>
      <c r="F424" s="136"/>
      <c r="G424" s="135"/>
      <c r="H424" s="135"/>
      <c r="I424" s="348" t="s">
        <v>579</v>
      </c>
      <c r="J424" s="349"/>
      <c r="K424" s="316"/>
      <c r="L424" s="317"/>
      <c r="M424" s="539">
        <f>SUM(L425:L427)</f>
        <v>180000000</v>
      </c>
    </row>
    <row r="425" spans="1:15" ht="99" customHeight="1">
      <c r="A425" s="142" t="s">
        <v>337</v>
      </c>
      <c r="B425" s="143" t="s">
        <v>244</v>
      </c>
      <c r="C425" s="143" t="s">
        <v>195</v>
      </c>
      <c r="D425" s="143" t="s">
        <v>357</v>
      </c>
      <c r="E425" s="143" t="s">
        <v>578</v>
      </c>
      <c r="F425" s="253">
        <v>2019005810097</v>
      </c>
      <c r="G425" s="143" t="s">
        <v>580</v>
      </c>
      <c r="H425" s="143" t="s">
        <v>252</v>
      </c>
      <c r="I425" s="341" t="s">
        <v>581</v>
      </c>
      <c r="J425" s="181"/>
      <c r="K425" s="182"/>
      <c r="L425" s="183">
        <f>+K426</f>
        <v>90000000</v>
      </c>
      <c r="M425" s="149"/>
    </row>
    <row r="426" spans="1:15" ht="25.5" customHeight="1" thickBot="1">
      <c r="A426" s="134"/>
      <c r="B426" s="135"/>
      <c r="C426" s="135"/>
      <c r="D426" s="135"/>
      <c r="E426" s="135"/>
      <c r="F426" s="136"/>
      <c r="G426" s="135"/>
      <c r="H426" s="135"/>
      <c r="I426" s="348"/>
      <c r="J426" s="199" t="s">
        <v>353</v>
      </c>
      <c r="K426" s="436">
        <v>90000000</v>
      </c>
      <c r="L426" s="317"/>
      <c r="M426" s="130"/>
      <c r="N426" s="90" t="s">
        <v>545</v>
      </c>
    </row>
    <row r="427" spans="1:15" ht="98.25" customHeight="1">
      <c r="A427" s="201" t="s">
        <v>337</v>
      </c>
      <c r="B427" s="202" t="s">
        <v>244</v>
      </c>
      <c r="C427" s="202" t="s">
        <v>195</v>
      </c>
      <c r="D427" s="202" t="s">
        <v>357</v>
      </c>
      <c r="E427" s="202" t="s">
        <v>578</v>
      </c>
      <c r="F427" s="254">
        <v>2019005810098</v>
      </c>
      <c r="G427" s="202" t="s">
        <v>582</v>
      </c>
      <c r="H427" s="202" t="s">
        <v>252</v>
      </c>
      <c r="I427" s="356" t="s">
        <v>583</v>
      </c>
      <c r="J427" s="207"/>
      <c r="K427" s="208"/>
      <c r="L427" s="209">
        <f>+K428</f>
        <v>90000000</v>
      </c>
      <c r="M427" s="130"/>
    </row>
    <row r="428" spans="1:15" ht="26.25" customHeight="1" thickBot="1">
      <c r="A428" s="150"/>
      <c r="B428" s="151"/>
      <c r="C428" s="151"/>
      <c r="D428" s="151"/>
      <c r="E428" s="151"/>
      <c r="F428" s="152"/>
      <c r="G428" s="151"/>
      <c r="H428" s="151"/>
      <c r="I428" s="342"/>
      <c r="J428" s="154" t="s">
        <v>353</v>
      </c>
      <c r="K428" s="436">
        <v>90000000</v>
      </c>
      <c r="L428" s="190"/>
      <c r="M428" s="157"/>
      <c r="N428" s="90" t="s">
        <v>545</v>
      </c>
    </row>
    <row r="429" spans="1:15" ht="33.75" customHeight="1" thickBot="1">
      <c r="A429" s="210" t="s">
        <v>337</v>
      </c>
      <c r="B429" s="211" t="s">
        <v>244</v>
      </c>
      <c r="C429" s="211" t="s">
        <v>195</v>
      </c>
      <c r="D429" s="211" t="s">
        <v>357</v>
      </c>
      <c r="E429" s="211" t="s">
        <v>584</v>
      </c>
      <c r="F429" s="212"/>
      <c r="G429" s="211"/>
      <c r="H429" s="211"/>
      <c r="I429" s="343" t="s">
        <v>585</v>
      </c>
      <c r="J429" s="344"/>
      <c r="K429" s="345"/>
      <c r="L429" s="346"/>
      <c r="M429" s="540">
        <f>+L430</f>
        <v>103358757</v>
      </c>
    </row>
    <row r="430" spans="1:15" ht="106.5" customHeight="1">
      <c r="A430" s="142" t="s">
        <v>337</v>
      </c>
      <c r="B430" s="143" t="s">
        <v>244</v>
      </c>
      <c r="C430" s="143" t="s">
        <v>195</v>
      </c>
      <c r="D430" s="143" t="s">
        <v>357</v>
      </c>
      <c r="E430" s="143" t="s">
        <v>584</v>
      </c>
      <c r="F430" s="253">
        <v>2019005810100</v>
      </c>
      <c r="G430" s="143" t="s">
        <v>586</v>
      </c>
      <c r="H430" s="143" t="s">
        <v>252</v>
      </c>
      <c r="I430" s="341" t="s">
        <v>587</v>
      </c>
      <c r="J430" s="181"/>
      <c r="K430" s="182"/>
      <c r="L430" s="183">
        <f>SUM(K431:K433)</f>
        <v>103358757</v>
      </c>
      <c r="M430" s="149"/>
    </row>
    <row r="431" spans="1:15" ht="21.75" customHeight="1">
      <c r="A431" s="123"/>
      <c r="B431" s="124"/>
      <c r="C431" s="124"/>
      <c r="D431" s="124"/>
      <c r="E431" s="124"/>
      <c r="F431" s="125"/>
      <c r="G431" s="124"/>
      <c r="H431" s="124"/>
      <c r="I431" s="357"/>
      <c r="J431" s="163" t="s">
        <v>353</v>
      </c>
      <c r="K431" s="186">
        <v>73318757</v>
      </c>
      <c r="L431" s="183"/>
      <c r="M431" s="130"/>
      <c r="N431" s="90" t="s">
        <v>588</v>
      </c>
    </row>
    <row r="432" spans="1:15" ht="33.75" customHeight="1">
      <c r="A432" s="123"/>
      <c r="B432" s="124"/>
      <c r="C432" s="124"/>
      <c r="D432" s="124"/>
      <c r="E432" s="124"/>
      <c r="F432" s="125"/>
      <c r="G432" s="124"/>
      <c r="H432" s="124"/>
      <c r="I432" s="357"/>
      <c r="J432" s="163" t="s">
        <v>5</v>
      </c>
      <c r="K432" s="527">
        <v>40000</v>
      </c>
      <c r="L432" s="183"/>
      <c r="M432" s="130"/>
      <c r="O432" s="234"/>
    </row>
    <row r="433" spans="1:14" ht="31.5" customHeight="1" thickBot="1">
      <c r="A433" s="150"/>
      <c r="B433" s="151"/>
      <c r="C433" s="151"/>
      <c r="D433" s="151"/>
      <c r="E433" s="151"/>
      <c r="F433" s="152"/>
      <c r="G433" s="151"/>
      <c r="H433" s="151"/>
      <c r="I433" s="358"/>
      <c r="J433" s="154" t="s">
        <v>209</v>
      </c>
      <c r="K433" s="359">
        <v>30000000</v>
      </c>
      <c r="L433" s="320"/>
      <c r="M433" s="157"/>
    </row>
    <row r="434" spans="1:14" ht="28.5" customHeight="1" thickBot="1">
      <c r="A434" s="1791" t="s">
        <v>589</v>
      </c>
      <c r="B434" s="1792"/>
      <c r="C434" s="1792"/>
      <c r="D434" s="1792"/>
      <c r="E434" s="1792"/>
      <c r="F434" s="1792"/>
      <c r="G434" s="1792"/>
      <c r="H434" s="1792"/>
      <c r="I434" s="1792"/>
      <c r="J434" s="1792"/>
      <c r="K434" s="1793"/>
      <c r="L434" s="360">
        <f>SUM(L7:L433)</f>
        <v>230875549425</v>
      </c>
      <c r="M434" s="360">
        <f>SUM(M7:M433)</f>
        <v>230875549425</v>
      </c>
    </row>
    <row r="435" spans="1:14" ht="19.5" customHeight="1" thickBot="1">
      <c r="A435" s="361"/>
      <c r="B435" s="361"/>
      <c r="C435" s="361"/>
      <c r="D435" s="361"/>
      <c r="E435" s="361"/>
      <c r="F435" s="362"/>
      <c r="G435" s="363"/>
      <c r="H435" s="364"/>
      <c r="I435" s="364"/>
      <c r="J435" s="365"/>
      <c r="K435" s="366">
        <f>SUBTOTAL(9,K45:K377)</f>
        <v>227121190668</v>
      </c>
      <c r="L435" s="367"/>
    </row>
    <row r="436" spans="1:14" ht="33" customHeight="1" thickBot="1">
      <c r="A436" s="1794" t="s">
        <v>590</v>
      </c>
      <c r="B436" s="1795"/>
      <c r="C436" s="1795"/>
      <c r="D436" s="1795"/>
      <c r="E436" s="1795"/>
      <c r="F436" s="1795"/>
      <c r="G436" s="1795"/>
      <c r="H436" s="1795"/>
      <c r="I436" s="1795"/>
      <c r="J436" s="1795"/>
      <c r="K436" s="1796"/>
      <c r="L436" s="368" t="s">
        <v>591</v>
      </c>
      <c r="M436" s="89">
        <f>+L434-M434</f>
        <v>0</v>
      </c>
    </row>
    <row r="437" spans="1:14" ht="30.75" customHeight="1">
      <c r="A437" s="1797" t="s">
        <v>592</v>
      </c>
      <c r="B437" s="1798"/>
      <c r="C437" s="1798"/>
      <c r="D437" s="1798"/>
      <c r="E437" s="1798"/>
      <c r="F437" s="1798"/>
      <c r="G437" s="1798"/>
      <c r="H437" s="1798"/>
      <c r="I437" s="1798"/>
      <c r="J437" s="1798"/>
      <c r="K437" s="1799"/>
      <c r="L437" s="218">
        <v>19557850501</v>
      </c>
    </row>
    <row r="438" spans="1:14" ht="26.25" customHeight="1">
      <c r="A438" s="369" t="s">
        <v>593</v>
      </c>
      <c r="B438" s="370"/>
      <c r="C438" s="370"/>
      <c r="D438" s="370"/>
      <c r="E438" s="370"/>
      <c r="F438" s="370"/>
      <c r="G438" s="370"/>
      <c r="H438" s="370"/>
      <c r="I438" s="370"/>
      <c r="J438" s="371"/>
      <c r="K438" s="372"/>
      <c r="L438" s="373">
        <v>1819286640</v>
      </c>
    </row>
    <row r="439" spans="1:14" ht="26.25" customHeight="1">
      <c r="A439" s="369" t="s">
        <v>594</v>
      </c>
      <c r="B439" s="370"/>
      <c r="C439" s="370"/>
      <c r="D439" s="370"/>
      <c r="E439" s="370"/>
      <c r="F439" s="370"/>
      <c r="G439" s="370"/>
      <c r="H439" s="370"/>
      <c r="I439" s="370"/>
      <c r="J439" s="371"/>
      <c r="K439" s="372"/>
      <c r="L439" s="373">
        <v>17515817354</v>
      </c>
    </row>
    <row r="440" spans="1:14" ht="24.75" customHeight="1" thickBot="1">
      <c r="A440" s="374" t="s">
        <v>595</v>
      </c>
      <c r="B440" s="375"/>
      <c r="C440" s="375"/>
      <c r="D440" s="375"/>
      <c r="E440" s="375"/>
      <c r="F440" s="375"/>
      <c r="G440" s="375"/>
      <c r="H440" s="375"/>
      <c r="I440" s="375"/>
      <c r="J440" s="376"/>
      <c r="K440" s="377"/>
      <c r="L440" s="378">
        <v>680407200</v>
      </c>
    </row>
    <row r="441" spans="1:14" ht="27" customHeight="1" thickBot="1">
      <c r="A441" s="1779" t="s">
        <v>596</v>
      </c>
      <c r="B441" s="1780"/>
      <c r="C441" s="1780"/>
      <c r="D441" s="1780"/>
      <c r="E441" s="1780"/>
      <c r="F441" s="1780"/>
      <c r="G441" s="1780"/>
      <c r="H441" s="1780"/>
      <c r="I441" s="1780"/>
      <c r="J441" s="1780"/>
      <c r="K441" s="1781"/>
      <c r="L441" s="379">
        <f>SUM(L437:L440)</f>
        <v>39573361695</v>
      </c>
    </row>
    <row r="442" spans="1:14" ht="6" customHeight="1" thickBot="1">
      <c r="A442" s="380"/>
      <c r="B442" s="380"/>
      <c r="C442" s="380"/>
      <c r="D442" s="380"/>
      <c r="E442" s="380"/>
      <c r="F442" s="380"/>
      <c r="G442" s="380"/>
      <c r="H442" s="380"/>
      <c r="I442" s="381"/>
      <c r="J442" s="382"/>
      <c r="K442" s="383"/>
      <c r="L442" s="384"/>
    </row>
    <row r="443" spans="1:14" ht="42.75" customHeight="1" thickBot="1">
      <c r="A443" s="1779" t="s">
        <v>597</v>
      </c>
      <c r="B443" s="1780"/>
      <c r="C443" s="1780"/>
      <c r="D443" s="1780"/>
      <c r="E443" s="1780"/>
      <c r="F443" s="1780"/>
      <c r="G443" s="1780"/>
      <c r="H443" s="1780"/>
      <c r="I443" s="1780"/>
      <c r="J443" s="1780"/>
      <c r="K443" s="1781"/>
      <c r="L443" s="385">
        <f>+L441+L434+'[2]ANEXO 1 FUNCIONAMIENTO'!I387</f>
        <v>311927478041</v>
      </c>
      <c r="N443" s="234">
        <f>+L443-'[2]RENTAS 2020'!G126</f>
        <v>0</v>
      </c>
    </row>
    <row r="446" spans="1:14">
      <c r="K446" s="391">
        <f>SUBTOTAL(9,K144:K431)</f>
        <v>201830846536</v>
      </c>
    </row>
  </sheetData>
  <autoFilter ref="A5:P441"/>
  <mergeCells count="8">
    <mergeCell ref="A441:K441"/>
    <mergeCell ref="A443:K443"/>
    <mergeCell ref="A1:L1"/>
    <mergeCell ref="A2:L2"/>
    <mergeCell ref="A4:L4"/>
    <mergeCell ref="A434:K434"/>
    <mergeCell ref="A436:K436"/>
    <mergeCell ref="A437:K437"/>
  </mergeCells>
  <pageMargins left="0.70866141732283505" right="0.43307086614173201" top="1.3523622049999999" bottom="1.2322834650000001" header="0.31496062992126" footer="0.28740157500000002"/>
  <headerFooter>
    <oddHeader>&amp;L&amp;G&amp;CREPUBLICA DE COLOMBIADEPARTAMENTO DE ARAUCA</oddHeader>
    <oddFooter>&amp;L&amp;G&amp;R&amp;P</oddFooter>
  </headerFooter>
  <drawing r:id="rId1"/>
  <legacyDrawingHF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3:N101"/>
  <sheetViews>
    <sheetView topLeftCell="A4" zoomScale="80" zoomScaleNormal="80" zoomScalePageLayoutView="80" workbookViewId="0">
      <selection activeCell="F60" sqref="F60"/>
    </sheetView>
  </sheetViews>
  <sheetFormatPr baseColWidth="10" defaultColWidth="11.44140625" defaultRowHeight="13.8"/>
  <cols>
    <col min="1" max="1" width="11.44140625" style="2"/>
    <col min="2" max="2" width="37" style="2" customWidth="1"/>
    <col min="3" max="3" width="24.6640625" style="694" customWidth="1"/>
    <col min="4" max="4" width="31.6640625" style="694" customWidth="1"/>
    <col min="5" max="5" width="22.33203125" style="694" customWidth="1"/>
    <col min="6" max="6" width="11.44140625" style="2"/>
    <col min="7" max="7" width="41" style="2" customWidth="1"/>
    <col min="8" max="8" width="31.5546875" style="6" customWidth="1"/>
    <col min="9" max="9" width="35.6640625" style="6" customWidth="1"/>
    <col min="10" max="10" width="27.33203125" style="6" customWidth="1"/>
    <col min="11" max="11" width="33" style="6" bestFit="1" customWidth="1"/>
    <col min="12" max="12" width="26.6640625" style="6" bestFit="1" customWidth="1"/>
    <col min="13" max="13" width="20.6640625" style="6" bestFit="1" customWidth="1"/>
    <col min="14" max="14" width="18" style="2" bestFit="1" customWidth="1"/>
    <col min="15" max="16384" width="11.44140625" style="2"/>
  </cols>
  <sheetData>
    <row r="3" spans="2:14" ht="37.950000000000003" customHeight="1">
      <c r="B3" s="1801" t="s">
        <v>642</v>
      </c>
      <c r="C3" s="1802"/>
      <c r="D3" s="1802"/>
      <c r="E3" s="1802"/>
    </row>
    <row r="4" spans="2:14">
      <c r="B4" s="1800"/>
      <c r="C4" s="1800"/>
      <c r="D4" s="1800"/>
      <c r="E4" s="1800"/>
      <c r="G4" s="1800" t="s">
        <v>75</v>
      </c>
      <c r="H4" s="1800"/>
      <c r="I4" s="1800"/>
      <c r="J4" s="1800"/>
      <c r="K4" s="1800"/>
      <c r="L4" s="1800"/>
      <c r="M4" s="1800"/>
    </row>
    <row r="5" spans="2:14" ht="75" customHeight="1">
      <c r="B5" s="697" t="s">
        <v>69</v>
      </c>
      <c r="C5" s="697" t="s">
        <v>67</v>
      </c>
      <c r="D5" s="697" t="s">
        <v>68</v>
      </c>
      <c r="E5" s="697" t="s">
        <v>8</v>
      </c>
      <c r="G5" s="10" t="s">
        <v>69</v>
      </c>
      <c r="H5" s="11" t="s">
        <v>70</v>
      </c>
      <c r="I5" s="11" t="s">
        <v>71</v>
      </c>
      <c r="J5" s="11" t="s">
        <v>72</v>
      </c>
      <c r="K5" s="12" t="s">
        <v>73</v>
      </c>
      <c r="L5" s="12" t="s">
        <v>74</v>
      </c>
      <c r="M5" s="12" t="s">
        <v>8</v>
      </c>
    </row>
    <row r="6" spans="2:14">
      <c r="B6" s="3" t="s">
        <v>3</v>
      </c>
      <c r="C6" s="4">
        <v>372555000</v>
      </c>
      <c r="D6" s="4">
        <v>114750000</v>
      </c>
      <c r="E6" s="692">
        <f>SUM(C6:D6)</f>
        <v>487305000</v>
      </c>
      <c r="G6" s="3" t="s">
        <v>3</v>
      </c>
      <c r="H6" s="401">
        <v>17000000</v>
      </c>
      <c r="I6" s="414">
        <v>34000000</v>
      </c>
      <c r="J6" s="13"/>
      <c r="K6" s="424">
        <v>12750000</v>
      </c>
      <c r="L6" s="434">
        <v>51000000</v>
      </c>
      <c r="M6" s="14">
        <f>SUM(H6:L6)</f>
        <v>114750000</v>
      </c>
      <c r="N6" s="7">
        <f>M6-D6</f>
        <v>0</v>
      </c>
    </row>
    <row r="7" spans="2:14" ht="60.45" customHeight="1">
      <c r="B7" s="3" t="s">
        <v>20</v>
      </c>
      <c r="C7" s="4">
        <v>86535000</v>
      </c>
      <c r="D7" s="4">
        <v>11250000</v>
      </c>
      <c r="E7" s="692">
        <f t="shared" ref="E7:E24" si="0">SUM(C7:D7)</f>
        <v>97785000</v>
      </c>
      <c r="G7" s="3" t="s">
        <v>20</v>
      </c>
      <c r="H7" s="401">
        <v>3000000</v>
      </c>
      <c r="I7" s="414">
        <v>6000000</v>
      </c>
      <c r="J7" s="13"/>
      <c r="K7" s="424">
        <v>2250000</v>
      </c>
      <c r="L7" s="14"/>
      <c r="M7" s="14">
        <f t="shared" ref="M7:M24" si="1">SUM(H7:L7)</f>
        <v>11250000</v>
      </c>
      <c r="N7" s="7">
        <f t="shared" ref="N7:N24" si="2">M7-D7</f>
        <v>0</v>
      </c>
    </row>
    <row r="8" spans="2:14" ht="27.6">
      <c r="B8" s="3" t="s">
        <v>21</v>
      </c>
      <c r="C8" s="4">
        <v>28845000</v>
      </c>
      <c r="D8" s="4">
        <v>3750000</v>
      </c>
      <c r="E8" s="692">
        <f t="shared" si="0"/>
        <v>32595000</v>
      </c>
      <c r="G8" s="3" t="s">
        <v>21</v>
      </c>
      <c r="H8" s="401">
        <v>1000000</v>
      </c>
      <c r="I8" s="414">
        <v>2000000</v>
      </c>
      <c r="J8" s="13"/>
      <c r="K8" s="424">
        <v>750000</v>
      </c>
      <c r="L8" s="14"/>
      <c r="M8" s="14">
        <f t="shared" si="1"/>
        <v>3750000</v>
      </c>
      <c r="N8" s="7">
        <f t="shared" si="2"/>
        <v>0</v>
      </c>
    </row>
    <row r="9" spans="2:14">
      <c r="B9" s="3" t="s">
        <v>22</v>
      </c>
      <c r="C9" s="4">
        <v>13318500</v>
      </c>
      <c r="D9" s="4">
        <v>4875000</v>
      </c>
      <c r="E9" s="692">
        <f t="shared" si="0"/>
        <v>18193500</v>
      </c>
      <c r="G9" s="3" t="s">
        <v>22</v>
      </c>
      <c r="H9" s="401">
        <v>1300000</v>
      </c>
      <c r="I9" s="414">
        <v>2600000</v>
      </c>
      <c r="J9" s="13"/>
      <c r="K9" s="424">
        <v>975000</v>
      </c>
      <c r="L9" s="14"/>
      <c r="M9" s="14">
        <f t="shared" si="1"/>
        <v>4875000</v>
      </c>
      <c r="N9" s="7">
        <f t="shared" si="2"/>
        <v>0</v>
      </c>
    </row>
    <row r="10" spans="2:14">
      <c r="B10" s="3" t="s">
        <v>23</v>
      </c>
      <c r="C10" s="4">
        <v>133185000</v>
      </c>
      <c r="D10" s="4">
        <v>48750000</v>
      </c>
      <c r="E10" s="692">
        <f t="shared" si="0"/>
        <v>181935000</v>
      </c>
      <c r="G10" s="3" t="s">
        <v>23</v>
      </c>
      <c r="H10" s="401">
        <v>13000000</v>
      </c>
      <c r="I10" s="414">
        <v>26000000</v>
      </c>
      <c r="J10" s="13"/>
      <c r="K10" s="424">
        <v>9750000</v>
      </c>
      <c r="L10" s="14"/>
      <c r="M10" s="14">
        <f t="shared" si="1"/>
        <v>48750000</v>
      </c>
      <c r="N10" s="7">
        <f t="shared" si="2"/>
        <v>0</v>
      </c>
    </row>
    <row r="11" spans="2:14">
      <c r="B11" s="3" t="s">
        <v>24</v>
      </c>
      <c r="C11" s="4">
        <v>2762231161</v>
      </c>
      <c r="D11" s="4">
        <v>525000000</v>
      </c>
      <c r="E11" s="692">
        <f t="shared" si="0"/>
        <v>3287231161</v>
      </c>
      <c r="G11" s="3" t="s">
        <v>24</v>
      </c>
      <c r="H11" s="401">
        <v>140000000</v>
      </c>
      <c r="I11" s="414">
        <v>280000000</v>
      </c>
      <c r="J11" s="13"/>
      <c r="K11" s="424">
        <v>105000000</v>
      </c>
      <c r="L11" s="14"/>
      <c r="M11" s="14">
        <f t="shared" si="1"/>
        <v>525000000</v>
      </c>
      <c r="N11" s="7">
        <f t="shared" si="2"/>
        <v>0</v>
      </c>
    </row>
    <row r="12" spans="2:14">
      <c r="B12" s="3" t="s">
        <v>25</v>
      </c>
      <c r="C12" s="4">
        <v>11538000</v>
      </c>
      <c r="D12" s="4">
        <v>1500000</v>
      </c>
      <c r="E12" s="692">
        <f t="shared" si="0"/>
        <v>13038000</v>
      </c>
      <c r="G12" s="3" t="s">
        <v>25</v>
      </c>
      <c r="H12" s="401">
        <v>400000</v>
      </c>
      <c r="I12" s="414">
        <v>800000</v>
      </c>
      <c r="J12" s="13"/>
      <c r="K12" s="424">
        <v>300000</v>
      </c>
      <c r="L12" s="14"/>
      <c r="M12" s="14">
        <f t="shared" si="1"/>
        <v>1500000</v>
      </c>
      <c r="N12" s="7">
        <f t="shared" si="2"/>
        <v>0</v>
      </c>
    </row>
    <row r="13" spans="2:14">
      <c r="B13" s="3" t="s">
        <v>10</v>
      </c>
      <c r="C13" s="4">
        <v>144225000</v>
      </c>
      <c r="D13" s="4">
        <v>18750000</v>
      </c>
      <c r="E13" s="692">
        <f t="shared" si="0"/>
        <v>162975000</v>
      </c>
      <c r="G13" s="3" t="s">
        <v>10</v>
      </c>
      <c r="H13" s="401">
        <v>5000000</v>
      </c>
      <c r="I13" s="414">
        <v>10000000</v>
      </c>
      <c r="J13" s="13"/>
      <c r="K13" s="424">
        <v>3750000</v>
      </c>
      <c r="L13" s="14"/>
      <c r="M13" s="14">
        <f t="shared" si="1"/>
        <v>18750000</v>
      </c>
      <c r="N13" s="7">
        <f t="shared" si="2"/>
        <v>0</v>
      </c>
    </row>
    <row r="14" spans="2:14">
      <c r="B14" s="3" t="s">
        <v>11</v>
      </c>
      <c r="C14" s="4">
        <v>57690000</v>
      </c>
      <c r="D14" s="4">
        <v>7500000</v>
      </c>
      <c r="E14" s="692">
        <f t="shared" si="0"/>
        <v>65190000</v>
      </c>
      <c r="G14" s="3" t="s">
        <v>11</v>
      </c>
      <c r="H14" s="401">
        <v>2000000</v>
      </c>
      <c r="I14" s="414">
        <v>4000000</v>
      </c>
      <c r="J14" s="13"/>
      <c r="K14" s="424">
        <v>1500000</v>
      </c>
      <c r="L14" s="14"/>
      <c r="M14" s="14">
        <f t="shared" si="1"/>
        <v>7500000</v>
      </c>
      <c r="N14" s="7">
        <f t="shared" si="2"/>
        <v>0</v>
      </c>
    </row>
    <row r="15" spans="2:14">
      <c r="B15" s="3" t="s">
        <v>26</v>
      </c>
      <c r="C15" s="4">
        <v>1614000</v>
      </c>
      <c r="D15" s="4">
        <v>34580000</v>
      </c>
      <c r="E15" s="692">
        <f t="shared" si="0"/>
        <v>36194000</v>
      </c>
      <c r="G15" s="3" t="s">
        <v>26</v>
      </c>
      <c r="H15" s="401">
        <v>400000</v>
      </c>
      <c r="I15" s="414">
        <v>800000</v>
      </c>
      <c r="J15" s="423">
        <v>28000000</v>
      </c>
      <c r="K15" s="424">
        <v>5380000</v>
      </c>
      <c r="L15" s="14"/>
      <c r="M15" s="14">
        <f t="shared" si="1"/>
        <v>34580000</v>
      </c>
      <c r="N15" s="7">
        <f t="shared" si="2"/>
        <v>0</v>
      </c>
    </row>
    <row r="16" spans="2:14" ht="27.6">
      <c r="B16" s="3" t="s">
        <v>27</v>
      </c>
      <c r="C16" s="4">
        <v>2421000</v>
      </c>
      <c r="D16" s="4">
        <v>51870000</v>
      </c>
      <c r="E16" s="692">
        <f t="shared" si="0"/>
        <v>54291000</v>
      </c>
      <c r="G16" s="3" t="s">
        <v>27</v>
      </c>
      <c r="H16" s="401">
        <v>600000</v>
      </c>
      <c r="I16" s="414">
        <v>1200000</v>
      </c>
      <c r="J16" s="423">
        <v>42000000</v>
      </c>
      <c r="K16" s="424">
        <v>8070000</v>
      </c>
      <c r="L16" s="14"/>
      <c r="M16" s="14">
        <f t="shared" si="1"/>
        <v>51870000</v>
      </c>
      <c r="N16" s="7">
        <f t="shared" si="2"/>
        <v>0</v>
      </c>
    </row>
    <row r="17" spans="2:14">
      <c r="B17" s="3" t="s">
        <v>4</v>
      </c>
      <c r="C17" s="4">
        <v>34614000</v>
      </c>
      <c r="D17" s="4">
        <v>4500000</v>
      </c>
      <c r="E17" s="692">
        <f t="shared" si="0"/>
        <v>39114000</v>
      </c>
      <c r="G17" s="3" t="s">
        <v>4</v>
      </c>
      <c r="H17" s="401">
        <v>1200000</v>
      </c>
      <c r="I17" s="414">
        <v>2400000</v>
      </c>
      <c r="J17" s="13"/>
      <c r="K17" s="424">
        <v>900000</v>
      </c>
      <c r="L17" s="14"/>
      <c r="M17" s="14">
        <f t="shared" si="1"/>
        <v>4500000</v>
      </c>
      <c r="N17" s="7">
        <f t="shared" si="2"/>
        <v>0</v>
      </c>
    </row>
    <row r="18" spans="2:14">
      <c r="B18" s="3" t="s">
        <v>12</v>
      </c>
      <c r="C18" s="5">
        <v>4924500</v>
      </c>
      <c r="D18" s="5">
        <v>18550000</v>
      </c>
      <c r="E18" s="692">
        <f t="shared" si="0"/>
        <v>23474500</v>
      </c>
      <c r="G18" s="3" t="s">
        <v>12</v>
      </c>
      <c r="H18" s="408">
        <v>350000</v>
      </c>
      <c r="I18" s="420">
        <v>700000</v>
      </c>
      <c r="J18" s="13"/>
      <c r="K18" s="424">
        <v>17500000</v>
      </c>
      <c r="L18" s="14"/>
      <c r="M18" s="14">
        <f t="shared" si="1"/>
        <v>18550000</v>
      </c>
      <c r="N18" s="7">
        <f t="shared" si="2"/>
        <v>0</v>
      </c>
    </row>
    <row r="19" spans="2:14">
      <c r="B19" s="3" t="s">
        <v>28</v>
      </c>
      <c r="C19" s="5">
        <v>177742500</v>
      </c>
      <c r="D19" s="5">
        <v>24375000</v>
      </c>
      <c r="E19" s="692">
        <f t="shared" si="0"/>
        <v>202117500</v>
      </c>
      <c r="G19" s="3" t="s">
        <v>28</v>
      </c>
      <c r="H19" s="408">
        <v>6500000</v>
      </c>
      <c r="I19" s="420">
        <v>13000000</v>
      </c>
      <c r="J19" s="13"/>
      <c r="K19" s="14">
        <v>4875000</v>
      </c>
      <c r="L19" s="14"/>
      <c r="M19" s="14">
        <f t="shared" si="1"/>
        <v>24375000</v>
      </c>
      <c r="N19" s="7">
        <f t="shared" si="2"/>
        <v>0</v>
      </c>
    </row>
    <row r="20" spans="2:14">
      <c r="B20" s="3" t="s">
        <v>29</v>
      </c>
      <c r="C20" s="4">
        <v>2475317496</v>
      </c>
      <c r="D20" s="4">
        <v>540000000</v>
      </c>
      <c r="E20" s="692">
        <f t="shared" si="0"/>
        <v>3015317496</v>
      </c>
      <c r="G20" s="3" t="s">
        <v>29</v>
      </c>
      <c r="H20" s="401">
        <v>180000000</v>
      </c>
      <c r="I20" s="414">
        <v>360000000</v>
      </c>
      <c r="J20" s="13"/>
      <c r="K20" s="14"/>
      <c r="L20" s="14"/>
      <c r="M20" s="14">
        <f t="shared" si="1"/>
        <v>540000000</v>
      </c>
      <c r="N20" s="7">
        <f t="shared" si="2"/>
        <v>0</v>
      </c>
    </row>
    <row r="21" spans="2:14">
      <c r="B21" s="3" t="s">
        <v>30</v>
      </c>
      <c r="C21" s="5">
        <v>288450</v>
      </c>
      <c r="D21" s="5">
        <v>37500</v>
      </c>
      <c r="E21" s="692">
        <f t="shared" si="0"/>
        <v>325950</v>
      </c>
      <c r="G21" s="3" t="s">
        <v>30</v>
      </c>
      <c r="H21" s="408">
        <v>10000</v>
      </c>
      <c r="I21" s="420">
        <v>20000</v>
      </c>
      <c r="J21" s="13"/>
      <c r="K21" s="424">
        <v>7500</v>
      </c>
      <c r="L21" s="14"/>
      <c r="M21" s="14">
        <f t="shared" si="1"/>
        <v>37500</v>
      </c>
      <c r="N21" s="7">
        <f t="shared" si="2"/>
        <v>0</v>
      </c>
    </row>
    <row r="22" spans="2:14" ht="27.6">
      <c r="B22" s="3" t="s">
        <v>31</v>
      </c>
      <c r="C22" s="4">
        <v>2019150</v>
      </c>
      <c r="D22" s="4">
        <v>262500</v>
      </c>
      <c r="E22" s="692">
        <f t="shared" si="0"/>
        <v>2281650</v>
      </c>
      <c r="G22" s="3" t="s">
        <v>31</v>
      </c>
      <c r="H22" s="401">
        <v>70000</v>
      </c>
      <c r="I22" s="414">
        <v>140000</v>
      </c>
      <c r="J22" s="13"/>
      <c r="K22" s="14">
        <v>52500</v>
      </c>
      <c r="L22" s="14"/>
      <c r="M22" s="14">
        <f t="shared" si="1"/>
        <v>262500</v>
      </c>
      <c r="N22" s="7">
        <f t="shared" si="2"/>
        <v>0</v>
      </c>
    </row>
    <row r="23" spans="2:14">
      <c r="B23" s="3" t="s">
        <v>32</v>
      </c>
      <c r="C23" s="5">
        <v>3461400</v>
      </c>
      <c r="D23" s="5">
        <v>450000</v>
      </c>
      <c r="E23" s="693">
        <f t="shared" si="0"/>
        <v>3911400</v>
      </c>
      <c r="G23" s="3" t="s">
        <v>32</v>
      </c>
      <c r="H23" s="408">
        <v>120000</v>
      </c>
      <c r="I23" s="420">
        <v>240000</v>
      </c>
      <c r="J23" s="13"/>
      <c r="K23" s="424">
        <v>90000</v>
      </c>
      <c r="L23" s="14"/>
      <c r="M23" s="14">
        <f t="shared" si="1"/>
        <v>450000</v>
      </c>
      <c r="N23" s="7">
        <f t="shared" si="2"/>
        <v>0</v>
      </c>
    </row>
    <row r="24" spans="2:14">
      <c r="B24" s="3" t="s">
        <v>15</v>
      </c>
      <c r="C24" s="5">
        <v>250000000</v>
      </c>
      <c r="D24" s="5"/>
      <c r="E24" s="693">
        <f t="shared" si="0"/>
        <v>250000000</v>
      </c>
      <c r="G24" s="3" t="s">
        <v>15</v>
      </c>
      <c r="H24" s="5"/>
      <c r="I24" s="5"/>
      <c r="J24" s="13"/>
      <c r="K24" s="14"/>
      <c r="L24" s="14"/>
      <c r="M24" s="14">
        <f t="shared" si="1"/>
        <v>0</v>
      </c>
      <c r="N24" s="7">
        <f t="shared" si="2"/>
        <v>0</v>
      </c>
    </row>
    <row r="25" spans="2:14">
      <c r="B25" s="3" t="s">
        <v>8</v>
      </c>
      <c r="C25" s="693">
        <f t="shared" ref="C25:D25" si="3">SUM(C6:C24)</f>
        <v>6562525157</v>
      </c>
      <c r="D25" s="693">
        <f t="shared" si="3"/>
        <v>1410750000</v>
      </c>
      <c r="E25" s="693">
        <f>SUM(E6:E24)</f>
        <v>7973275157</v>
      </c>
      <c r="G25" s="3" t="s">
        <v>8</v>
      </c>
      <c r="H25" s="13">
        <f>SUM(H6:H24)</f>
        <v>371950000</v>
      </c>
      <c r="I25" s="13">
        <f>SUM(I6:I24)</f>
        <v>743900000</v>
      </c>
      <c r="J25" s="13">
        <f t="shared" ref="J25" si="4">SUM(J6:J24)</f>
        <v>70000000</v>
      </c>
      <c r="K25" s="13">
        <f t="shared" ref="K25" si="5">SUM(K6:K24)</f>
        <v>173900000</v>
      </c>
      <c r="L25" s="13">
        <f t="shared" ref="L25" si="6">SUM(L6:L24)</f>
        <v>51000000</v>
      </c>
      <c r="M25" s="13">
        <f t="shared" ref="M25" si="7">SUM(M6:M24)</f>
        <v>1410750000</v>
      </c>
    </row>
    <row r="26" spans="2:14">
      <c r="I26" s="6">
        <v>693900000</v>
      </c>
      <c r="J26" s="6">
        <f>I26+'[1]POAI 2020'!$N$67</f>
        <v>1043900000</v>
      </c>
    </row>
    <row r="27" spans="2:14">
      <c r="C27" s="695"/>
      <c r="I27" s="6">
        <f>I25-I26</f>
        <v>50000000</v>
      </c>
    </row>
    <row r="28" spans="2:14">
      <c r="C28" s="696"/>
    </row>
    <row r="30" spans="2:14">
      <c r="C30" s="694">
        <v>2021</v>
      </c>
    </row>
    <row r="32" spans="2:14" ht="151.80000000000001">
      <c r="B32" s="8" t="s">
        <v>69</v>
      </c>
      <c r="C32" s="691" t="s">
        <v>67</v>
      </c>
      <c r="D32" s="691" t="s">
        <v>68</v>
      </c>
      <c r="E32" s="691" t="s">
        <v>8</v>
      </c>
      <c r="G32" s="10" t="s">
        <v>69</v>
      </c>
      <c r="H32" s="11" t="s">
        <v>70</v>
      </c>
      <c r="I32" s="11" t="s">
        <v>71</v>
      </c>
      <c r="J32" s="11" t="s">
        <v>72</v>
      </c>
      <c r="K32" s="12" t="s">
        <v>73</v>
      </c>
      <c r="L32" s="12" t="s">
        <v>74</v>
      </c>
      <c r="M32" s="12" t="s">
        <v>8</v>
      </c>
    </row>
    <row r="33" spans="2:13">
      <c r="B33" s="3" t="s">
        <v>3</v>
      </c>
      <c r="C33" s="4">
        <v>383731650</v>
      </c>
      <c r="D33" s="4">
        <v>118192500</v>
      </c>
      <c r="E33" s="692">
        <f>SUM(C33:D33)</f>
        <v>501924150</v>
      </c>
      <c r="G33" s="3" t="s">
        <v>3</v>
      </c>
      <c r="H33" s="401">
        <v>17510000</v>
      </c>
      <c r="I33" s="414">
        <v>35020000</v>
      </c>
      <c r="J33" s="13"/>
      <c r="K33" s="424">
        <v>13132500</v>
      </c>
      <c r="L33" s="434">
        <v>52530000</v>
      </c>
      <c r="M33" s="14">
        <f>SUM(H33:L33)</f>
        <v>118192500</v>
      </c>
    </row>
    <row r="34" spans="2:13" ht="27.6">
      <c r="B34" s="3" t="s">
        <v>20</v>
      </c>
      <c r="C34" s="4">
        <v>89131050</v>
      </c>
      <c r="D34" s="4">
        <v>11587500</v>
      </c>
      <c r="E34" s="692">
        <f t="shared" ref="E34:E51" si="8">SUM(C34:D34)</f>
        <v>100718550</v>
      </c>
      <c r="G34" s="3" t="s">
        <v>20</v>
      </c>
      <c r="H34" s="401">
        <v>3090000</v>
      </c>
      <c r="I34" s="414">
        <v>6180000</v>
      </c>
      <c r="J34" s="13"/>
      <c r="K34" s="424">
        <v>2317500</v>
      </c>
      <c r="L34" s="14"/>
      <c r="M34" s="14">
        <f t="shared" ref="M34:M51" si="9">SUM(H34:L34)</f>
        <v>11587500</v>
      </c>
    </row>
    <row r="35" spans="2:13" ht="27.6">
      <c r="B35" s="3" t="s">
        <v>21</v>
      </c>
      <c r="C35" s="4">
        <v>29710350</v>
      </c>
      <c r="D35" s="4">
        <v>3862500</v>
      </c>
      <c r="E35" s="692">
        <f t="shared" si="8"/>
        <v>33572850</v>
      </c>
      <c r="G35" s="3" t="s">
        <v>21</v>
      </c>
      <c r="H35" s="401">
        <v>1030000</v>
      </c>
      <c r="I35" s="414">
        <v>2060000</v>
      </c>
      <c r="J35" s="13"/>
      <c r="K35" s="424">
        <v>772500</v>
      </c>
      <c r="L35" s="14"/>
      <c r="M35" s="14">
        <f t="shared" si="9"/>
        <v>3862500</v>
      </c>
    </row>
    <row r="36" spans="2:13">
      <c r="B36" s="3" t="s">
        <v>22</v>
      </c>
      <c r="C36" s="4">
        <v>23768400</v>
      </c>
      <c r="D36" s="4">
        <v>8700000</v>
      </c>
      <c r="E36" s="692">
        <f t="shared" si="8"/>
        <v>32468400</v>
      </c>
      <c r="G36" s="3" t="s">
        <v>22</v>
      </c>
      <c r="H36" s="401">
        <v>2320000</v>
      </c>
      <c r="I36" s="414">
        <v>4640000</v>
      </c>
      <c r="J36" s="13"/>
      <c r="K36" s="424">
        <v>1740000</v>
      </c>
      <c r="L36" s="14"/>
      <c r="M36" s="14">
        <f t="shared" si="9"/>
        <v>8700000</v>
      </c>
    </row>
    <row r="37" spans="2:13">
      <c r="B37" s="3" t="s">
        <v>23</v>
      </c>
      <c r="C37" s="4">
        <v>237786450</v>
      </c>
      <c r="D37" s="4">
        <v>87037500</v>
      </c>
      <c r="E37" s="692">
        <f t="shared" si="8"/>
        <v>324823950</v>
      </c>
      <c r="G37" s="3" t="s">
        <v>23</v>
      </c>
      <c r="H37" s="401">
        <v>23210000</v>
      </c>
      <c r="I37" s="414">
        <v>46420000</v>
      </c>
      <c r="J37" s="13"/>
      <c r="K37" s="424">
        <v>17407500</v>
      </c>
      <c r="L37" s="14"/>
      <c r="M37" s="14">
        <f t="shared" si="9"/>
        <v>87037500</v>
      </c>
    </row>
    <row r="38" spans="2:13">
      <c r="B38" s="3" t="s">
        <v>24</v>
      </c>
      <c r="C38" s="4">
        <v>3110472095.8299999</v>
      </c>
      <c r="D38" s="4">
        <v>575250000</v>
      </c>
      <c r="E38" s="692">
        <f t="shared" si="8"/>
        <v>3685722095.8299999</v>
      </c>
      <c r="G38" s="3" t="s">
        <v>24</v>
      </c>
      <c r="H38" s="401">
        <v>153400000</v>
      </c>
      <c r="I38" s="414">
        <v>306800000</v>
      </c>
      <c r="J38" s="13"/>
      <c r="K38" s="424">
        <v>115050000</v>
      </c>
      <c r="L38" s="14"/>
      <c r="M38" s="14">
        <f t="shared" si="9"/>
        <v>575250000</v>
      </c>
    </row>
    <row r="39" spans="2:13">
      <c r="B39" s="3" t="s">
        <v>25</v>
      </c>
      <c r="C39" s="4">
        <v>12114900</v>
      </c>
      <c r="D39" s="4">
        <v>1575000</v>
      </c>
      <c r="E39" s="692">
        <f t="shared" si="8"/>
        <v>13689900</v>
      </c>
      <c r="G39" s="3" t="s">
        <v>25</v>
      </c>
      <c r="H39" s="401">
        <v>420000</v>
      </c>
      <c r="I39" s="414">
        <v>840000</v>
      </c>
      <c r="J39" s="13"/>
      <c r="K39" s="424">
        <v>315000</v>
      </c>
      <c r="L39" s="14"/>
      <c r="M39" s="14">
        <f t="shared" si="9"/>
        <v>1575000</v>
      </c>
    </row>
    <row r="40" spans="2:13">
      <c r="B40" s="3" t="s">
        <v>10</v>
      </c>
      <c r="C40" s="4">
        <v>336621150</v>
      </c>
      <c r="D40" s="4">
        <v>43762500</v>
      </c>
      <c r="E40" s="692">
        <f t="shared" si="8"/>
        <v>380383650</v>
      </c>
      <c r="G40" s="3" t="s">
        <v>10</v>
      </c>
      <c r="H40" s="401">
        <v>11670000</v>
      </c>
      <c r="I40" s="414">
        <v>23340000</v>
      </c>
      <c r="J40" s="13"/>
      <c r="K40" s="424">
        <v>8752500</v>
      </c>
      <c r="L40" s="14"/>
      <c r="M40" s="14">
        <f t="shared" si="9"/>
        <v>43762500</v>
      </c>
    </row>
    <row r="41" spans="2:13">
      <c r="B41" s="3" t="s">
        <v>11</v>
      </c>
      <c r="C41" s="4">
        <v>67208850</v>
      </c>
      <c r="D41" s="4">
        <v>8737500</v>
      </c>
      <c r="E41" s="692">
        <f t="shared" si="8"/>
        <v>75946350</v>
      </c>
      <c r="G41" s="3" t="s">
        <v>11</v>
      </c>
      <c r="H41" s="401">
        <v>2330000</v>
      </c>
      <c r="I41" s="414">
        <v>4660000</v>
      </c>
      <c r="J41" s="13"/>
      <c r="K41" s="424">
        <v>1747500</v>
      </c>
      <c r="L41" s="14"/>
      <c r="M41" s="14">
        <f t="shared" si="9"/>
        <v>8737500</v>
      </c>
    </row>
    <row r="42" spans="2:13">
      <c r="B42" s="3" t="s">
        <v>26</v>
      </c>
      <c r="C42" s="4">
        <v>1371900</v>
      </c>
      <c r="D42" s="4">
        <v>29393000</v>
      </c>
      <c r="E42" s="692">
        <f t="shared" si="8"/>
        <v>30764900</v>
      </c>
      <c r="G42" s="3" t="s">
        <v>26</v>
      </c>
      <c r="H42" s="401">
        <v>340000</v>
      </c>
      <c r="I42" s="414">
        <v>680000</v>
      </c>
      <c r="J42" s="423">
        <v>23800000</v>
      </c>
      <c r="K42" s="424">
        <v>4573000</v>
      </c>
      <c r="L42" s="14"/>
      <c r="M42" s="14">
        <f t="shared" si="9"/>
        <v>29393000</v>
      </c>
    </row>
    <row r="43" spans="2:13" ht="27.6">
      <c r="B43" s="3" t="s">
        <v>27</v>
      </c>
      <c r="C43" s="4">
        <v>2057850</v>
      </c>
      <c r="D43" s="4">
        <v>44089500</v>
      </c>
      <c r="E43" s="692">
        <f t="shared" si="8"/>
        <v>46147350</v>
      </c>
      <c r="G43" s="3" t="s">
        <v>27</v>
      </c>
      <c r="H43" s="401">
        <v>510000</v>
      </c>
      <c r="I43" s="414">
        <v>1020000</v>
      </c>
      <c r="J43" s="423">
        <v>35700000</v>
      </c>
      <c r="K43" s="424">
        <v>6859500</v>
      </c>
      <c r="L43" s="14"/>
      <c r="M43" s="14">
        <f t="shared" si="9"/>
        <v>44089500</v>
      </c>
    </row>
    <row r="44" spans="2:13">
      <c r="B44" s="3" t="s">
        <v>4</v>
      </c>
      <c r="C44" s="4">
        <v>36921600</v>
      </c>
      <c r="D44" s="4">
        <v>4800000</v>
      </c>
      <c r="E44" s="692">
        <f t="shared" si="8"/>
        <v>41721600</v>
      </c>
      <c r="G44" s="3" t="s">
        <v>4</v>
      </c>
      <c r="H44" s="401">
        <v>1280000</v>
      </c>
      <c r="I44" s="414">
        <v>2560000</v>
      </c>
      <c r="J44" s="13"/>
      <c r="K44" s="424">
        <v>960000</v>
      </c>
      <c r="L44" s="14"/>
      <c r="M44" s="14">
        <f t="shared" si="9"/>
        <v>4800000</v>
      </c>
    </row>
    <row r="45" spans="2:13">
      <c r="B45" s="3" t="s">
        <v>12</v>
      </c>
      <c r="C45" s="5">
        <v>5072235</v>
      </c>
      <c r="D45" s="5">
        <v>19106500</v>
      </c>
      <c r="E45" s="692">
        <f t="shared" si="8"/>
        <v>24178735</v>
      </c>
      <c r="G45" s="3" t="s">
        <v>12</v>
      </c>
      <c r="H45" s="408">
        <v>360500</v>
      </c>
      <c r="I45" s="420">
        <v>721000</v>
      </c>
      <c r="J45" s="13"/>
      <c r="K45" s="424">
        <v>18025000</v>
      </c>
      <c r="L45" s="14"/>
      <c r="M45" s="14">
        <f t="shared" si="9"/>
        <v>19106500</v>
      </c>
    </row>
    <row r="46" spans="2:13">
      <c r="B46" s="3" t="s">
        <v>28</v>
      </c>
      <c r="C46" s="5">
        <v>234893550</v>
      </c>
      <c r="D46" s="5">
        <v>32212500</v>
      </c>
      <c r="E46" s="692">
        <f t="shared" si="8"/>
        <v>267106050</v>
      </c>
      <c r="G46" s="3" t="s">
        <v>28</v>
      </c>
      <c r="H46" s="408">
        <v>8590000</v>
      </c>
      <c r="I46" s="420">
        <v>17180000</v>
      </c>
      <c r="J46" s="13"/>
      <c r="K46" s="14">
        <v>6442500</v>
      </c>
      <c r="L46" s="14"/>
      <c r="M46" s="14">
        <f t="shared" si="9"/>
        <v>32212500</v>
      </c>
    </row>
    <row r="47" spans="2:13">
      <c r="B47" s="3" t="s">
        <v>29</v>
      </c>
      <c r="C47" s="4">
        <v>2899289120.8800001</v>
      </c>
      <c r="D47" s="4">
        <v>592290000</v>
      </c>
      <c r="E47" s="692">
        <f t="shared" si="8"/>
        <v>3491579120.8800001</v>
      </c>
      <c r="G47" s="3" t="s">
        <v>29</v>
      </c>
      <c r="H47" s="401">
        <v>197430000</v>
      </c>
      <c r="I47" s="414">
        <v>394860000</v>
      </c>
      <c r="J47" s="13"/>
      <c r="K47" s="14"/>
      <c r="L47" s="14"/>
      <c r="M47" s="14">
        <f t="shared" si="9"/>
        <v>592290000</v>
      </c>
    </row>
    <row r="48" spans="2:13">
      <c r="B48" s="3" t="s">
        <v>30</v>
      </c>
      <c r="C48" s="5">
        <v>308641.5</v>
      </c>
      <c r="D48" s="5">
        <v>40125</v>
      </c>
      <c r="E48" s="692">
        <f t="shared" si="8"/>
        <v>348766.5</v>
      </c>
      <c r="G48" s="3" t="s">
        <v>30</v>
      </c>
      <c r="H48" s="408">
        <v>10700</v>
      </c>
      <c r="I48" s="420">
        <v>21400</v>
      </c>
      <c r="J48" s="13"/>
      <c r="K48" s="424">
        <v>8025</v>
      </c>
      <c r="L48" s="14"/>
      <c r="M48" s="14">
        <f t="shared" si="9"/>
        <v>40125</v>
      </c>
    </row>
    <row r="49" spans="2:13" ht="27.6">
      <c r="B49" s="3" t="s">
        <v>31</v>
      </c>
      <c r="C49" s="4">
        <v>2160490.5</v>
      </c>
      <c r="D49" s="4">
        <v>280875</v>
      </c>
      <c r="E49" s="692">
        <f t="shared" si="8"/>
        <v>2441365.5</v>
      </c>
      <c r="G49" s="3" t="s">
        <v>31</v>
      </c>
      <c r="H49" s="401">
        <v>74900</v>
      </c>
      <c r="I49" s="414">
        <v>149800</v>
      </c>
      <c r="J49" s="13"/>
      <c r="K49" s="14">
        <v>56175</v>
      </c>
      <c r="L49" s="14"/>
      <c r="M49" s="14">
        <f t="shared" si="9"/>
        <v>280875</v>
      </c>
    </row>
    <row r="50" spans="2:13">
      <c r="B50" s="3" t="s">
        <v>32</v>
      </c>
      <c r="C50" s="5">
        <v>3461400</v>
      </c>
      <c r="D50" s="5">
        <v>450000</v>
      </c>
      <c r="E50" s="693">
        <f t="shared" si="8"/>
        <v>3911400</v>
      </c>
      <c r="G50" s="3" t="s">
        <v>32</v>
      </c>
      <c r="H50" s="408">
        <v>120000</v>
      </c>
      <c r="I50" s="420">
        <v>240000</v>
      </c>
      <c r="J50" s="13"/>
      <c r="K50" s="424">
        <v>90000</v>
      </c>
      <c r="L50" s="14"/>
      <c r="M50" s="14">
        <f t="shared" si="9"/>
        <v>450000</v>
      </c>
    </row>
    <row r="51" spans="2:13">
      <c r="B51" s="3" t="s">
        <v>15</v>
      </c>
      <c r="C51" s="5"/>
      <c r="D51" s="5"/>
      <c r="E51" s="693">
        <f t="shared" si="8"/>
        <v>0</v>
      </c>
      <c r="G51" s="3" t="s">
        <v>15</v>
      </c>
      <c r="H51" s="5"/>
      <c r="I51" s="5"/>
      <c r="J51" s="13"/>
      <c r="K51" s="14"/>
      <c r="L51" s="14"/>
      <c r="M51" s="14">
        <f t="shared" si="9"/>
        <v>0</v>
      </c>
    </row>
    <row r="52" spans="2:13">
      <c r="B52" s="3" t="s">
        <v>8</v>
      </c>
      <c r="C52" s="693">
        <f t="shared" ref="C52:D52" si="10">SUM(C33:C51)</f>
        <v>7476081683.71</v>
      </c>
      <c r="D52" s="693">
        <f t="shared" si="10"/>
        <v>1581367500</v>
      </c>
      <c r="E52" s="693">
        <f>SUM(E33:E51)</f>
        <v>9057449183.7099991</v>
      </c>
      <c r="G52" s="3" t="s">
        <v>8</v>
      </c>
      <c r="H52" s="13">
        <f>SUM(H33:H51)</f>
        <v>423696100</v>
      </c>
      <c r="I52" s="13">
        <f>SUM(I33:I51)</f>
        <v>847392200</v>
      </c>
      <c r="J52" s="13">
        <f t="shared" ref="J52:M52" si="11">SUM(J33:J51)</f>
        <v>59500000</v>
      </c>
      <c r="K52" s="13">
        <f t="shared" si="11"/>
        <v>198249200</v>
      </c>
      <c r="L52" s="13">
        <f t="shared" si="11"/>
        <v>52530000</v>
      </c>
      <c r="M52" s="13">
        <f t="shared" si="11"/>
        <v>1581367500</v>
      </c>
    </row>
    <row r="54" spans="2:13">
      <c r="B54" s="2">
        <v>2023</v>
      </c>
    </row>
    <row r="56" spans="2:13" ht="151.80000000000001">
      <c r="B56" s="8" t="s">
        <v>69</v>
      </c>
      <c r="C56" s="691" t="s">
        <v>67</v>
      </c>
      <c r="D56" s="691" t="s">
        <v>68</v>
      </c>
      <c r="E56" s="691" t="s">
        <v>8</v>
      </c>
      <c r="G56" s="10" t="s">
        <v>69</v>
      </c>
      <c r="H56" s="11" t="s">
        <v>70</v>
      </c>
      <c r="I56" s="11" t="s">
        <v>71</v>
      </c>
      <c r="J56" s="11" t="s">
        <v>72</v>
      </c>
      <c r="K56" s="12" t="s">
        <v>73</v>
      </c>
      <c r="L56" s="12" t="s">
        <v>74</v>
      </c>
      <c r="M56" s="12" t="s">
        <v>8</v>
      </c>
    </row>
    <row r="57" spans="2:13">
      <c r="B57" s="3" t="s">
        <v>3</v>
      </c>
      <c r="C57" s="4">
        <v>407180700</v>
      </c>
      <c r="D57" s="4">
        <v>125415000</v>
      </c>
      <c r="E57" s="692">
        <f>SUM(C57:D57)</f>
        <v>532595700</v>
      </c>
      <c r="G57" s="3" t="s">
        <v>3</v>
      </c>
      <c r="H57" s="401">
        <v>18580000</v>
      </c>
      <c r="I57" s="414">
        <v>37160000</v>
      </c>
      <c r="J57" s="13"/>
      <c r="K57" s="424">
        <v>13935000</v>
      </c>
      <c r="L57" s="434">
        <v>55740000</v>
      </c>
      <c r="M57" s="14">
        <f>SUM(H57:L57)</f>
        <v>125415000</v>
      </c>
    </row>
    <row r="58" spans="2:13" ht="27.6">
      <c r="B58" s="3" t="s">
        <v>20</v>
      </c>
      <c r="C58" s="4">
        <v>94539487.5</v>
      </c>
      <c r="D58" s="4">
        <v>12290625</v>
      </c>
      <c r="E58" s="692">
        <f t="shared" ref="E58:E75" si="12">SUM(C58:D58)</f>
        <v>106830112.5</v>
      </c>
      <c r="G58" s="3" t="s">
        <v>20</v>
      </c>
      <c r="H58" s="401">
        <v>3277500</v>
      </c>
      <c r="I58" s="414">
        <v>6555000</v>
      </c>
      <c r="J58" s="13"/>
      <c r="K58" s="424">
        <v>2458125</v>
      </c>
      <c r="L58" s="14"/>
      <c r="M58" s="14">
        <f t="shared" ref="M58:M75" si="13">SUM(H58:L58)</f>
        <v>12290625</v>
      </c>
    </row>
    <row r="59" spans="2:13" ht="27.6">
      <c r="B59" s="3" t="s">
        <v>21</v>
      </c>
      <c r="C59" s="4">
        <v>27763312.5</v>
      </c>
      <c r="D59" s="4">
        <v>3609375</v>
      </c>
      <c r="E59" s="692">
        <f t="shared" si="12"/>
        <v>31372687.5</v>
      </c>
      <c r="F59" s="9">
        <f>SUM(F45:F58)+H49</f>
        <v>74900</v>
      </c>
      <c r="G59" s="3" t="s">
        <v>21</v>
      </c>
      <c r="H59" s="401">
        <v>962500</v>
      </c>
      <c r="I59" s="414">
        <v>1925000</v>
      </c>
      <c r="J59" s="13"/>
      <c r="K59" s="424">
        <v>721875</v>
      </c>
      <c r="L59" s="14"/>
      <c r="M59" s="14">
        <f t="shared" si="13"/>
        <v>3609375</v>
      </c>
    </row>
    <row r="60" spans="2:13">
      <c r="B60" s="3" t="s">
        <v>22</v>
      </c>
      <c r="C60" s="4">
        <v>25202700</v>
      </c>
      <c r="D60" s="4">
        <v>9225000</v>
      </c>
      <c r="E60" s="692">
        <f t="shared" si="12"/>
        <v>34427700</v>
      </c>
      <c r="G60" s="3" t="s">
        <v>22</v>
      </c>
      <c r="H60" s="401">
        <v>2460000</v>
      </c>
      <c r="I60" s="414">
        <v>4920000</v>
      </c>
      <c r="J60" s="13"/>
      <c r="K60" s="424">
        <v>1845000</v>
      </c>
      <c r="L60" s="14"/>
      <c r="M60" s="14">
        <f t="shared" si="13"/>
        <v>9225000</v>
      </c>
    </row>
    <row r="61" spans="2:13">
      <c r="B61" s="3" t="s">
        <v>23</v>
      </c>
      <c r="C61" s="4">
        <v>252231900</v>
      </c>
      <c r="D61" s="4">
        <v>92325000</v>
      </c>
      <c r="E61" s="692">
        <f t="shared" si="12"/>
        <v>344556900</v>
      </c>
      <c r="G61" s="3" t="s">
        <v>23</v>
      </c>
      <c r="H61" s="401">
        <v>24620000</v>
      </c>
      <c r="I61" s="414">
        <v>49240000</v>
      </c>
      <c r="J61" s="13"/>
      <c r="K61" s="424">
        <v>18465000</v>
      </c>
      <c r="L61" s="14"/>
      <c r="M61" s="14">
        <f t="shared" si="13"/>
        <v>92325000</v>
      </c>
    </row>
    <row r="62" spans="2:13">
      <c r="B62" s="3" t="s">
        <v>24</v>
      </c>
      <c r="C62" s="4">
        <v>3471034595.8299999</v>
      </c>
      <c r="D62" s="4">
        <v>622125000</v>
      </c>
      <c r="E62" s="692">
        <f t="shared" si="12"/>
        <v>4093159595.8299999</v>
      </c>
      <c r="G62" s="3" t="s">
        <v>24</v>
      </c>
      <c r="H62" s="401">
        <v>165900000</v>
      </c>
      <c r="I62" s="414">
        <v>331800000</v>
      </c>
      <c r="J62" s="13"/>
      <c r="K62" s="424">
        <v>124425000</v>
      </c>
      <c r="L62" s="14"/>
      <c r="M62" s="14">
        <f t="shared" si="13"/>
        <v>622125000</v>
      </c>
    </row>
    <row r="63" spans="2:13">
      <c r="B63" s="3" t="s">
        <v>25</v>
      </c>
      <c r="C63" s="4">
        <v>13845600</v>
      </c>
      <c r="D63" s="4">
        <v>1800000</v>
      </c>
      <c r="E63" s="692">
        <f t="shared" si="12"/>
        <v>15645600</v>
      </c>
      <c r="G63" s="3" t="s">
        <v>25</v>
      </c>
      <c r="H63" s="401">
        <v>480000</v>
      </c>
      <c r="I63" s="414">
        <v>960000</v>
      </c>
      <c r="J63" s="13"/>
      <c r="K63" s="424">
        <v>360000</v>
      </c>
      <c r="L63" s="14"/>
      <c r="M63" s="14">
        <f t="shared" si="13"/>
        <v>1800000</v>
      </c>
    </row>
    <row r="64" spans="2:13">
      <c r="B64" s="3" t="s">
        <v>10</v>
      </c>
      <c r="C64" s="4">
        <v>357101100</v>
      </c>
      <c r="D64" s="4">
        <v>46425000</v>
      </c>
      <c r="E64" s="692">
        <f t="shared" si="12"/>
        <v>403526100</v>
      </c>
      <c r="G64" s="3" t="s">
        <v>10</v>
      </c>
      <c r="H64" s="401">
        <v>12380000</v>
      </c>
      <c r="I64" s="414">
        <v>24760000</v>
      </c>
      <c r="J64" s="13"/>
      <c r="K64" s="424">
        <v>9285000</v>
      </c>
      <c r="L64" s="14"/>
      <c r="M64" s="14">
        <f t="shared" si="13"/>
        <v>46425000</v>
      </c>
    </row>
    <row r="65" spans="2:13">
      <c r="B65" s="3" t="s">
        <v>11</v>
      </c>
      <c r="C65" s="4">
        <v>71535600</v>
      </c>
      <c r="D65" s="4">
        <v>9300000</v>
      </c>
      <c r="E65" s="692">
        <f t="shared" si="12"/>
        <v>80835600</v>
      </c>
      <c r="G65" s="3" t="s">
        <v>11</v>
      </c>
      <c r="H65" s="401">
        <v>2480000</v>
      </c>
      <c r="I65" s="414">
        <v>4960000</v>
      </c>
      <c r="J65" s="13"/>
      <c r="K65" s="424">
        <v>1860000</v>
      </c>
      <c r="L65" s="14"/>
      <c r="M65" s="14">
        <f t="shared" si="13"/>
        <v>9300000</v>
      </c>
    </row>
    <row r="66" spans="2:13">
      <c r="B66" s="3" t="s">
        <v>26</v>
      </c>
      <c r="C66" s="4">
        <v>1452600</v>
      </c>
      <c r="D66" s="4">
        <v>31122000</v>
      </c>
      <c r="E66" s="692">
        <f t="shared" si="12"/>
        <v>32574600</v>
      </c>
      <c r="G66" s="3" t="s">
        <v>26</v>
      </c>
      <c r="H66" s="401">
        <v>360000</v>
      </c>
      <c r="I66" s="414">
        <v>720000</v>
      </c>
      <c r="J66" s="423">
        <v>25200000</v>
      </c>
      <c r="K66" s="424">
        <v>4842000</v>
      </c>
      <c r="L66" s="14"/>
      <c r="M66" s="14">
        <f t="shared" si="13"/>
        <v>31122000</v>
      </c>
    </row>
    <row r="67" spans="2:13" ht="27.6">
      <c r="B67" s="3" t="s">
        <v>27</v>
      </c>
      <c r="C67" s="4">
        <v>2178900</v>
      </c>
      <c r="D67" s="4">
        <v>46683000</v>
      </c>
      <c r="E67" s="692">
        <f t="shared" si="12"/>
        <v>48861900</v>
      </c>
      <c r="G67" s="3" t="s">
        <v>27</v>
      </c>
      <c r="H67" s="401">
        <v>540000</v>
      </c>
      <c r="I67" s="414">
        <v>1080000</v>
      </c>
      <c r="J67" s="423">
        <v>37800000</v>
      </c>
      <c r="K67" s="424">
        <v>7263000</v>
      </c>
      <c r="L67" s="14"/>
      <c r="M67" s="14">
        <f t="shared" si="13"/>
        <v>46683000</v>
      </c>
    </row>
    <row r="68" spans="2:13">
      <c r="B68" s="3" t="s">
        <v>4</v>
      </c>
      <c r="C68" s="4">
        <v>40959900</v>
      </c>
      <c r="D68" s="4">
        <v>5325000</v>
      </c>
      <c r="E68" s="692">
        <f t="shared" si="12"/>
        <v>46284900</v>
      </c>
      <c r="G68" s="3" t="s">
        <v>4</v>
      </c>
      <c r="H68" s="401">
        <v>1420000</v>
      </c>
      <c r="I68" s="414">
        <v>2840000</v>
      </c>
      <c r="J68" s="13"/>
      <c r="K68" s="424">
        <v>1065000</v>
      </c>
      <c r="L68" s="14"/>
      <c r="M68" s="14">
        <f t="shared" si="13"/>
        <v>5325000</v>
      </c>
    </row>
    <row r="69" spans="2:13">
      <c r="B69" s="3" t="s">
        <v>12</v>
      </c>
      <c r="C69" s="5">
        <v>5381134.1114999996</v>
      </c>
      <c r="D69" s="5">
        <v>20270085.850000001</v>
      </c>
      <c r="E69" s="692">
        <f t="shared" si="12"/>
        <v>25651219.9615</v>
      </c>
      <c r="G69" s="3" t="s">
        <v>12</v>
      </c>
      <c r="H69" s="408">
        <v>382454.45</v>
      </c>
      <c r="I69" s="420">
        <v>764908.9</v>
      </c>
      <c r="J69" s="13"/>
      <c r="K69" s="424">
        <v>19122722.5</v>
      </c>
      <c r="L69" s="14"/>
      <c r="M69" s="14">
        <f t="shared" si="13"/>
        <v>20270085.850000001</v>
      </c>
    </row>
    <row r="70" spans="2:13">
      <c r="B70" s="3" t="s">
        <v>28</v>
      </c>
      <c r="C70" s="5">
        <v>268801350</v>
      </c>
      <c r="D70" s="5">
        <v>36862500</v>
      </c>
      <c r="E70" s="692">
        <f t="shared" si="12"/>
        <v>305663850</v>
      </c>
      <c r="G70" s="3" t="s">
        <v>28</v>
      </c>
      <c r="H70" s="408">
        <v>9830000</v>
      </c>
      <c r="I70" s="420">
        <v>19660000</v>
      </c>
      <c r="J70" s="13"/>
      <c r="K70" s="14">
        <v>7372500</v>
      </c>
      <c r="L70" s="14"/>
      <c r="M70" s="14">
        <f t="shared" si="13"/>
        <v>36862500</v>
      </c>
    </row>
    <row r="71" spans="2:13">
      <c r="B71" s="3" t="s">
        <v>29</v>
      </c>
      <c r="C71" s="4">
        <v>3014697020.8800001</v>
      </c>
      <c r="D71" s="4">
        <v>604200000</v>
      </c>
      <c r="E71" s="692">
        <f t="shared" si="12"/>
        <v>3618897020.8800001</v>
      </c>
      <c r="G71" s="3" t="s">
        <v>29</v>
      </c>
      <c r="H71" s="401">
        <v>201400000</v>
      </c>
      <c r="I71" s="414">
        <v>402800000</v>
      </c>
      <c r="J71" s="13"/>
      <c r="K71" s="14"/>
      <c r="L71" s="14"/>
      <c r="M71" s="14">
        <f t="shared" si="13"/>
        <v>604200000</v>
      </c>
    </row>
    <row r="72" spans="2:13">
      <c r="B72" s="3" t="s">
        <v>30</v>
      </c>
      <c r="C72" s="5">
        <v>353363.65334999998</v>
      </c>
      <c r="D72" s="5">
        <v>45939.112500000003</v>
      </c>
      <c r="E72" s="692">
        <f t="shared" si="12"/>
        <v>399302.76584999997</v>
      </c>
      <c r="G72" s="3" t="s">
        <v>30</v>
      </c>
      <c r="H72" s="408">
        <v>12250.43</v>
      </c>
      <c r="I72" s="420">
        <v>24500.86</v>
      </c>
      <c r="J72" s="13"/>
      <c r="K72" s="424">
        <v>9187.8225000000002</v>
      </c>
      <c r="L72" s="14"/>
      <c r="M72" s="14">
        <f t="shared" si="13"/>
        <v>45939.112500000003</v>
      </c>
    </row>
    <row r="73" spans="2:13" ht="27.6">
      <c r="B73" s="3" t="s">
        <v>31</v>
      </c>
      <c r="C73" s="4">
        <v>2473545.57345</v>
      </c>
      <c r="D73" s="4">
        <v>321573.78749999998</v>
      </c>
      <c r="E73" s="692">
        <f t="shared" si="12"/>
        <v>2795119.3609500001</v>
      </c>
      <c r="G73" s="3" t="s">
        <v>31</v>
      </c>
      <c r="H73" s="401">
        <v>85753.01</v>
      </c>
      <c r="I73" s="414">
        <v>171506.02</v>
      </c>
      <c r="J73" s="13"/>
      <c r="K73" s="14">
        <v>64314.7575</v>
      </c>
      <c r="L73" s="14"/>
      <c r="M73" s="14">
        <f t="shared" si="13"/>
        <v>321573.78749999998</v>
      </c>
    </row>
    <row r="74" spans="2:13">
      <c r="B74" s="3" t="s">
        <v>32</v>
      </c>
      <c r="C74" s="5">
        <v>3749850</v>
      </c>
      <c r="D74" s="5">
        <v>487500</v>
      </c>
      <c r="E74" s="693">
        <f t="shared" si="12"/>
        <v>4237350</v>
      </c>
      <c r="G74" s="3" t="s">
        <v>32</v>
      </c>
      <c r="H74" s="408">
        <v>130000</v>
      </c>
      <c r="I74" s="420">
        <v>260000</v>
      </c>
      <c r="J74" s="13"/>
      <c r="K74" s="424">
        <v>97500</v>
      </c>
      <c r="L74" s="14"/>
      <c r="M74" s="14">
        <f t="shared" si="13"/>
        <v>487500</v>
      </c>
    </row>
    <row r="75" spans="2:13">
      <c r="B75" s="3" t="s">
        <v>15</v>
      </c>
      <c r="C75" s="5"/>
      <c r="D75" s="5"/>
      <c r="E75" s="693">
        <f t="shared" si="12"/>
        <v>0</v>
      </c>
      <c r="G75" s="3" t="s">
        <v>15</v>
      </c>
      <c r="H75" s="5"/>
      <c r="I75" s="5"/>
      <c r="J75" s="13"/>
      <c r="K75" s="14"/>
      <c r="L75" s="14"/>
      <c r="M75" s="14">
        <f t="shared" si="13"/>
        <v>0</v>
      </c>
    </row>
    <row r="76" spans="2:13">
      <c r="B76" s="3" t="s">
        <v>8</v>
      </c>
      <c r="C76" s="693">
        <f t="shared" ref="C76:D76" si="14">SUM(C57:C75)</f>
        <v>8060482660.0482998</v>
      </c>
      <c r="D76" s="693">
        <f t="shared" si="14"/>
        <v>1667832598.7499998</v>
      </c>
      <c r="E76" s="693">
        <f>SUM(E57:E75)</f>
        <v>9728315258.7983017</v>
      </c>
      <c r="G76" s="3" t="s">
        <v>8</v>
      </c>
      <c r="H76" s="13">
        <f>SUM(H57:H75)</f>
        <v>445300457.88999999</v>
      </c>
      <c r="I76" s="13">
        <f>SUM(I57:I75)</f>
        <v>890600915.77999997</v>
      </c>
      <c r="J76" s="13">
        <f t="shared" ref="J76:M76" si="15">SUM(J57:J75)</f>
        <v>63000000</v>
      </c>
      <c r="K76" s="13">
        <f>SUM(K57:K75)</f>
        <v>213191225.07999998</v>
      </c>
      <c r="L76" s="13">
        <f t="shared" si="15"/>
        <v>55740000</v>
      </c>
      <c r="M76" s="13">
        <f t="shared" si="15"/>
        <v>1667832598.7499998</v>
      </c>
    </row>
    <row r="79" spans="2:13">
      <c r="B79" s="2">
        <v>2022</v>
      </c>
    </row>
    <row r="81" spans="2:13" ht="151.80000000000001">
      <c r="B81" s="8" t="s">
        <v>69</v>
      </c>
      <c r="C81" s="691" t="s">
        <v>67</v>
      </c>
      <c r="D81" s="691" t="s">
        <v>68</v>
      </c>
      <c r="E81" s="691" t="s">
        <v>8</v>
      </c>
      <c r="G81" s="10" t="s">
        <v>69</v>
      </c>
      <c r="H81" s="11" t="s">
        <v>70</v>
      </c>
      <c r="I81" s="11" t="s">
        <v>71</v>
      </c>
      <c r="J81" s="11" t="s">
        <v>72</v>
      </c>
      <c r="K81" s="12" t="s">
        <v>73</v>
      </c>
      <c r="L81" s="12" t="s">
        <v>74</v>
      </c>
      <c r="M81" s="12" t="s">
        <v>8</v>
      </c>
    </row>
    <row r="82" spans="2:13">
      <c r="B82" s="3" t="s">
        <v>3</v>
      </c>
      <c r="C82" s="4">
        <v>395346600</v>
      </c>
      <c r="D82" s="4">
        <v>121770000</v>
      </c>
      <c r="E82" s="692">
        <f>SUM(C82:D82)</f>
        <v>517116600</v>
      </c>
      <c r="G82" s="3" t="s">
        <v>3</v>
      </c>
      <c r="H82" s="401">
        <v>18040000</v>
      </c>
      <c r="I82" s="414">
        <v>36080000</v>
      </c>
      <c r="J82" s="13"/>
      <c r="K82" s="424">
        <v>13530000</v>
      </c>
      <c r="L82" s="434">
        <v>54120000</v>
      </c>
      <c r="M82" s="14">
        <f>SUM(H82:L82)</f>
        <v>121770000</v>
      </c>
    </row>
    <row r="83" spans="2:13" ht="27.6">
      <c r="B83" s="3" t="s">
        <v>20</v>
      </c>
      <c r="C83" s="4">
        <v>91727100</v>
      </c>
      <c r="D83" s="4">
        <v>11925000</v>
      </c>
      <c r="E83" s="692">
        <f t="shared" ref="E83:E100" si="16">SUM(C83:D83)</f>
        <v>103652100</v>
      </c>
      <c r="G83" s="3" t="s">
        <v>20</v>
      </c>
      <c r="H83" s="401">
        <v>3180000</v>
      </c>
      <c r="I83" s="414">
        <v>6360000</v>
      </c>
      <c r="J83" s="13"/>
      <c r="K83" s="424">
        <v>2385000</v>
      </c>
      <c r="L83" s="14"/>
      <c r="M83" s="14">
        <f t="shared" ref="M83:M100" si="17">SUM(H83:L83)</f>
        <v>11925000</v>
      </c>
    </row>
    <row r="84" spans="2:13" ht="27.6">
      <c r="B84" s="3" t="s">
        <v>21</v>
      </c>
      <c r="C84" s="4">
        <v>30575700</v>
      </c>
      <c r="D84" s="4">
        <v>3975000</v>
      </c>
      <c r="E84" s="692">
        <f t="shared" si="16"/>
        <v>34550700</v>
      </c>
      <c r="G84" s="3" t="s">
        <v>21</v>
      </c>
      <c r="H84" s="401">
        <v>1060000</v>
      </c>
      <c r="I84" s="414">
        <v>2120000</v>
      </c>
      <c r="J84" s="13"/>
      <c r="K84" s="424">
        <v>795000</v>
      </c>
      <c r="L84" s="14"/>
      <c r="M84" s="14">
        <f t="shared" si="17"/>
        <v>3975000</v>
      </c>
    </row>
    <row r="85" spans="2:13">
      <c r="B85" s="3" t="s">
        <v>22</v>
      </c>
      <c r="C85" s="4">
        <v>24485550</v>
      </c>
      <c r="D85" s="4">
        <v>8962500</v>
      </c>
      <c r="E85" s="692">
        <f t="shared" si="16"/>
        <v>33448050</v>
      </c>
      <c r="G85" s="3" t="s">
        <v>22</v>
      </c>
      <c r="H85" s="401">
        <v>2390000</v>
      </c>
      <c r="I85" s="414">
        <v>4780000</v>
      </c>
      <c r="J85" s="13"/>
      <c r="K85" s="424">
        <v>1792500</v>
      </c>
      <c r="L85" s="14"/>
      <c r="M85" s="14">
        <f t="shared" si="17"/>
        <v>8962500</v>
      </c>
    </row>
    <row r="86" spans="2:13">
      <c r="B86" s="3" t="s">
        <v>23</v>
      </c>
      <c r="C86" s="4">
        <v>244855500</v>
      </c>
      <c r="D86" s="4">
        <v>89625000</v>
      </c>
      <c r="E86" s="692">
        <f t="shared" si="16"/>
        <v>334480500</v>
      </c>
      <c r="G86" s="3" t="s">
        <v>23</v>
      </c>
      <c r="H86" s="401">
        <v>23900000</v>
      </c>
      <c r="I86" s="414">
        <v>47800000</v>
      </c>
      <c r="J86" s="13"/>
      <c r="K86" s="424">
        <v>17925000</v>
      </c>
      <c r="L86" s="14"/>
      <c r="M86" s="14">
        <f t="shared" si="17"/>
        <v>89625000</v>
      </c>
    </row>
    <row r="87" spans="2:13">
      <c r="B87" s="3" t="s">
        <v>24</v>
      </c>
      <c r="C87" s="4">
        <v>3287291945.8299999</v>
      </c>
      <c r="D87" s="4">
        <v>598237500</v>
      </c>
      <c r="E87" s="692">
        <f t="shared" si="16"/>
        <v>3885529445.8299999</v>
      </c>
      <c r="G87" s="3" t="s">
        <v>24</v>
      </c>
      <c r="H87" s="401">
        <v>159530000</v>
      </c>
      <c r="I87" s="414">
        <v>319060000</v>
      </c>
      <c r="J87" s="13"/>
      <c r="K87" s="424">
        <v>119647500</v>
      </c>
      <c r="L87" s="14"/>
      <c r="M87" s="14">
        <f t="shared" si="17"/>
        <v>598237500</v>
      </c>
    </row>
    <row r="88" spans="2:13">
      <c r="B88" s="3" t="s">
        <v>25</v>
      </c>
      <c r="C88" s="4">
        <v>12980250</v>
      </c>
      <c r="D88" s="4">
        <v>1687500</v>
      </c>
      <c r="E88" s="692">
        <f t="shared" si="16"/>
        <v>14667750</v>
      </c>
      <c r="G88" s="3" t="s">
        <v>25</v>
      </c>
      <c r="H88" s="401">
        <v>450000</v>
      </c>
      <c r="I88" s="414">
        <v>900000</v>
      </c>
      <c r="J88" s="13"/>
      <c r="K88" s="424">
        <v>337500</v>
      </c>
      <c r="L88" s="14"/>
      <c r="M88" s="14">
        <f t="shared" si="17"/>
        <v>1687500</v>
      </c>
    </row>
    <row r="89" spans="2:13">
      <c r="B89" s="3" t="s">
        <v>10</v>
      </c>
      <c r="C89" s="4">
        <v>346716900</v>
      </c>
      <c r="D89" s="4">
        <v>45075000</v>
      </c>
      <c r="E89" s="692">
        <f t="shared" si="16"/>
        <v>391791900</v>
      </c>
      <c r="G89" s="3" t="s">
        <v>10</v>
      </c>
      <c r="H89" s="401">
        <v>12020000</v>
      </c>
      <c r="I89" s="414">
        <v>24040000</v>
      </c>
      <c r="J89" s="13"/>
      <c r="K89" s="424">
        <v>9015000</v>
      </c>
      <c r="L89" s="14"/>
      <c r="M89" s="14">
        <f t="shared" si="17"/>
        <v>45075000</v>
      </c>
    </row>
    <row r="90" spans="2:13">
      <c r="B90" s="3" t="s">
        <v>11</v>
      </c>
      <c r="C90" s="4">
        <v>69228000</v>
      </c>
      <c r="D90" s="4">
        <v>9000000</v>
      </c>
      <c r="E90" s="692">
        <f t="shared" si="16"/>
        <v>78228000</v>
      </c>
      <c r="G90" s="3" t="s">
        <v>11</v>
      </c>
      <c r="H90" s="401">
        <v>2400000</v>
      </c>
      <c r="I90" s="414">
        <v>4800000</v>
      </c>
      <c r="J90" s="13"/>
      <c r="K90" s="424">
        <v>1800000</v>
      </c>
      <c r="L90" s="14"/>
      <c r="M90" s="14">
        <f t="shared" si="17"/>
        <v>9000000</v>
      </c>
    </row>
    <row r="91" spans="2:13">
      <c r="B91" s="3" t="s">
        <v>26</v>
      </c>
      <c r="C91" s="4">
        <v>1420320</v>
      </c>
      <c r="D91" s="4">
        <v>30430400</v>
      </c>
      <c r="E91" s="692">
        <f t="shared" si="16"/>
        <v>31850720</v>
      </c>
      <c r="G91" s="3" t="s">
        <v>26</v>
      </c>
      <c r="H91" s="401">
        <v>352000</v>
      </c>
      <c r="I91" s="414">
        <v>704000</v>
      </c>
      <c r="J91" s="423">
        <v>24640000</v>
      </c>
      <c r="K91" s="424">
        <v>4734400</v>
      </c>
      <c r="L91" s="14"/>
      <c r="M91" s="14">
        <f t="shared" si="17"/>
        <v>30430400</v>
      </c>
    </row>
    <row r="92" spans="2:13" ht="27.6">
      <c r="B92" s="3" t="s">
        <v>27</v>
      </c>
      <c r="C92" s="4">
        <v>2130480</v>
      </c>
      <c r="D92" s="4">
        <v>45645600</v>
      </c>
      <c r="E92" s="692">
        <f t="shared" si="16"/>
        <v>47776080</v>
      </c>
      <c r="G92" s="3" t="s">
        <v>27</v>
      </c>
      <c r="H92" s="401">
        <v>528000</v>
      </c>
      <c r="I92" s="414">
        <v>1056000</v>
      </c>
      <c r="J92" s="423">
        <v>36960000</v>
      </c>
      <c r="K92" s="424">
        <v>7101600</v>
      </c>
      <c r="L92" s="14"/>
      <c r="M92" s="14">
        <f t="shared" si="17"/>
        <v>45645600</v>
      </c>
    </row>
    <row r="93" spans="2:13">
      <c r="B93" s="3" t="s">
        <v>4</v>
      </c>
      <c r="C93" s="4">
        <v>38940750</v>
      </c>
      <c r="D93" s="4">
        <v>5062500</v>
      </c>
      <c r="E93" s="692">
        <f t="shared" si="16"/>
        <v>44003250</v>
      </c>
      <c r="G93" s="3" t="s">
        <v>4</v>
      </c>
      <c r="H93" s="401">
        <v>1350000</v>
      </c>
      <c r="I93" s="414">
        <v>2700000</v>
      </c>
      <c r="J93" s="13"/>
      <c r="K93" s="424">
        <v>1012500</v>
      </c>
      <c r="L93" s="14"/>
      <c r="M93" s="14">
        <f t="shared" si="17"/>
        <v>5062500</v>
      </c>
    </row>
    <row r="94" spans="2:13">
      <c r="B94" s="3" t="s">
        <v>12</v>
      </c>
      <c r="C94" s="5">
        <v>5224402.05</v>
      </c>
      <c r="D94" s="5">
        <v>19679695</v>
      </c>
      <c r="E94" s="692">
        <f t="shared" si="16"/>
        <v>24904097.050000001</v>
      </c>
      <c r="G94" s="3" t="s">
        <v>12</v>
      </c>
      <c r="H94" s="408">
        <v>371315</v>
      </c>
      <c r="I94" s="420">
        <v>742630</v>
      </c>
      <c r="J94" s="13"/>
      <c r="K94" s="424">
        <v>18565750</v>
      </c>
      <c r="L94" s="14"/>
      <c r="M94" s="14">
        <f t="shared" si="17"/>
        <v>19679695</v>
      </c>
    </row>
    <row r="95" spans="2:13">
      <c r="B95" s="3" t="s">
        <v>28</v>
      </c>
      <c r="C95" s="5">
        <v>251300550</v>
      </c>
      <c r="D95" s="5">
        <v>34462500</v>
      </c>
      <c r="E95" s="692">
        <f t="shared" si="16"/>
        <v>285763050</v>
      </c>
      <c r="G95" s="3" t="s">
        <v>28</v>
      </c>
      <c r="H95" s="408">
        <v>9190000</v>
      </c>
      <c r="I95" s="420">
        <v>18380000</v>
      </c>
      <c r="J95" s="13"/>
      <c r="K95" s="14">
        <v>6892500</v>
      </c>
      <c r="L95" s="14"/>
      <c r="M95" s="14">
        <f t="shared" si="17"/>
        <v>34462500</v>
      </c>
    </row>
    <row r="96" spans="2:13">
      <c r="B96" s="3" t="s">
        <v>29</v>
      </c>
      <c r="C96" s="4">
        <v>2956557020.8800001</v>
      </c>
      <c r="D96" s="4">
        <v>598200000</v>
      </c>
      <c r="E96" s="692">
        <f t="shared" si="16"/>
        <v>3554757020.8800001</v>
      </c>
      <c r="G96" s="3" t="s">
        <v>29</v>
      </c>
      <c r="H96" s="401">
        <v>199400000</v>
      </c>
      <c r="I96" s="414">
        <v>398800000</v>
      </c>
      <c r="J96" s="13"/>
      <c r="K96" s="14"/>
      <c r="L96" s="14"/>
      <c r="M96" s="14">
        <f t="shared" si="17"/>
        <v>598200000</v>
      </c>
    </row>
    <row r="97" spans="2:13">
      <c r="B97" s="3" t="s">
        <v>30</v>
      </c>
      <c r="C97" s="5">
        <v>330246.40500000003</v>
      </c>
      <c r="D97" s="5">
        <v>42933.75</v>
      </c>
      <c r="E97" s="692">
        <f t="shared" si="16"/>
        <v>373180.15500000003</v>
      </c>
      <c r="G97" s="3" t="s">
        <v>30</v>
      </c>
      <c r="H97" s="408">
        <v>11449</v>
      </c>
      <c r="I97" s="420">
        <v>22898</v>
      </c>
      <c r="J97" s="13"/>
      <c r="K97" s="424">
        <v>8586.75</v>
      </c>
      <c r="L97" s="14"/>
      <c r="M97" s="14">
        <f t="shared" si="17"/>
        <v>42933.75</v>
      </c>
    </row>
    <row r="98" spans="2:13" ht="27.6">
      <c r="B98" s="3" t="s">
        <v>31</v>
      </c>
      <c r="C98" s="4">
        <v>2311724.835</v>
      </c>
      <c r="D98" s="4">
        <v>300536.25</v>
      </c>
      <c r="E98" s="692">
        <f t="shared" si="16"/>
        <v>2612261.085</v>
      </c>
      <c r="G98" s="3" t="s">
        <v>31</v>
      </c>
      <c r="H98" s="401">
        <v>80143</v>
      </c>
      <c r="I98" s="414">
        <v>160286</v>
      </c>
      <c r="J98" s="13"/>
      <c r="K98" s="14">
        <v>60107.25</v>
      </c>
      <c r="L98" s="14"/>
      <c r="M98" s="14">
        <f t="shared" si="17"/>
        <v>300536.25</v>
      </c>
    </row>
    <row r="99" spans="2:13">
      <c r="B99" s="3" t="s">
        <v>32</v>
      </c>
      <c r="C99" s="5">
        <v>3749850</v>
      </c>
      <c r="D99" s="5">
        <v>487500</v>
      </c>
      <c r="E99" s="693">
        <f t="shared" si="16"/>
        <v>4237350</v>
      </c>
      <c r="G99" s="3" t="s">
        <v>32</v>
      </c>
      <c r="H99" s="408">
        <v>130000</v>
      </c>
      <c r="I99" s="420">
        <v>260000</v>
      </c>
      <c r="J99" s="13"/>
      <c r="K99" s="424">
        <v>97500</v>
      </c>
      <c r="L99" s="14"/>
      <c r="M99" s="14">
        <f t="shared" si="17"/>
        <v>487500</v>
      </c>
    </row>
    <row r="100" spans="2:13">
      <c r="B100" s="3" t="s">
        <v>15</v>
      </c>
      <c r="C100" s="5"/>
      <c r="D100" s="5"/>
      <c r="E100" s="693">
        <f t="shared" si="16"/>
        <v>0</v>
      </c>
      <c r="G100" s="3" t="s">
        <v>15</v>
      </c>
      <c r="H100" s="5"/>
      <c r="I100" s="5"/>
      <c r="J100" s="13"/>
      <c r="K100" s="14"/>
      <c r="L100" s="14"/>
      <c r="M100" s="14">
        <f t="shared" si="17"/>
        <v>0</v>
      </c>
    </row>
    <row r="101" spans="2:13">
      <c r="B101" s="3" t="s">
        <v>8</v>
      </c>
      <c r="C101" s="693">
        <f t="shared" ref="C101:D101" si="18">SUM(C82:C100)</f>
        <v>7765172890</v>
      </c>
      <c r="D101" s="693">
        <f t="shared" si="18"/>
        <v>1624569165</v>
      </c>
      <c r="E101" s="693">
        <f>SUM(E82:E100)</f>
        <v>9389742055</v>
      </c>
      <c r="G101" s="3" t="s">
        <v>8</v>
      </c>
      <c r="H101" s="13">
        <f>SUM(H82:H100)</f>
        <v>434382907</v>
      </c>
      <c r="I101" s="13">
        <f>SUM(I82:I100)</f>
        <v>868765814</v>
      </c>
      <c r="J101" s="13">
        <f t="shared" ref="J101:M101" si="19">SUM(J82:J100)</f>
        <v>61600000</v>
      </c>
      <c r="K101" s="13">
        <f t="shared" si="19"/>
        <v>205700444</v>
      </c>
      <c r="L101" s="13">
        <f t="shared" si="19"/>
        <v>54120000</v>
      </c>
      <c r="M101" s="13">
        <f t="shared" si="19"/>
        <v>1624569165</v>
      </c>
    </row>
  </sheetData>
  <mergeCells count="3">
    <mergeCell ref="G4:M4"/>
    <mergeCell ref="B4:E4"/>
    <mergeCell ref="B3:E3"/>
  </mergeCells>
  <pageMargins left="0.70866141732283472" right="0.70866141732283472" top="0.74803149606299213" bottom="0.74803149606299213" header="0.31496062992125984" footer="0.31496062992125984"/>
  <pageSetup paperSize="9" orientation="portrait"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B2:X82"/>
  <sheetViews>
    <sheetView topLeftCell="B40" zoomScale="60" zoomScaleNormal="60" zoomScalePageLayoutView="60" workbookViewId="0">
      <selection activeCell="F60" sqref="F60"/>
    </sheetView>
  </sheetViews>
  <sheetFormatPr baseColWidth="10" defaultColWidth="11.44140625" defaultRowHeight="14.4"/>
  <cols>
    <col min="1" max="1" width="11.44140625" style="15"/>
    <col min="2" max="2" width="34.33203125" style="15" customWidth="1"/>
    <col min="3" max="3" width="29.33203125" style="16" customWidth="1"/>
    <col min="4" max="4" width="19.44140625" style="16" bestFit="1" customWidth="1"/>
    <col min="5" max="6" width="19" style="16" customWidth="1"/>
    <col min="7" max="7" width="25.6640625" style="16" customWidth="1"/>
    <col min="8" max="20" width="19" style="16" customWidth="1"/>
    <col min="21" max="21" width="19.44140625" style="15" bestFit="1" customWidth="1"/>
    <col min="22" max="22" width="17.109375" style="15" bestFit="1" customWidth="1"/>
    <col min="23" max="23" width="14.109375" style="15" bestFit="1" customWidth="1"/>
    <col min="24" max="24" width="13.109375" style="15" bestFit="1" customWidth="1"/>
    <col min="25" max="16384" width="11.44140625" style="15"/>
  </cols>
  <sheetData>
    <row r="2" spans="2:22">
      <c r="B2" s="1811" t="s">
        <v>91</v>
      </c>
      <c r="C2" s="1811"/>
      <c r="D2" s="1811"/>
      <c r="E2" s="1811"/>
      <c r="F2" s="1811"/>
      <c r="G2" s="1811"/>
      <c r="H2" s="1811"/>
      <c r="I2" s="1811"/>
      <c r="J2" s="1811"/>
      <c r="K2" s="1811"/>
      <c r="L2" s="1811"/>
      <c r="M2" s="1811"/>
      <c r="N2" s="1811"/>
      <c r="O2" s="1811"/>
      <c r="P2" s="1811"/>
      <c r="Q2" s="1811"/>
      <c r="R2" s="1811"/>
      <c r="S2" s="1811"/>
      <c r="T2" s="1811"/>
      <c r="U2" s="1811"/>
    </row>
    <row r="3" spans="2:22" ht="248.4">
      <c r="B3" s="28" t="s">
        <v>69</v>
      </c>
      <c r="C3" s="29" t="s">
        <v>77</v>
      </c>
      <c r="D3" s="27" t="s">
        <v>92</v>
      </c>
      <c r="E3" s="27" t="s">
        <v>78</v>
      </c>
      <c r="F3" s="27" t="s">
        <v>79</v>
      </c>
      <c r="G3" s="27" t="s">
        <v>80</v>
      </c>
      <c r="H3" s="27" t="s">
        <v>93</v>
      </c>
      <c r="I3" s="27" t="s">
        <v>81</v>
      </c>
      <c r="J3" s="27" t="s">
        <v>82</v>
      </c>
      <c r="K3" s="27" t="s">
        <v>83</v>
      </c>
      <c r="L3" s="27" t="s">
        <v>84</v>
      </c>
      <c r="M3" s="27" t="s">
        <v>85</v>
      </c>
      <c r="N3" s="27" t="s">
        <v>86</v>
      </c>
      <c r="O3" s="27" t="s">
        <v>87</v>
      </c>
      <c r="P3" s="27" t="s">
        <v>88</v>
      </c>
      <c r="Q3" s="27" t="s">
        <v>89</v>
      </c>
      <c r="R3" s="27" t="s">
        <v>90</v>
      </c>
      <c r="S3" s="27" t="s">
        <v>94</v>
      </c>
      <c r="T3" s="27" t="s">
        <v>95</v>
      </c>
      <c r="U3" s="28" t="s">
        <v>8</v>
      </c>
    </row>
    <row r="4" spans="2:22">
      <c r="B4" s="18"/>
      <c r="C4" s="19"/>
      <c r="D4" s="21">
        <v>0.6</v>
      </c>
      <c r="E4" s="21">
        <v>0.1</v>
      </c>
      <c r="F4" s="21">
        <v>0.5</v>
      </c>
      <c r="G4" s="21">
        <v>0.5</v>
      </c>
      <c r="H4" s="21">
        <v>1</v>
      </c>
      <c r="I4" s="21">
        <v>0.25</v>
      </c>
      <c r="J4" s="21">
        <v>0.25</v>
      </c>
      <c r="K4" s="21">
        <v>0.5</v>
      </c>
      <c r="L4" s="21">
        <v>0.25</v>
      </c>
      <c r="M4" s="21">
        <v>0.25</v>
      </c>
      <c r="N4" s="21">
        <v>0.1</v>
      </c>
      <c r="O4" s="21">
        <v>0.1</v>
      </c>
      <c r="P4" s="21">
        <v>0.1</v>
      </c>
      <c r="Q4" s="21">
        <v>0.1</v>
      </c>
      <c r="R4" s="21">
        <v>0.1</v>
      </c>
      <c r="S4" s="30">
        <v>0.7</v>
      </c>
      <c r="T4" s="30">
        <v>0.3</v>
      </c>
      <c r="U4" s="18"/>
    </row>
    <row r="5" spans="2:22" ht="27.6">
      <c r="B5" s="22" t="s">
        <v>34</v>
      </c>
      <c r="C5" s="23">
        <v>1200000000</v>
      </c>
      <c r="D5" s="19"/>
      <c r="E5" s="19"/>
      <c r="F5" s="19"/>
      <c r="G5" s="19"/>
      <c r="H5" s="19"/>
      <c r="I5" s="19">
        <v>300000000</v>
      </c>
      <c r="J5" s="19">
        <v>300000000</v>
      </c>
      <c r="K5" s="19">
        <v>600000000</v>
      </c>
      <c r="L5" s="19"/>
      <c r="M5" s="19"/>
      <c r="N5" s="19"/>
      <c r="O5" s="19"/>
      <c r="P5" s="19"/>
      <c r="Q5" s="19"/>
      <c r="R5" s="19"/>
      <c r="S5" s="19"/>
      <c r="T5" s="19"/>
      <c r="U5" s="24">
        <f t="shared" ref="U5:U11" si="0">SUM(D5:T5)</f>
        <v>1200000000</v>
      </c>
      <c r="V5" s="17">
        <f t="shared" ref="V5:V10" si="1">U5-C5</f>
        <v>0</v>
      </c>
    </row>
    <row r="6" spans="2:22" ht="27.6">
      <c r="B6" s="22" t="s">
        <v>35</v>
      </c>
      <c r="C6" s="23">
        <v>8000000</v>
      </c>
      <c r="D6" s="19"/>
      <c r="E6" s="19"/>
      <c r="F6" s="19"/>
      <c r="G6" s="19"/>
      <c r="H6" s="19">
        <v>8000000</v>
      </c>
      <c r="I6" s="19"/>
      <c r="J6" s="19"/>
      <c r="K6" s="19"/>
      <c r="L6" s="19"/>
      <c r="M6" s="19"/>
      <c r="N6" s="19"/>
      <c r="O6" s="19"/>
      <c r="P6" s="19"/>
      <c r="Q6" s="19"/>
      <c r="R6" s="19"/>
      <c r="S6" s="19"/>
      <c r="T6" s="19"/>
      <c r="U6" s="24">
        <f t="shared" si="0"/>
        <v>8000000</v>
      </c>
      <c r="V6" s="17">
        <f t="shared" si="1"/>
        <v>0</v>
      </c>
    </row>
    <row r="7" spans="2:22" ht="27.6">
      <c r="B7" s="22" t="s">
        <v>36</v>
      </c>
      <c r="C7" s="25">
        <v>240000000</v>
      </c>
      <c r="D7" s="19"/>
      <c r="E7" s="19"/>
      <c r="F7" s="19">
        <v>120000000</v>
      </c>
      <c r="G7" s="19">
        <v>120000000</v>
      </c>
      <c r="H7" s="19"/>
      <c r="I7" s="19"/>
      <c r="J7" s="19"/>
      <c r="K7" s="19"/>
      <c r="L7" s="19"/>
      <c r="M7" s="19"/>
      <c r="N7" s="19"/>
      <c r="O7" s="19"/>
      <c r="P7" s="19"/>
      <c r="Q7" s="19"/>
      <c r="R7" s="19"/>
      <c r="S7" s="19"/>
      <c r="T7" s="19"/>
      <c r="U7" s="24">
        <f t="shared" si="0"/>
        <v>240000000</v>
      </c>
      <c r="V7" s="17">
        <f t="shared" si="1"/>
        <v>0</v>
      </c>
    </row>
    <row r="8" spans="2:22">
      <c r="B8" s="22" t="s">
        <v>37</v>
      </c>
      <c r="C8" s="25">
        <v>960000000</v>
      </c>
      <c r="D8" s="19"/>
      <c r="E8" s="19"/>
      <c r="F8" s="19"/>
      <c r="G8" s="19"/>
      <c r="H8" s="19"/>
      <c r="I8" s="19"/>
      <c r="J8" s="19"/>
      <c r="K8" s="19"/>
      <c r="L8" s="19">
        <v>240000000</v>
      </c>
      <c r="M8" s="19">
        <v>240000000</v>
      </c>
      <c r="N8" s="19">
        <v>96000000</v>
      </c>
      <c r="O8" s="19">
        <v>96000000</v>
      </c>
      <c r="P8" s="19">
        <v>96000000</v>
      </c>
      <c r="Q8" s="19">
        <v>96000000</v>
      </c>
      <c r="R8" s="19">
        <v>96000000</v>
      </c>
      <c r="S8" s="19"/>
      <c r="T8" s="19"/>
      <c r="U8" s="24">
        <f t="shared" si="0"/>
        <v>960000000</v>
      </c>
      <c r="V8" s="17">
        <f t="shared" si="1"/>
        <v>0</v>
      </c>
    </row>
    <row r="9" spans="2:22">
      <c r="B9" s="26" t="s">
        <v>38</v>
      </c>
      <c r="C9" s="25">
        <v>3500000000</v>
      </c>
      <c r="D9" s="19">
        <v>3000000000</v>
      </c>
      <c r="E9" s="19">
        <v>500000000</v>
      </c>
      <c r="F9" s="19"/>
      <c r="G9" s="19"/>
      <c r="H9" s="19"/>
      <c r="I9" s="19"/>
      <c r="J9" s="19"/>
      <c r="K9" s="19"/>
      <c r="L9" s="19"/>
      <c r="M9" s="19"/>
      <c r="N9" s="19"/>
      <c r="O9" s="19"/>
      <c r="P9" s="19"/>
      <c r="Q9" s="19"/>
      <c r="R9" s="19"/>
      <c r="S9" s="19"/>
      <c r="T9" s="19"/>
      <c r="U9" s="24">
        <f t="shared" si="0"/>
        <v>3500000000</v>
      </c>
      <c r="V9" s="17">
        <f t="shared" si="1"/>
        <v>0</v>
      </c>
    </row>
    <row r="10" spans="2:22">
      <c r="B10" s="26" t="s">
        <v>39</v>
      </c>
      <c r="C10" s="25">
        <v>1800000000</v>
      </c>
      <c r="D10" s="19"/>
      <c r="E10" s="19"/>
      <c r="F10" s="19"/>
      <c r="G10" s="19"/>
      <c r="H10" s="19"/>
      <c r="I10" s="19"/>
      <c r="J10" s="19"/>
      <c r="K10" s="19"/>
      <c r="L10" s="19"/>
      <c r="M10" s="19"/>
      <c r="N10" s="19"/>
      <c r="O10" s="19"/>
      <c r="P10" s="19"/>
      <c r="Q10" s="19"/>
      <c r="R10" s="19"/>
      <c r="S10" s="19">
        <v>1260000000</v>
      </c>
      <c r="T10" s="19">
        <v>540000000</v>
      </c>
      <c r="U10" s="24">
        <f t="shared" si="0"/>
        <v>1800000000</v>
      </c>
      <c r="V10" s="17">
        <f t="shared" si="1"/>
        <v>0</v>
      </c>
    </row>
    <row r="11" spans="2:22" ht="27.6">
      <c r="B11" s="26" t="s">
        <v>52</v>
      </c>
      <c r="C11" s="25">
        <v>60000000</v>
      </c>
      <c r="D11" s="19"/>
      <c r="E11" s="19"/>
      <c r="F11" s="19"/>
      <c r="G11" s="19"/>
      <c r="H11" s="19"/>
      <c r="I11" s="19"/>
      <c r="J11" s="19"/>
      <c r="K11" s="19"/>
      <c r="L11" s="19"/>
      <c r="M11" s="19"/>
      <c r="N11" s="19"/>
      <c r="O11" s="19"/>
      <c r="P11" s="19"/>
      <c r="Q11" s="19"/>
      <c r="R11" s="19"/>
      <c r="S11" s="19"/>
      <c r="T11" s="19"/>
      <c r="U11" s="24">
        <f t="shared" si="0"/>
        <v>0</v>
      </c>
    </row>
    <row r="12" spans="2:22" ht="41.4">
      <c r="B12" s="26" t="s">
        <v>53</v>
      </c>
      <c r="C12" s="25">
        <v>15000000</v>
      </c>
      <c r="D12" s="19"/>
      <c r="E12" s="19"/>
      <c r="F12" s="19"/>
      <c r="G12" s="19"/>
      <c r="H12" s="19"/>
      <c r="I12" s="19">
        <f>C12*I4</f>
        <v>3750000</v>
      </c>
      <c r="J12" s="19">
        <f>C12*J4</f>
        <v>3750000</v>
      </c>
      <c r="K12" s="19">
        <f>C12*K4</f>
        <v>7500000</v>
      </c>
      <c r="L12" s="19"/>
      <c r="M12" s="19"/>
      <c r="N12" s="19"/>
      <c r="O12" s="19"/>
      <c r="P12" s="19"/>
      <c r="Q12" s="19"/>
      <c r="R12" s="19"/>
      <c r="S12" s="19"/>
      <c r="T12" s="19"/>
      <c r="U12" s="24">
        <f t="shared" ref="U12:U16" si="2">SUM(D12:T12)</f>
        <v>15000000</v>
      </c>
    </row>
    <row r="13" spans="2:22" ht="27.6">
      <c r="B13" s="26" t="s">
        <v>54</v>
      </c>
      <c r="C13" s="25">
        <v>5000000</v>
      </c>
      <c r="D13" s="19"/>
      <c r="E13" s="19"/>
      <c r="F13" s="19">
        <v>5000000</v>
      </c>
      <c r="G13" s="19"/>
      <c r="H13" s="19"/>
      <c r="I13" s="19"/>
      <c r="J13" s="19"/>
      <c r="K13" s="19"/>
      <c r="L13" s="19"/>
      <c r="M13" s="19"/>
      <c r="N13" s="19"/>
      <c r="O13" s="19"/>
      <c r="P13" s="19"/>
      <c r="Q13" s="19"/>
      <c r="R13" s="19"/>
      <c r="S13" s="19"/>
      <c r="T13" s="19"/>
      <c r="U13" s="24">
        <f t="shared" si="2"/>
        <v>5000000</v>
      </c>
    </row>
    <row r="14" spans="2:22" ht="27.6">
      <c r="B14" s="26" t="s">
        <v>55</v>
      </c>
      <c r="C14" s="25">
        <v>15000000</v>
      </c>
      <c r="D14" s="19"/>
      <c r="E14" s="19"/>
      <c r="F14" s="19"/>
      <c r="G14" s="19"/>
      <c r="H14" s="19"/>
      <c r="I14" s="19"/>
      <c r="J14" s="19"/>
      <c r="K14" s="19"/>
      <c r="L14" s="19">
        <f>C14*L4</f>
        <v>3750000</v>
      </c>
      <c r="M14" s="19">
        <f>C14*M4</f>
        <v>3750000</v>
      </c>
      <c r="N14" s="19">
        <f>C14*N4</f>
        <v>1500000</v>
      </c>
      <c r="O14" s="19">
        <f>C14*O4</f>
        <v>1500000</v>
      </c>
      <c r="P14" s="19">
        <f>C14*P4</f>
        <v>1500000</v>
      </c>
      <c r="Q14" s="19">
        <f>C14*Q4</f>
        <v>1500000</v>
      </c>
      <c r="R14" s="19">
        <f>C14*R4</f>
        <v>1500000</v>
      </c>
      <c r="S14" s="19"/>
      <c r="T14" s="19"/>
      <c r="U14" s="24">
        <f t="shared" si="2"/>
        <v>15000000</v>
      </c>
    </row>
    <row r="15" spans="2:22" ht="27.6">
      <c r="B15" s="26" t="s">
        <v>56</v>
      </c>
      <c r="C15" s="25">
        <v>20000000</v>
      </c>
      <c r="D15" s="19"/>
      <c r="E15" s="19"/>
      <c r="F15" s="19"/>
      <c r="G15" s="19"/>
      <c r="H15" s="19"/>
      <c r="I15" s="19"/>
      <c r="J15" s="19"/>
      <c r="K15" s="19"/>
      <c r="L15" s="19"/>
      <c r="M15" s="19"/>
      <c r="N15" s="19"/>
      <c r="O15" s="19"/>
      <c r="P15" s="19"/>
      <c r="Q15" s="19"/>
      <c r="R15" s="19"/>
      <c r="S15" s="19">
        <f>C15*S4</f>
        <v>14000000</v>
      </c>
      <c r="T15" s="19">
        <f>C15*T4</f>
        <v>6000000</v>
      </c>
      <c r="U15" s="24">
        <f t="shared" si="2"/>
        <v>20000000</v>
      </c>
    </row>
    <row r="16" spans="2:22" ht="27.6">
      <c r="B16" s="31" t="s">
        <v>59</v>
      </c>
      <c r="C16" s="23">
        <v>10000000</v>
      </c>
      <c r="D16" s="19"/>
      <c r="E16" s="19">
        <v>10000000</v>
      </c>
      <c r="F16" s="19"/>
      <c r="G16" s="19"/>
      <c r="H16" s="19"/>
      <c r="I16" s="19"/>
      <c r="J16" s="19"/>
      <c r="K16" s="19"/>
      <c r="L16" s="19"/>
      <c r="M16" s="19"/>
      <c r="N16" s="19"/>
      <c r="O16" s="19"/>
      <c r="P16" s="19"/>
      <c r="Q16" s="19"/>
      <c r="R16" s="19"/>
      <c r="S16" s="19"/>
      <c r="T16" s="19"/>
      <c r="U16" s="24">
        <f t="shared" si="2"/>
        <v>10000000</v>
      </c>
    </row>
    <row r="17" spans="2:24">
      <c r="B17" s="18" t="s">
        <v>8</v>
      </c>
      <c r="C17" s="19">
        <f>SUM(C5:C16)</f>
        <v>7833000000</v>
      </c>
      <c r="D17" s="19">
        <f t="shared" ref="D17:U17" si="3">SUM(D5:D15)</f>
        <v>3000000000</v>
      </c>
      <c r="E17" s="19">
        <f t="shared" si="3"/>
        <v>500000000</v>
      </c>
      <c r="F17" s="19">
        <f t="shared" si="3"/>
        <v>125000000</v>
      </c>
      <c r="G17" s="19">
        <f t="shared" si="3"/>
        <v>120000000</v>
      </c>
      <c r="H17" s="19">
        <f t="shared" si="3"/>
        <v>8000000</v>
      </c>
      <c r="I17" s="19">
        <f t="shared" si="3"/>
        <v>303750000</v>
      </c>
      <c r="J17" s="19">
        <f t="shared" si="3"/>
        <v>303750000</v>
      </c>
      <c r="K17" s="19">
        <f t="shared" si="3"/>
        <v>607500000</v>
      </c>
      <c r="L17" s="19">
        <f t="shared" si="3"/>
        <v>243750000</v>
      </c>
      <c r="M17" s="19">
        <f t="shared" si="3"/>
        <v>243750000</v>
      </c>
      <c r="N17" s="19">
        <f t="shared" si="3"/>
        <v>97500000</v>
      </c>
      <c r="O17" s="19">
        <f t="shared" si="3"/>
        <v>97500000</v>
      </c>
      <c r="P17" s="19">
        <f t="shared" si="3"/>
        <v>97500000</v>
      </c>
      <c r="Q17" s="19">
        <f t="shared" si="3"/>
        <v>97500000</v>
      </c>
      <c r="R17" s="19">
        <f t="shared" si="3"/>
        <v>97500000</v>
      </c>
      <c r="S17" s="19">
        <f t="shared" si="3"/>
        <v>1274000000</v>
      </c>
      <c r="T17" s="19">
        <f t="shared" si="3"/>
        <v>546000000</v>
      </c>
      <c r="U17" s="19">
        <f t="shared" si="3"/>
        <v>7763000000</v>
      </c>
    </row>
    <row r="20" spans="2:24" ht="15" thickBot="1">
      <c r="C20" s="16">
        <f>F37+F59+F82</f>
        <v>19198053375</v>
      </c>
    </row>
    <row r="21" spans="2:24" ht="15" thickBot="1">
      <c r="B21" s="576"/>
      <c r="C21" s="577"/>
      <c r="D21" s="577"/>
      <c r="E21" s="577"/>
      <c r="F21" s="577"/>
      <c r="G21" s="633" t="s">
        <v>605</v>
      </c>
      <c r="H21" s="634"/>
      <c r="I21" s="635"/>
      <c r="J21" s="578"/>
      <c r="K21" s="636" t="s">
        <v>606</v>
      </c>
      <c r="L21" s="637"/>
      <c r="M21" s="638" t="s">
        <v>607</v>
      </c>
      <c r="N21" s="638"/>
      <c r="O21" s="638"/>
      <c r="P21" s="1803" t="s">
        <v>608</v>
      </c>
      <c r="Q21" s="1804"/>
      <c r="R21" s="1804"/>
      <c r="S21" s="1804"/>
      <c r="T21" s="1804"/>
      <c r="U21" s="1804"/>
      <c r="V21" s="1805"/>
      <c r="W21" s="1809" t="s">
        <v>609</v>
      </c>
      <c r="X21" s="1810"/>
    </row>
    <row r="22" spans="2:24" ht="103.2">
      <c r="B22" s="579" t="s">
        <v>610</v>
      </c>
      <c r="C22" s="580" t="s">
        <v>611</v>
      </c>
      <c r="D22" s="581">
        <v>0.8</v>
      </c>
      <c r="E22" s="582" t="s">
        <v>612</v>
      </c>
      <c r="F22" s="582" t="s">
        <v>613</v>
      </c>
      <c r="G22" s="582" t="s">
        <v>615</v>
      </c>
      <c r="H22" s="583" t="s">
        <v>78</v>
      </c>
      <c r="I22" s="583" t="s">
        <v>614</v>
      </c>
      <c r="J22" s="583" t="s">
        <v>79</v>
      </c>
      <c r="K22" s="583" t="s">
        <v>80</v>
      </c>
      <c r="L22" s="583" t="s">
        <v>616</v>
      </c>
      <c r="M22" s="583" t="s">
        <v>81</v>
      </c>
      <c r="N22" s="583" t="s">
        <v>82</v>
      </c>
      <c r="O22" s="583" t="s">
        <v>83</v>
      </c>
      <c r="P22" s="584" t="s">
        <v>84</v>
      </c>
      <c r="Q22" s="582" t="s">
        <v>85</v>
      </c>
      <c r="R22" s="582" t="s">
        <v>86</v>
      </c>
      <c r="S22" s="582" t="s">
        <v>87</v>
      </c>
      <c r="T22" s="582" t="s">
        <v>88</v>
      </c>
      <c r="U22" s="582" t="s">
        <v>89</v>
      </c>
      <c r="V22" s="585" t="s">
        <v>90</v>
      </c>
      <c r="W22" s="586" t="s">
        <v>617</v>
      </c>
      <c r="X22" s="587" t="s">
        <v>618</v>
      </c>
    </row>
    <row r="23" spans="2:24">
      <c r="B23" s="588" t="s">
        <v>0</v>
      </c>
      <c r="C23" s="589">
        <v>1</v>
      </c>
      <c r="D23" s="590"/>
      <c r="E23" s="591">
        <v>0.2</v>
      </c>
      <c r="F23" s="592"/>
      <c r="G23" s="592">
        <v>0.6</v>
      </c>
      <c r="H23" s="592">
        <v>0.1</v>
      </c>
      <c r="I23" s="592">
        <v>0.1</v>
      </c>
      <c r="J23" s="592">
        <v>0.5</v>
      </c>
      <c r="K23" s="592">
        <v>0.5</v>
      </c>
      <c r="L23" s="592">
        <v>1</v>
      </c>
      <c r="M23" s="592">
        <v>0.25</v>
      </c>
      <c r="N23" s="592">
        <v>0.25</v>
      </c>
      <c r="O23" s="592">
        <v>0.5</v>
      </c>
      <c r="P23" s="593">
        <v>0.25</v>
      </c>
      <c r="Q23" s="591">
        <v>0.25</v>
      </c>
      <c r="R23" s="591">
        <v>0.1</v>
      </c>
      <c r="S23" s="591">
        <v>0.1</v>
      </c>
      <c r="T23" s="591">
        <v>0.1</v>
      </c>
      <c r="U23" s="591">
        <v>0.1</v>
      </c>
      <c r="V23" s="594">
        <v>0.1</v>
      </c>
      <c r="W23" s="595">
        <v>0.7</v>
      </c>
      <c r="X23" s="595">
        <v>0.3</v>
      </c>
    </row>
    <row r="24" spans="2:24">
      <c r="B24" s="596" t="s">
        <v>34</v>
      </c>
      <c r="C24" s="597">
        <v>1350000000</v>
      </c>
      <c r="D24" s="598">
        <f>+C24*D22</f>
        <v>1080000000</v>
      </c>
      <c r="E24" s="599">
        <f>+C24*E23</f>
        <v>270000000</v>
      </c>
      <c r="F24" s="600">
        <f>+C24-E24</f>
        <v>1080000000</v>
      </c>
      <c r="G24" s="600"/>
      <c r="H24" s="600"/>
      <c r="I24" s="600"/>
      <c r="J24" s="600"/>
      <c r="K24" s="600"/>
      <c r="L24" s="600"/>
      <c r="M24" s="600">
        <f>+M23*D24</f>
        <v>270000000</v>
      </c>
      <c r="N24" s="600">
        <f>+N23*D24</f>
        <v>270000000</v>
      </c>
      <c r="O24" s="600">
        <f>+O23*D24</f>
        <v>540000000</v>
      </c>
      <c r="P24" s="601"/>
      <c r="Q24" s="599"/>
      <c r="R24" s="599"/>
      <c r="S24" s="599"/>
      <c r="T24" s="599"/>
      <c r="U24" s="599"/>
      <c r="V24" s="602"/>
      <c r="W24" s="603"/>
      <c r="X24" s="604"/>
    </row>
    <row r="25" spans="2:24">
      <c r="B25" s="596" t="s">
        <v>35</v>
      </c>
      <c r="C25" s="605">
        <v>9000000</v>
      </c>
      <c r="D25" s="598">
        <f>+C25*D22</f>
        <v>7200000</v>
      </c>
      <c r="E25" s="599">
        <f>C25*E23</f>
        <v>1800000</v>
      </c>
      <c r="F25" s="600">
        <f>+C25-E25</f>
        <v>7200000</v>
      </c>
      <c r="G25" s="600"/>
      <c r="H25" s="600"/>
      <c r="I25" s="600"/>
      <c r="J25" s="600"/>
      <c r="K25" s="600"/>
      <c r="L25" s="600">
        <f>+F25*L23</f>
        <v>7200000</v>
      </c>
      <c r="M25" s="600"/>
      <c r="N25" s="600"/>
      <c r="O25" s="600"/>
      <c r="P25" s="601"/>
      <c r="Q25" s="599"/>
      <c r="R25" s="599"/>
      <c r="S25" s="599"/>
      <c r="T25" s="599"/>
      <c r="U25" s="599"/>
      <c r="V25" s="602"/>
      <c r="W25" s="603"/>
      <c r="X25" s="604"/>
    </row>
    <row r="26" spans="2:24">
      <c r="B26" s="596" t="s">
        <v>36</v>
      </c>
      <c r="C26" s="597">
        <v>270000000</v>
      </c>
      <c r="D26" s="598">
        <f>+C26*D22</f>
        <v>216000000</v>
      </c>
      <c r="E26" s="599">
        <f>+C26*E23</f>
        <v>54000000</v>
      </c>
      <c r="F26" s="600">
        <f>+C26-E26</f>
        <v>216000000</v>
      </c>
      <c r="G26" s="600"/>
      <c r="H26" s="600"/>
      <c r="I26" s="600"/>
      <c r="J26" s="600">
        <f>+F26*J23</f>
        <v>108000000</v>
      </c>
      <c r="K26" s="600">
        <f>+F26*K23</f>
        <v>108000000</v>
      </c>
      <c r="L26" s="600"/>
      <c r="M26" s="600"/>
      <c r="N26" s="600"/>
      <c r="O26" s="600"/>
      <c r="P26" s="601"/>
      <c r="Q26" s="599"/>
      <c r="R26" s="599"/>
      <c r="S26" s="599"/>
      <c r="T26" s="599"/>
      <c r="U26" s="599"/>
      <c r="V26" s="602"/>
      <c r="W26" s="603"/>
      <c r="X26" s="604"/>
    </row>
    <row r="27" spans="2:24">
      <c r="B27" s="596" t="s">
        <v>37</v>
      </c>
      <c r="C27" s="597">
        <v>1080000000</v>
      </c>
      <c r="D27" s="598">
        <f>+C27*D22</f>
        <v>864000000</v>
      </c>
      <c r="E27" s="599">
        <f>+C27*E23</f>
        <v>216000000</v>
      </c>
      <c r="F27" s="600">
        <f>+C27-E27</f>
        <v>864000000</v>
      </c>
      <c r="G27" s="600"/>
      <c r="H27" s="600"/>
      <c r="I27" s="600"/>
      <c r="J27" s="600"/>
      <c r="K27" s="600"/>
      <c r="L27" s="600"/>
      <c r="M27" s="600"/>
      <c r="N27" s="600"/>
      <c r="O27" s="600"/>
      <c r="P27" s="601">
        <f>+F27*P23</f>
        <v>216000000</v>
      </c>
      <c r="Q27" s="599">
        <f>+F27*Q23</f>
        <v>216000000</v>
      </c>
      <c r="R27" s="599">
        <f>+F27*R23</f>
        <v>86400000</v>
      </c>
      <c r="S27" s="599">
        <f>+F27*S23</f>
        <v>86400000</v>
      </c>
      <c r="T27" s="599">
        <f>+F27*T23</f>
        <v>86400000</v>
      </c>
      <c r="U27" s="599">
        <f>+U23*F27</f>
        <v>86400000</v>
      </c>
      <c r="V27" s="602">
        <f>+V23*F27</f>
        <v>86400000</v>
      </c>
      <c r="W27" s="603"/>
      <c r="X27" s="604"/>
    </row>
    <row r="28" spans="2:24">
      <c r="B28" s="596" t="s">
        <v>38</v>
      </c>
      <c r="C28" s="597">
        <v>4500000000</v>
      </c>
      <c r="D28" s="598">
        <f>+C28*D22</f>
        <v>3600000000</v>
      </c>
      <c r="E28" s="599">
        <f>+C28*E23</f>
        <v>900000000</v>
      </c>
      <c r="F28" s="606">
        <f>+C28-E28-H28-I28</f>
        <v>2700000000</v>
      </c>
      <c r="G28" s="600">
        <f>+C28-E28-H28-I28</f>
        <v>2700000000</v>
      </c>
      <c r="H28" s="600">
        <f>+C28*H23</f>
        <v>450000000</v>
      </c>
      <c r="I28" s="600">
        <f>+C28*I23</f>
        <v>450000000</v>
      </c>
      <c r="J28" s="600"/>
      <c r="K28" s="600"/>
      <c r="L28" s="600"/>
      <c r="M28" s="600"/>
      <c r="N28" s="600"/>
      <c r="O28" s="600"/>
      <c r="P28" s="601"/>
      <c r="Q28" s="599"/>
      <c r="R28" s="599"/>
      <c r="S28" s="599"/>
      <c r="T28" s="599"/>
      <c r="U28" s="599"/>
      <c r="V28" s="602"/>
      <c r="W28" s="603"/>
      <c r="X28" s="604"/>
    </row>
    <row r="29" spans="2:24">
      <c r="B29" s="596" t="s">
        <v>39</v>
      </c>
      <c r="C29" s="607">
        <v>1620000000</v>
      </c>
      <c r="D29" s="598">
        <v>0</v>
      </c>
      <c r="E29" s="599">
        <v>0</v>
      </c>
      <c r="F29" s="600">
        <f>+C29-E29</f>
        <v>1620000000</v>
      </c>
      <c r="G29" s="600"/>
      <c r="H29" s="600"/>
      <c r="I29" s="600"/>
      <c r="J29" s="600"/>
      <c r="K29" s="600"/>
      <c r="L29" s="600"/>
      <c r="M29" s="600"/>
      <c r="N29" s="600"/>
      <c r="O29" s="600"/>
      <c r="P29" s="601"/>
      <c r="Q29" s="599"/>
      <c r="R29" s="599"/>
      <c r="S29" s="599"/>
      <c r="T29" s="599"/>
      <c r="U29" s="599"/>
      <c r="V29" s="602"/>
      <c r="W29" s="608">
        <f>+F29*W23</f>
        <v>1134000000</v>
      </c>
      <c r="X29" s="608">
        <f>+F29*X23</f>
        <v>486000000</v>
      </c>
    </row>
    <row r="30" spans="2:24">
      <c r="B30" s="609" t="s">
        <v>52</v>
      </c>
      <c r="C30" s="610">
        <v>61800000</v>
      </c>
      <c r="D30" s="610"/>
      <c r="E30" s="611"/>
      <c r="F30" s="612">
        <v>61800000</v>
      </c>
      <c r="G30" s="612">
        <f>C30</f>
        <v>61800000</v>
      </c>
      <c r="H30" s="612"/>
      <c r="I30" s="612"/>
      <c r="J30" s="612"/>
      <c r="K30" s="612"/>
      <c r="L30" s="612"/>
      <c r="M30" s="612"/>
      <c r="N30" s="612"/>
      <c r="O30" s="612"/>
      <c r="P30" s="613"/>
      <c r="Q30" s="611"/>
      <c r="R30" s="611"/>
      <c r="S30" s="611"/>
      <c r="T30" s="611"/>
      <c r="U30" s="611"/>
      <c r="V30" s="614"/>
      <c r="W30" s="603"/>
      <c r="X30" s="604"/>
    </row>
    <row r="31" spans="2:24" ht="21.6">
      <c r="B31" s="609" t="s">
        <v>53</v>
      </c>
      <c r="C31" s="610">
        <v>15450000</v>
      </c>
      <c r="D31" s="610"/>
      <c r="E31" s="611"/>
      <c r="F31" s="612">
        <v>15450000</v>
      </c>
      <c r="G31" s="612"/>
      <c r="H31" s="612"/>
      <c r="I31" s="612"/>
      <c r="J31" s="612"/>
      <c r="K31" s="612"/>
      <c r="L31" s="612"/>
      <c r="M31" s="612">
        <f>C31*M23</f>
        <v>3862500</v>
      </c>
      <c r="N31" s="612">
        <f>C31*N23</f>
        <v>3862500</v>
      </c>
      <c r="O31" s="612">
        <f>C31*O23</f>
        <v>7725000</v>
      </c>
      <c r="P31" s="613"/>
      <c r="Q31" s="611"/>
      <c r="R31" s="611"/>
      <c r="S31" s="611"/>
      <c r="T31" s="611"/>
      <c r="U31" s="611"/>
      <c r="V31" s="614"/>
      <c r="W31" s="603"/>
      <c r="X31" s="604"/>
    </row>
    <row r="32" spans="2:24">
      <c r="B32" s="609" t="s">
        <v>54</v>
      </c>
      <c r="C32" s="610">
        <v>5150000</v>
      </c>
      <c r="D32" s="610"/>
      <c r="E32" s="611"/>
      <c r="F32" s="612">
        <v>5150000</v>
      </c>
      <c r="G32" s="612"/>
      <c r="H32" s="612"/>
      <c r="I32" s="612"/>
      <c r="J32" s="612">
        <f>C32*J23</f>
        <v>2575000</v>
      </c>
      <c r="K32" s="612">
        <f>C32*K23</f>
        <v>2575000</v>
      </c>
      <c r="L32" s="612"/>
      <c r="M32" s="612"/>
      <c r="N32" s="612"/>
      <c r="O32" s="612"/>
      <c r="P32" s="613"/>
      <c r="Q32" s="611"/>
      <c r="R32" s="611"/>
      <c r="S32" s="611"/>
      <c r="T32" s="611"/>
      <c r="U32" s="611"/>
      <c r="V32" s="614"/>
      <c r="W32" s="603"/>
      <c r="X32" s="604"/>
    </row>
    <row r="33" spans="2:24" ht="21.6">
      <c r="B33" s="609" t="s">
        <v>55</v>
      </c>
      <c r="C33" s="610">
        <v>15450000</v>
      </c>
      <c r="D33" s="610"/>
      <c r="E33" s="611"/>
      <c r="F33" s="612">
        <v>15450000</v>
      </c>
      <c r="G33" s="612"/>
      <c r="H33" s="612"/>
      <c r="I33" s="612"/>
      <c r="J33" s="612"/>
      <c r="K33" s="612"/>
      <c r="L33" s="612"/>
      <c r="M33" s="612"/>
      <c r="N33" s="612"/>
      <c r="O33" s="612"/>
      <c r="P33" s="613">
        <f>C33*P23</f>
        <v>3862500</v>
      </c>
      <c r="Q33" s="613">
        <f>C33*Q23</f>
        <v>3862500</v>
      </c>
      <c r="R33" s="613">
        <f>C33*R23</f>
        <v>1545000</v>
      </c>
      <c r="S33" s="613">
        <f>C33*S23</f>
        <v>1545000</v>
      </c>
      <c r="T33" s="613">
        <f>C33*T23</f>
        <v>1545000</v>
      </c>
      <c r="U33" s="613">
        <f>C33*U23</f>
        <v>1545000</v>
      </c>
      <c r="V33" s="613">
        <f>C33*V23</f>
        <v>1545000</v>
      </c>
      <c r="W33" s="603"/>
      <c r="X33" s="604"/>
    </row>
    <row r="34" spans="2:24" ht="21.6">
      <c r="B34" s="609" t="s">
        <v>56</v>
      </c>
      <c r="C34" s="610">
        <v>20600000</v>
      </c>
      <c r="D34" s="610"/>
      <c r="E34" s="611"/>
      <c r="F34" s="612">
        <v>20600000</v>
      </c>
      <c r="G34" s="612"/>
      <c r="H34" s="612"/>
      <c r="I34" s="612"/>
      <c r="J34" s="612"/>
      <c r="K34" s="612"/>
      <c r="L34" s="612"/>
      <c r="M34" s="612"/>
      <c r="N34" s="612"/>
      <c r="O34" s="612"/>
      <c r="P34" s="613"/>
      <c r="Q34" s="611"/>
      <c r="R34" s="611"/>
      <c r="S34" s="611"/>
      <c r="T34" s="611"/>
      <c r="U34" s="611"/>
      <c r="V34" s="614"/>
      <c r="W34" s="603">
        <f>C34*W23</f>
        <v>14420000</v>
      </c>
      <c r="X34" s="603">
        <f>C34*X23</f>
        <v>6180000</v>
      </c>
    </row>
    <row r="35" spans="2:24" ht="24.45" customHeight="1">
      <c r="B35" s="609" t="s">
        <v>59</v>
      </c>
      <c r="C35" s="610">
        <v>10300000</v>
      </c>
      <c r="D35" s="610"/>
      <c r="E35" s="611"/>
      <c r="F35" s="612">
        <v>10300000</v>
      </c>
      <c r="G35" s="612"/>
      <c r="H35" s="612">
        <f>C35</f>
        <v>10300000</v>
      </c>
      <c r="I35" s="612"/>
      <c r="J35" s="612"/>
      <c r="K35" s="612"/>
      <c r="L35" s="612"/>
      <c r="M35" s="612"/>
      <c r="N35" s="612"/>
      <c r="O35" s="612"/>
      <c r="P35" s="613"/>
      <c r="Q35" s="611"/>
      <c r="R35" s="611"/>
      <c r="S35" s="611"/>
      <c r="T35" s="611"/>
      <c r="U35" s="611"/>
      <c r="V35" s="614"/>
      <c r="W35" s="603"/>
      <c r="X35" s="604"/>
    </row>
    <row r="36" spans="2:24">
      <c r="B36" s="596"/>
      <c r="C36" s="615"/>
      <c r="D36" s="615"/>
      <c r="E36" s="616"/>
      <c r="F36" s="617"/>
      <c r="G36" s="617"/>
      <c r="H36" s="617"/>
      <c r="I36" s="617"/>
      <c r="J36" s="617"/>
      <c r="K36" s="617"/>
      <c r="L36" s="617"/>
      <c r="M36" s="617"/>
      <c r="N36" s="617"/>
      <c r="O36" s="617"/>
      <c r="P36" s="618"/>
      <c r="Q36" s="616"/>
      <c r="R36" s="616"/>
      <c r="S36" s="616"/>
      <c r="T36" s="616"/>
      <c r="U36" s="616"/>
      <c r="V36" s="619"/>
      <c r="W36" s="604"/>
      <c r="X36" s="604"/>
    </row>
    <row r="37" spans="2:24" ht="15" thickBot="1">
      <c r="B37" s="620" t="s">
        <v>8</v>
      </c>
      <c r="C37" s="621">
        <f>SUM(C24:C36)</f>
        <v>8957750000</v>
      </c>
      <c r="D37" s="621">
        <f>SUM(D24:D36)</f>
        <v>5767200000</v>
      </c>
      <c r="E37" s="622">
        <f>SUM(E24:E36)</f>
        <v>1441800000</v>
      </c>
      <c r="F37" s="622">
        <f>SUM(F24:F36)+H28</f>
        <v>7065950000</v>
      </c>
      <c r="G37" s="681">
        <f>SUM(G24:G36)</f>
        <v>2761800000</v>
      </c>
      <c r="H37" s="681">
        <f>+H28+H35</f>
        <v>460300000</v>
      </c>
      <c r="I37" s="622">
        <f>SUM(I24:I36)</f>
        <v>450000000</v>
      </c>
      <c r="J37" s="622">
        <f t="shared" ref="J37:K37" si="4">SUM(J24:J36)</f>
        <v>110575000</v>
      </c>
      <c r="K37" s="622">
        <f t="shared" si="4"/>
        <v>110575000</v>
      </c>
      <c r="L37" s="622">
        <f t="shared" ref="L37:X37" si="5">SUM(L24:L36)</f>
        <v>7200000</v>
      </c>
      <c r="M37" s="622">
        <f t="shared" si="5"/>
        <v>273862500</v>
      </c>
      <c r="N37" s="622">
        <f t="shared" si="5"/>
        <v>273862500</v>
      </c>
      <c r="O37" s="623">
        <f t="shared" si="5"/>
        <v>547725000</v>
      </c>
      <c r="P37" s="624">
        <f t="shared" si="5"/>
        <v>219862500</v>
      </c>
      <c r="Q37" s="624">
        <f t="shared" si="5"/>
        <v>219862500</v>
      </c>
      <c r="R37" s="624">
        <f t="shared" si="5"/>
        <v>87945000</v>
      </c>
      <c r="S37" s="624">
        <f t="shared" si="5"/>
        <v>87945000</v>
      </c>
      <c r="T37" s="622">
        <f t="shared" si="5"/>
        <v>87945000</v>
      </c>
      <c r="U37" s="622">
        <f>SUM(U24:U36)</f>
        <v>87945000</v>
      </c>
      <c r="V37" s="625">
        <f t="shared" si="5"/>
        <v>87945000</v>
      </c>
      <c r="W37" s="625">
        <f t="shared" si="5"/>
        <v>1148420000</v>
      </c>
      <c r="X37" s="625">
        <f t="shared" si="5"/>
        <v>492180000</v>
      </c>
    </row>
    <row r="39" spans="2:24" ht="15" thickBot="1"/>
    <row r="40" spans="2:24">
      <c r="B40" s="626"/>
      <c r="C40" s="577"/>
      <c r="D40" s="577"/>
      <c r="E40" s="577"/>
      <c r="F40" s="577"/>
      <c r="G40" s="577"/>
      <c r="H40" s="577"/>
      <c r="I40" s="577"/>
      <c r="J40" s="577"/>
      <c r="K40" s="577"/>
      <c r="L40" s="577"/>
      <c r="M40" s="577"/>
      <c r="N40" s="577"/>
      <c r="O40" s="577"/>
      <c r="P40" s="577"/>
      <c r="Q40" s="577"/>
      <c r="R40" s="577"/>
      <c r="S40" s="577"/>
      <c r="T40" s="577"/>
      <c r="U40" s="577"/>
      <c r="V40" s="577"/>
      <c r="W40" s="627"/>
      <c r="X40" s="628"/>
    </row>
    <row r="41" spans="2:24" ht="15" thickBot="1">
      <c r="B41" s="629"/>
      <c r="C41" s="577"/>
      <c r="D41" s="577"/>
      <c r="E41" s="577"/>
      <c r="F41" s="577"/>
      <c r="G41" s="577"/>
      <c r="H41" s="577"/>
      <c r="I41" s="577"/>
      <c r="J41" s="577"/>
      <c r="K41" s="577"/>
      <c r="L41" s="577"/>
      <c r="M41" s="577"/>
      <c r="N41" s="577"/>
      <c r="O41" s="577"/>
      <c r="P41" s="577"/>
      <c r="Q41" s="577"/>
      <c r="R41" s="577"/>
      <c r="S41" s="577"/>
      <c r="T41" s="577"/>
      <c r="U41" s="577"/>
      <c r="V41" s="577"/>
      <c r="W41" s="630"/>
      <c r="X41" s="631"/>
    </row>
    <row r="42" spans="2:24" ht="15" thickBot="1">
      <c r="B42" s="576"/>
      <c r="C42" s="577"/>
      <c r="D42" s="577"/>
      <c r="E42" s="577"/>
      <c r="F42" s="577"/>
      <c r="G42" s="1803" t="s">
        <v>605</v>
      </c>
      <c r="H42" s="1804"/>
      <c r="I42" s="1805"/>
      <c r="J42" s="578"/>
      <c r="K42" s="1806" t="s">
        <v>606</v>
      </c>
      <c r="L42" s="1807"/>
      <c r="M42" s="1808" t="s">
        <v>607</v>
      </c>
      <c r="N42" s="1808"/>
      <c r="O42" s="1808"/>
      <c r="P42" s="1803" t="s">
        <v>608</v>
      </c>
      <c r="Q42" s="1804"/>
      <c r="R42" s="1804"/>
      <c r="S42" s="1804"/>
      <c r="T42" s="1804"/>
      <c r="U42" s="1804"/>
      <c r="V42" s="1805"/>
      <c r="W42" s="1809" t="s">
        <v>609</v>
      </c>
      <c r="X42" s="1810"/>
    </row>
    <row r="43" spans="2:24" ht="103.2">
      <c r="B43" s="579" t="s">
        <v>610</v>
      </c>
      <c r="C43" s="580" t="s">
        <v>611</v>
      </c>
      <c r="D43" s="581">
        <v>0.8</v>
      </c>
      <c r="E43" s="582" t="s">
        <v>612</v>
      </c>
      <c r="F43" s="582" t="s">
        <v>613</v>
      </c>
      <c r="G43" s="582" t="s">
        <v>615</v>
      </c>
      <c r="H43" s="583" t="s">
        <v>78</v>
      </c>
      <c r="I43" s="583" t="s">
        <v>614</v>
      </c>
      <c r="J43" s="583" t="s">
        <v>79</v>
      </c>
      <c r="K43" s="583" t="s">
        <v>80</v>
      </c>
      <c r="L43" s="583" t="s">
        <v>616</v>
      </c>
      <c r="M43" s="583" t="s">
        <v>81</v>
      </c>
      <c r="N43" s="583" t="s">
        <v>82</v>
      </c>
      <c r="O43" s="583" t="s">
        <v>83</v>
      </c>
      <c r="P43" s="584" t="s">
        <v>84</v>
      </c>
      <c r="Q43" s="582" t="s">
        <v>85</v>
      </c>
      <c r="R43" s="582" t="s">
        <v>86</v>
      </c>
      <c r="S43" s="582" t="s">
        <v>87</v>
      </c>
      <c r="T43" s="582" t="s">
        <v>88</v>
      </c>
      <c r="U43" s="582" t="s">
        <v>89</v>
      </c>
      <c r="V43" s="585" t="s">
        <v>90</v>
      </c>
      <c r="W43" s="586" t="s">
        <v>617</v>
      </c>
      <c r="X43" s="587" t="s">
        <v>618</v>
      </c>
    </row>
    <row r="44" spans="2:24">
      <c r="B44" s="588" t="s">
        <v>0</v>
      </c>
      <c r="C44" s="589">
        <v>1</v>
      </c>
      <c r="D44" s="590"/>
      <c r="E44" s="591">
        <v>0.2</v>
      </c>
      <c r="F44" s="592"/>
      <c r="G44" s="592">
        <v>0.6</v>
      </c>
      <c r="H44" s="592">
        <v>0.1</v>
      </c>
      <c r="I44" s="592">
        <v>0.1</v>
      </c>
      <c r="J44" s="592">
        <v>0.5</v>
      </c>
      <c r="K44" s="592">
        <v>0.5</v>
      </c>
      <c r="L44" s="592">
        <v>1</v>
      </c>
      <c r="M44" s="592">
        <v>0.25</v>
      </c>
      <c r="N44" s="592">
        <v>0.25</v>
      </c>
      <c r="O44" s="592">
        <v>0.5</v>
      </c>
      <c r="P44" s="593">
        <v>0.25</v>
      </c>
      <c r="Q44" s="591">
        <v>0.25</v>
      </c>
      <c r="R44" s="591">
        <v>0.1</v>
      </c>
      <c r="S44" s="591">
        <v>0.1</v>
      </c>
      <c r="T44" s="591">
        <v>0.1</v>
      </c>
      <c r="U44" s="591">
        <v>0.1</v>
      </c>
      <c r="V44" s="594">
        <v>0.1</v>
      </c>
      <c r="W44" s="595">
        <v>0.7</v>
      </c>
      <c r="X44" s="595">
        <v>0.3</v>
      </c>
    </row>
    <row r="45" spans="2:24">
      <c r="B45" s="596" t="s">
        <v>34</v>
      </c>
      <c r="C45" s="597">
        <v>1215000000</v>
      </c>
      <c r="D45" s="598">
        <f>+C45*D43</f>
        <v>972000000</v>
      </c>
      <c r="E45" s="599">
        <f>+C45*E44</f>
        <v>243000000</v>
      </c>
      <c r="F45" s="600">
        <f>+C45-E45</f>
        <v>972000000</v>
      </c>
      <c r="G45" s="600"/>
      <c r="H45" s="600"/>
      <c r="I45" s="600"/>
      <c r="J45" s="600"/>
      <c r="K45" s="600"/>
      <c r="L45" s="600"/>
      <c r="M45" s="600">
        <f>+M44*D45</f>
        <v>243000000</v>
      </c>
      <c r="N45" s="600">
        <f>+N44*D45</f>
        <v>243000000</v>
      </c>
      <c r="O45" s="600">
        <f>+O44*D45</f>
        <v>486000000</v>
      </c>
      <c r="P45" s="601"/>
      <c r="Q45" s="599"/>
      <c r="R45" s="599"/>
      <c r="S45" s="599"/>
      <c r="T45" s="599"/>
      <c r="U45" s="599"/>
      <c r="V45" s="602"/>
      <c r="W45" s="603"/>
      <c r="X45" s="604"/>
    </row>
    <row r="46" spans="2:24">
      <c r="B46" s="596" t="s">
        <v>35</v>
      </c>
      <c r="C46" s="632">
        <v>8000000</v>
      </c>
      <c r="D46" s="598">
        <f>+C46*D43</f>
        <v>6400000</v>
      </c>
      <c r="E46" s="599">
        <f>C46*E44</f>
        <v>1600000</v>
      </c>
      <c r="F46" s="600">
        <f>+C46-E46</f>
        <v>6400000</v>
      </c>
      <c r="G46" s="600"/>
      <c r="H46" s="600"/>
      <c r="I46" s="600"/>
      <c r="J46" s="600"/>
      <c r="K46" s="600"/>
      <c r="L46" s="600">
        <f>+F46*L44</f>
        <v>6400000</v>
      </c>
      <c r="M46" s="600"/>
      <c r="N46" s="600"/>
      <c r="O46" s="600"/>
      <c r="P46" s="601"/>
      <c r="Q46" s="599"/>
      <c r="R46" s="599"/>
      <c r="S46" s="599"/>
      <c r="T46" s="599"/>
      <c r="U46" s="599"/>
      <c r="V46" s="602"/>
      <c r="W46" s="603"/>
      <c r="X46" s="604"/>
    </row>
    <row r="47" spans="2:24">
      <c r="B47" s="596" t="s">
        <v>36</v>
      </c>
      <c r="C47" s="597">
        <v>243000000</v>
      </c>
      <c r="D47" s="598">
        <f>+C47*D43</f>
        <v>194400000</v>
      </c>
      <c r="E47" s="599">
        <f>+C47*E44</f>
        <v>48600000</v>
      </c>
      <c r="F47" s="600">
        <f>+C47-E47</f>
        <v>194400000</v>
      </c>
      <c r="G47" s="600"/>
      <c r="H47" s="600"/>
      <c r="I47" s="600"/>
      <c r="J47" s="600">
        <f>+F47*J44</f>
        <v>97200000</v>
      </c>
      <c r="K47" s="600">
        <f>+F47*K44</f>
        <v>97200000</v>
      </c>
      <c r="L47" s="600"/>
      <c r="M47" s="600"/>
      <c r="N47" s="600"/>
      <c r="O47" s="600"/>
      <c r="P47" s="601"/>
      <c r="Q47" s="599"/>
      <c r="R47" s="599"/>
      <c r="S47" s="599"/>
      <c r="T47" s="599"/>
      <c r="U47" s="599"/>
      <c r="V47" s="602"/>
      <c r="W47" s="603"/>
      <c r="X47" s="604"/>
    </row>
    <row r="48" spans="2:24">
      <c r="B48" s="596" t="s">
        <v>37</v>
      </c>
      <c r="C48" s="597">
        <v>972000000</v>
      </c>
      <c r="D48" s="598">
        <f>+C48*D43</f>
        <v>777600000</v>
      </c>
      <c r="E48" s="599">
        <f>+C48*E44</f>
        <v>194400000</v>
      </c>
      <c r="F48" s="600">
        <f>+C48-E48</f>
        <v>777600000</v>
      </c>
      <c r="G48" s="600"/>
      <c r="H48" s="600"/>
      <c r="I48" s="600"/>
      <c r="J48" s="600"/>
      <c r="K48" s="600"/>
      <c r="L48" s="600"/>
      <c r="M48" s="600"/>
      <c r="N48" s="600"/>
      <c r="O48" s="600"/>
      <c r="P48" s="601">
        <f>+F48*P44</f>
        <v>194400000</v>
      </c>
      <c r="Q48" s="599">
        <f>+F48*Q44</f>
        <v>194400000</v>
      </c>
      <c r="R48" s="599">
        <f>+F48*R44</f>
        <v>77760000</v>
      </c>
      <c r="S48" s="599">
        <f>+F48*S44</f>
        <v>77760000</v>
      </c>
      <c r="T48" s="599">
        <f>+F48*T44</f>
        <v>77760000</v>
      </c>
      <c r="U48" s="599">
        <f>+U44*F48</f>
        <v>77760000</v>
      </c>
      <c r="V48" s="602">
        <f>+V44*F48</f>
        <v>77760000</v>
      </c>
      <c r="W48" s="603"/>
      <c r="X48" s="604"/>
    </row>
    <row r="49" spans="2:24">
      <c r="B49" s="596" t="s">
        <v>38</v>
      </c>
      <c r="C49" s="597">
        <v>4050000000</v>
      </c>
      <c r="D49" s="598">
        <f>+C49*D43</f>
        <v>3240000000</v>
      </c>
      <c r="E49" s="599">
        <f>+C49*E44</f>
        <v>810000000</v>
      </c>
      <c r="F49" s="606">
        <f>+C49-E49-H49-I49</f>
        <v>2430000000</v>
      </c>
      <c r="G49" s="600">
        <f>+C49-E49-H49-I49</f>
        <v>2430000000</v>
      </c>
      <c r="H49" s="600">
        <f>+C49*H44</f>
        <v>405000000</v>
      </c>
      <c r="I49" s="600">
        <f>+C49*I44</f>
        <v>405000000</v>
      </c>
      <c r="J49" s="600"/>
      <c r="K49" s="600"/>
      <c r="L49" s="600"/>
      <c r="M49" s="600"/>
      <c r="N49" s="600"/>
      <c r="O49" s="600"/>
      <c r="P49" s="601"/>
      <c r="Q49" s="599"/>
      <c r="R49" s="599"/>
      <c r="S49" s="599"/>
      <c r="T49" s="599"/>
      <c r="U49" s="599"/>
      <c r="V49" s="602"/>
      <c r="W49" s="603"/>
      <c r="X49" s="604"/>
    </row>
    <row r="50" spans="2:24">
      <c r="B50" s="596" t="s">
        <v>39</v>
      </c>
      <c r="C50" s="607">
        <v>1458000000</v>
      </c>
      <c r="D50" s="598">
        <v>0</v>
      </c>
      <c r="E50" s="599">
        <v>0</v>
      </c>
      <c r="F50" s="600">
        <f>+C50-E50</f>
        <v>1458000000</v>
      </c>
      <c r="G50" s="600"/>
      <c r="H50" s="600"/>
      <c r="I50" s="600"/>
      <c r="J50" s="600"/>
      <c r="K50" s="600"/>
      <c r="L50" s="600"/>
      <c r="M50" s="600"/>
      <c r="N50" s="600"/>
      <c r="O50" s="600"/>
      <c r="P50" s="601"/>
      <c r="Q50" s="599"/>
      <c r="R50" s="599"/>
      <c r="S50" s="599"/>
      <c r="T50" s="599"/>
      <c r="U50" s="599"/>
      <c r="V50" s="602"/>
      <c r="W50" s="608">
        <f>+F50*W44</f>
        <v>1020599999.9999999</v>
      </c>
      <c r="X50" s="608">
        <f>+F50*X44</f>
        <v>437400000</v>
      </c>
    </row>
    <row r="51" spans="2:24">
      <c r="B51" s="609" t="s">
        <v>52</v>
      </c>
      <c r="C51" s="610">
        <v>63654000</v>
      </c>
      <c r="D51" s="610"/>
      <c r="E51" s="611"/>
      <c r="F51" s="612">
        <v>63654000</v>
      </c>
      <c r="G51" s="612">
        <f>C51</f>
        <v>63654000</v>
      </c>
      <c r="H51" s="612"/>
      <c r="I51" s="612"/>
      <c r="J51" s="612"/>
      <c r="K51" s="612"/>
      <c r="L51" s="612"/>
      <c r="M51" s="612"/>
      <c r="N51" s="612"/>
      <c r="O51" s="612"/>
      <c r="P51" s="613"/>
      <c r="Q51" s="611"/>
      <c r="R51" s="611"/>
      <c r="S51" s="611"/>
      <c r="T51" s="611"/>
      <c r="U51" s="611"/>
      <c r="V51" s="614"/>
      <c r="W51" s="603"/>
      <c r="X51" s="604"/>
    </row>
    <row r="52" spans="2:24" ht="21.6">
      <c r="B52" s="609" t="s">
        <v>53</v>
      </c>
      <c r="C52" s="610">
        <v>15913500</v>
      </c>
      <c r="D52" s="610"/>
      <c r="E52" s="611"/>
      <c r="F52" s="612">
        <v>15913500</v>
      </c>
      <c r="G52" s="612"/>
      <c r="H52" s="612"/>
      <c r="I52" s="612"/>
      <c r="J52" s="612"/>
      <c r="K52" s="612"/>
      <c r="L52" s="612"/>
      <c r="M52" s="612">
        <f>C52*M44</f>
        <v>3978375</v>
      </c>
      <c r="N52" s="612">
        <f>C52*N44</f>
        <v>3978375</v>
      </c>
      <c r="O52" s="612">
        <f>C52*O44</f>
        <v>7956750</v>
      </c>
      <c r="P52" s="613"/>
      <c r="Q52" s="611"/>
      <c r="R52" s="611"/>
      <c r="S52" s="611"/>
      <c r="T52" s="611"/>
      <c r="U52" s="611"/>
      <c r="V52" s="614"/>
      <c r="W52" s="603"/>
      <c r="X52" s="604"/>
    </row>
    <row r="53" spans="2:24">
      <c r="B53" s="609" t="s">
        <v>54</v>
      </c>
      <c r="C53" s="610">
        <v>5304500</v>
      </c>
      <c r="D53" s="610"/>
      <c r="E53" s="611"/>
      <c r="F53" s="612">
        <v>5304500</v>
      </c>
      <c r="G53" s="612"/>
      <c r="H53" s="612"/>
      <c r="I53" s="612"/>
      <c r="J53" s="612">
        <f>C53*J44</f>
        <v>2652250</v>
      </c>
      <c r="K53" s="612">
        <f>C53*K44</f>
        <v>2652250</v>
      </c>
      <c r="L53" s="612"/>
      <c r="M53" s="612"/>
      <c r="N53" s="612"/>
      <c r="O53" s="612"/>
      <c r="P53" s="613"/>
      <c r="Q53" s="611"/>
      <c r="R53" s="611"/>
      <c r="S53" s="611"/>
      <c r="T53" s="611"/>
      <c r="U53" s="611"/>
      <c r="V53" s="614"/>
      <c r="W53" s="603"/>
      <c r="X53" s="604"/>
    </row>
    <row r="54" spans="2:24" ht="21.6">
      <c r="B54" s="609" t="s">
        <v>55</v>
      </c>
      <c r="C54" s="610">
        <v>15913500</v>
      </c>
      <c r="D54" s="610"/>
      <c r="E54" s="611"/>
      <c r="F54" s="612">
        <v>15913500</v>
      </c>
      <c r="G54" s="612"/>
      <c r="H54" s="612"/>
      <c r="I54" s="612"/>
      <c r="J54" s="612"/>
      <c r="K54" s="612"/>
      <c r="L54" s="612"/>
      <c r="M54" s="612"/>
      <c r="N54" s="612"/>
      <c r="O54" s="612"/>
      <c r="P54" s="613">
        <f>$C$54*P44</f>
        <v>3978375</v>
      </c>
      <c r="Q54" s="613">
        <f t="shared" ref="Q54:V54" si="6">$C$54*Q44</f>
        <v>3978375</v>
      </c>
      <c r="R54" s="613">
        <f t="shared" si="6"/>
        <v>1591350</v>
      </c>
      <c r="S54" s="613">
        <f t="shared" si="6"/>
        <v>1591350</v>
      </c>
      <c r="T54" s="613">
        <f t="shared" si="6"/>
        <v>1591350</v>
      </c>
      <c r="U54" s="613">
        <f t="shared" si="6"/>
        <v>1591350</v>
      </c>
      <c r="V54" s="613">
        <f t="shared" si="6"/>
        <v>1591350</v>
      </c>
      <c r="W54" s="603"/>
      <c r="X54" s="604"/>
    </row>
    <row r="55" spans="2:24" ht="21.6">
      <c r="B55" s="609" t="s">
        <v>56</v>
      </c>
      <c r="C55" s="610">
        <v>21218000</v>
      </c>
      <c r="D55" s="610"/>
      <c r="E55" s="611"/>
      <c r="F55" s="612">
        <v>21218000</v>
      </c>
      <c r="G55" s="612"/>
      <c r="H55" s="612"/>
      <c r="I55" s="612"/>
      <c r="J55" s="612"/>
      <c r="K55" s="612"/>
      <c r="L55" s="612"/>
      <c r="M55" s="612"/>
      <c r="N55" s="612"/>
      <c r="O55" s="612"/>
      <c r="P55" s="613"/>
      <c r="Q55" s="611"/>
      <c r="R55" s="611"/>
      <c r="S55" s="611"/>
      <c r="T55" s="611"/>
      <c r="U55" s="611"/>
      <c r="V55" s="614"/>
      <c r="W55" s="603">
        <f>$C$55*W44</f>
        <v>14852599.999999998</v>
      </c>
      <c r="X55" s="603">
        <f>$C$55*X44</f>
        <v>6365400</v>
      </c>
    </row>
    <row r="56" spans="2:24">
      <c r="B56" s="609" t="s">
        <v>59</v>
      </c>
      <c r="C56" s="610">
        <v>10609000</v>
      </c>
      <c r="D56" s="610"/>
      <c r="E56" s="611"/>
      <c r="F56" s="612">
        <v>10609000</v>
      </c>
      <c r="G56" s="612"/>
      <c r="H56" s="612">
        <f>C56</f>
        <v>10609000</v>
      </c>
      <c r="I56" s="612"/>
      <c r="J56" s="612"/>
      <c r="K56" s="612"/>
      <c r="L56" s="612"/>
      <c r="M56" s="612"/>
      <c r="N56" s="612"/>
      <c r="O56" s="612"/>
      <c r="P56" s="613"/>
      <c r="Q56" s="611"/>
      <c r="R56" s="611"/>
      <c r="S56" s="611"/>
      <c r="T56" s="611"/>
      <c r="U56" s="611"/>
      <c r="V56" s="614"/>
      <c r="W56" s="603"/>
      <c r="X56" s="604"/>
    </row>
    <row r="57" spans="2:24">
      <c r="B57" s="609"/>
      <c r="C57" s="610"/>
      <c r="D57" s="610"/>
      <c r="E57" s="611"/>
      <c r="F57" s="612"/>
      <c r="G57" s="612"/>
      <c r="H57" s="612"/>
      <c r="I57" s="612"/>
      <c r="J57" s="612"/>
      <c r="K57" s="612"/>
      <c r="L57" s="612"/>
      <c r="M57" s="612"/>
      <c r="N57" s="612"/>
      <c r="O57" s="612"/>
      <c r="P57" s="613"/>
      <c r="Q57" s="611"/>
      <c r="R57" s="611"/>
      <c r="S57" s="611"/>
      <c r="T57" s="611"/>
      <c r="U57" s="611"/>
      <c r="V57" s="614"/>
      <c r="W57" s="603"/>
      <c r="X57" s="604"/>
    </row>
    <row r="58" spans="2:24">
      <c r="B58" s="596"/>
      <c r="C58" s="615"/>
      <c r="D58" s="615"/>
      <c r="E58" s="616"/>
      <c r="F58" s="617"/>
      <c r="G58" s="617"/>
      <c r="H58" s="617"/>
      <c r="I58" s="617"/>
      <c r="J58" s="617"/>
      <c r="K58" s="617"/>
      <c r="L58" s="617"/>
      <c r="M58" s="617"/>
      <c r="N58" s="617"/>
      <c r="O58" s="617"/>
      <c r="P58" s="618"/>
      <c r="Q58" s="616"/>
      <c r="R58" s="616"/>
      <c r="S58" s="616"/>
      <c r="T58" s="616"/>
      <c r="U58" s="616"/>
      <c r="V58" s="619"/>
      <c r="W58" s="604"/>
      <c r="X58" s="604"/>
    </row>
    <row r="59" spans="2:24" ht="15" thickBot="1">
      <c r="B59" s="620" t="s">
        <v>8</v>
      </c>
      <c r="C59" s="621">
        <f>SUM(C45:C58)</f>
        <v>8078612500</v>
      </c>
      <c r="D59" s="621">
        <f>SUM(D45:D58)</f>
        <v>5190400000</v>
      </c>
      <c r="E59" s="622">
        <f>SUM(E45:E58)</f>
        <v>1297600000</v>
      </c>
      <c r="F59" s="622">
        <f>SUM(F45:F58)+H49</f>
        <v>6376012500</v>
      </c>
      <c r="G59" s="622">
        <f>SUM(G45:G58)</f>
        <v>2493654000</v>
      </c>
      <c r="H59" s="622">
        <f>SUM(H45:H58)</f>
        <v>415609000</v>
      </c>
      <c r="I59" s="622">
        <f t="shared" ref="I59:V59" si="7">SUM(I45:I58)</f>
        <v>405000000</v>
      </c>
      <c r="J59" s="622">
        <f t="shared" si="7"/>
        <v>99852250</v>
      </c>
      <c r="K59" s="622">
        <f t="shared" si="7"/>
        <v>99852250</v>
      </c>
      <c r="L59" s="622">
        <f t="shared" si="7"/>
        <v>6400000</v>
      </c>
      <c r="M59" s="622">
        <f t="shared" si="7"/>
        <v>246978375</v>
      </c>
      <c r="N59" s="622">
        <f t="shared" si="7"/>
        <v>246978375</v>
      </c>
      <c r="O59" s="623">
        <f t="shared" si="7"/>
        <v>493956750</v>
      </c>
      <c r="P59" s="624">
        <f t="shared" si="7"/>
        <v>198378375</v>
      </c>
      <c r="Q59" s="624">
        <f t="shared" si="7"/>
        <v>198378375</v>
      </c>
      <c r="R59" s="624">
        <f t="shared" si="7"/>
        <v>79351350</v>
      </c>
      <c r="S59" s="624">
        <f t="shared" si="7"/>
        <v>79351350</v>
      </c>
      <c r="T59" s="622">
        <f t="shared" si="7"/>
        <v>79351350</v>
      </c>
      <c r="U59" s="622">
        <f t="shared" si="7"/>
        <v>79351350</v>
      </c>
      <c r="V59" s="625">
        <f t="shared" si="7"/>
        <v>79351350</v>
      </c>
      <c r="W59" s="625">
        <f>SUM(W45:W58)</f>
        <v>1035452599.9999999</v>
      </c>
      <c r="X59" s="625">
        <f>SUM(X45:X58)</f>
        <v>443765400</v>
      </c>
    </row>
    <row r="61" spans="2:24" ht="15" thickBot="1">
      <c r="G61" s="16">
        <f>G59+H59+'PLAN FINANCIERO COMPLETO'!K97</f>
        <v>3027263000</v>
      </c>
    </row>
    <row r="62" spans="2:24">
      <c r="B62" s="626"/>
      <c r="C62" s="577"/>
      <c r="D62" s="577"/>
      <c r="E62" s="577"/>
      <c r="F62" s="577"/>
      <c r="G62" s="577"/>
      <c r="H62" s="577"/>
      <c r="I62" s="577"/>
      <c r="J62" s="577"/>
      <c r="K62" s="577"/>
      <c r="L62" s="577"/>
      <c r="M62" s="577"/>
      <c r="N62" s="577"/>
      <c r="O62" s="577"/>
      <c r="P62" s="577"/>
      <c r="Q62" s="577"/>
      <c r="R62" s="577"/>
      <c r="S62" s="577"/>
      <c r="T62" s="577"/>
      <c r="U62" s="577"/>
      <c r="V62" s="577"/>
      <c r="W62" s="627"/>
      <c r="X62" s="628"/>
    </row>
    <row r="63" spans="2:24" ht="15" thickBot="1">
      <c r="B63" s="629"/>
      <c r="C63" s="577"/>
      <c r="D63" s="577"/>
      <c r="E63" s="577"/>
      <c r="F63" s="577"/>
      <c r="G63" s="577"/>
      <c r="H63" s="577"/>
      <c r="I63" s="577"/>
      <c r="J63" s="577"/>
      <c r="K63" s="577"/>
      <c r="L63" s="577"/>
      <c r="M63" s="577"/>
      <c r="N63" s="577"/>
      <c r="O63" s="577"/>
      <c r="P63" s="577"/>
      <c r="Q63" s="577"/>
      <c r="R63" s="577"/>
      <c r="S63" s="577"/>
      <c r="T63" s="577"/>
      <c r="U63" s="577"/>
      <c r="V63" s="577"/>
      <c r="W63" s="630"/>
      <c r="X63" s="631"/>
    </row>
    <row r="64" spans="2:24" ht="15" thickBot="1">
      <c r="B64" s="576"/>
      <c r="C64" s="577"/>
      <c r="D64" s="577"/>
      <c r="E64" s="577"/>
      <c r="F64" s="577"/>
      <c r="G64" s="1803" t="s">
        <v>605</v>
      </c>
      <c r="H64" s="1804"/>
      <c r="I64" s="1805"/>
      <c r="J64" s="578"/>
      <c r="K64" s="1806" t="s">
        <v>606</v>
      </c>
      <c r="L64" s="1807"/>
      <c r="M64" s="1808" t="s">
        <v>607</v>
      </c>
      <c r="N64" s="1808"/>
      <c r="O64" s="1808"/>
      <c r="P64" s="1803" t="s">
        <v>608</v>
      </c>
      <c r="Q64" s="1804"/>
      <c r="R64" s="1804"/>
      <c r="S64" s="1804"/>
      <c r="T64" s="1804"/>
      <c r="U64" s="1804"/>
      <c r="V64" s="1805"/>
      <c r="W64" s="1809" t="s">
        <v>609</v>
      </c>
      <c r="X64" s="1810"/>
    </row>
    <row r="65" spans="2:24" ht="103.2">
      <c r="B65" s="579" t="s">
        <v>610</v>
      </c>
      <c r="C65" s="580" t="s">
        <v>611</v>
      </c>
      <c r="D65" s="581">
        <v>0.8</v>
      </c>
      <c r="E65" s="582" t="s">
        <v>612</v>
      </c>
      <c r="F65" s="582" t="s">
        <v>613</v>
      </c>
      <c r="G65" s="582" t="s">
        <v>615</v>
      </c>
      <c r="H65" s="583" t="s">
        <v>78</v>
      </c>
      <c r="I65" s="583" t="s">
        <v>614</v>
      </c>
      <c r="J65" s="583" t="s">
        <v>79</v>
      </c>
      <c r="K65" s="583" t="s">
        <v>80</v>
      </c>
      <c r="L65" s="583" t="s">
        <v>616</v>
      </c>
      <c r="M65" s="583" t="s">
        <v>81</v>
      </c>
      <c r="N65" s="583" t="s">
        <v>82</v>
      </c>
      <c r="O65" s="583" t="s">
        <v>83</v>
      </c>
      <c r="P65" s="584" t="s">
        <v>84</v>
      </c>
      <c r="Q65" s="582" t="s">
        <v>85</v>
      </c>
      <c r="R65" s="582" t="s">
        <v>86</v>
      </c>
      <c r="S65" s="582" t="s">
        <v>87</v>
      </c>
      <c r="T65" s="582" t="s">
        <v>88</v>
      </c>
      <c r="U65" s="582" t="s">
        <v>89</v>
      </c>
      <c r="V65" s="585" t="s">
        <v>90</v>
      </c>
      <c r="W65" s="586" t="s">
        <v>617</v>
      </c>
      <c r="X65" s="587" t="s">
        <v>618</v>
      </c>
    </row>
    <row r="66" spans="2:24">
      <c r="B66" s="588" t="s">
        <v>0</v>
      </c>
      <c r="C66" s="589">
        <v>1</v>
      </c>
      <c r="D66" s="590"/>
      <c r="E66" s="591">
        <v>0.2</v>
      </c>
      <c r="F66" s="592"/>
      <c r="G66" s="592">
        <v>0.6</v>
      </c>
      <c r="H66" s="592">
        <v>0.1</v>
      </c>
      <c r="I66" s="592">
        <v>0.1</v>
      </c>
      <c r="J66" s="592">
        <v>0.5</v>
      </c>
      <c r="K66" s="592">
        <v>0.5</v>
      </c>
      <c r="L66" s="592">
        <v>1</v>
      </c>
      <c r="M66" s="592">
        <v>0.25</v>
      </c>
      <c r="N66" s="592">
        <v>0.25</v>
      </c>
      <c r="O66" s="592">
        <v>0.5</v>
      </c>
      <c r="P66" s="593">
        <v>0.25</v>
      </c>
      <c r="Q66" s="591">
        <v>0.25</v>
      </c>
      <c r="R66" s="591">
        <v>0.1</v>
      </c>
      <c r="S66" s="591">
        <v>0.1</v>
      </c>
      <c r="T66" s="591">
        <v>0.1</v>
      </c>
      <c r="U66" s="591">
        <v>0.1</v>
      </c>
      <c r="V66" s="594">
        <v>0.1</v>
      </c>
      <c r="W66" s="595">
        <v>0.7</v>
      </c>
      <c r="X66" s="595">
        <v>0.3</v>
      </c>
    </row>
    <row r="67" spans="2:24">
      <c r="B67" s="596" t="s">
        <v>34</v>
      </c>
      <c r="C67" s="597">
        <v>1094000000</v>
      </c>
      <c r="D67" s="598">
        <f>+C67*D65</f>
        <v>875200000</v>
      </c>
      <c r="E67" s="599">
        <f>+C67*E66</f>
        <v>218800000</v>
      </c>
      <c r="F67" s="600">
        <f>+C67-E67</f>
        <v>875200000</v>
      </c>
      <c r="G67" s="600"/>
      <c r="H67" s="600"/>
      <c r="I67" s="600"/>
      <c r="J67" s="600"/>
      <c r="K67" s="600"/>
      <c r="L67" s="600"/>
      <c r="M67" s="600">
        <f>+M66*D67</f>
        <v>218800000</v>
      </c>
      <c r="N67" s="600">
        <f>+N66*D67</f>
        <v>218800000</v>
      </c>
      <c r="O67" s="600">
        <f>+O66*D67</f>
        <v>437600000</v>
      </c>
      <c r="P67" s="601"/>
      <c r="Q67" s="599"/>
      <c r="R67" s="599"/>
      <c r="S67" s="599"/>
      <c r="T67" s="599"/>
      <c r="U67" s="599"/>
      <c r="V67" s="602"/>
      <c r="W67" s="603"/>
      <c r="X67" s="604"/>
    </row>
    <row r="68" spans="2:24">
      <c r="B68" s="596" t="s">
        <v>35</v>
      </c>
      <c r="C68" s="632">
        <v>7000000</v>
      </c>
      <c r="D68" s="598">
        <f>+C68*D65</f>
        <v>5600000</v>
      </c>
      <c r="E68" s="599">
        <f>C68*E66</f>
        <v>1400000</v>
      </c>
      <c r="F68" s="600">
        <f>+C68-E68</f>
        <v>5600000</v>
      </c>
      <c r="G68" s="600"/>
      <c r="H68" s="600"/>
      <c r="I68" s="600"/>
      <c r="J68" s="600"/>
      <c r="K68" s="600"/>
      <c r="L68" s="600">
        <f>+F68*L66</f>
        <v>5600000</v>
      </c>
      <c r="M68" s="600"/>
      <c r="N68" s="600"/>
      <c r="O68" s="600"/>
      <c r="P68" s="601"/>
      <c r="Q68" s="599"/>
      <c r="R68" s="599"/>
      <c r="S68" s="599"/>
      <c r="T68" s="599"/>
      <c r="U68" s="599"/>
      <c r="V68" s="602"/>
      <c r="W68" s="603"/>
      <c r="X68" s="604"/>
    </row>
    <row r="69" spans="2:24">
      <c r="B69" s="596" t="s">
        <v>36</v>
      </c>
      <c r="C69" s="597">
        <v>219000000</v>
      </c>
      <c r="D69" s="598">
        <f>+C69*D65</f>
        <v>175200000</v>
      </c>
      <c r="E69" s="599">
        <f>+C69*E66</f>
        <v>43800000</v>
      </c>
      <c r="F69" s="600">
        <f>+C69-E69</f>
        <v>175200000</v>
      </c>
      <c r="G69" s="600"/>
      <c r="H69" s="600"/>
      <c r="I69" s="600"/>
      <c r="J69" s="600">
        <f>+F69*J66</f>
        <v>87600000</v>
      </c>
      <c r="K69" s="600">
        <f>+F69*K66</f>
        <v>87600000</v>
      </c>
      <c r="L69" s="600"/>
      <c r="M69" s="600"/>
      <c r="N69" s="600"/>
      <c r="O69" s="600"/>
      <c r="P69" s="601"/>
      <c r="Q69" s="599"/>
      <c r="R69" s="599"/>
      <c r="S69" s="599"/>
      <c r="T69" s="599"/>
      <c r="U69" s="599"/>
      <c r="V69" s="602"/>
      <c r="W69" s="603"/>
      <c r="X69" s="604"/>
    </row>
    <row r="70" spans="2:24">
      <c r="B70" s="596" t="s">
        <v>37</v>
      </c>
      <c r="C70" s="597">
        <v>875000000</v>
      </c>
      <c r="D70" s="598">
        <f>+C70*D65</f>
        <v>700000000</v>
      </c>
      <c r="E70" s="599">
        <f>+C70*E66</f>
        <v>175000000</v>
      </c>
      <c r="F70" s="600">
        <f>+C70-E70</f>
        <v>700000000</v>
      </c>
      <c r="G70" s="600"/>
      <c r="H70" s="600"/>
      <c r="I70" s="600"/>
      <c r="J70" s="600"/>
      <c r="K70" s="600"/>
      <c r="L70" s="600"/>
      <c r="M70" s="600"/>
      <c r="N70" s="600"/>
      <c r="O70" s="600"/>
      <c r="P70" s="601">
        <f>+F70*P66</f>
        <v>175000000</v>
      </c>
      <c r="Q70" s="599">
        <f>+F70*Q66</f>
        <v>175000000</v>
      </c>
      <c r="R70" s="599">
        <f>+F70*R66</f>
        <v>70000000</v>
      </c>
      <c r="S70" s="599">
        <f>+F70*S66</f>
        <v>70000000</v>
      </c>
      <c r="T70" s="599">
        <f>+F70*T66</f>
        <v>70000000</v>
      </c>
      <c r="U70" s="599">
        <f>+U66*F70</f>
        <v>70000000</v>
      </c>
      <c r="V70" s="602">
        <f>+V66*F70</f>
        <v>70000000</v>
      </c>
      <c r="W70" s="603"/>
      <c r="X70" s="604"/>
    </row>
    <row r="71" spans="2:24">
      <c r="B71" s="596" t="s">
        <v>38</v>
      </c>
      <c r="C71" s="597">
        <v>3645000000</v>
      </c>
      <c r="D71" s="598">
        <f>+C71*D65</f>
        <v>2916000000</v>
      </c>
      <c r="E71" s="599">
        <f>+C71*E66</f>
        <v>729000000</v>
      </c>
      <c r="F71" s="606">
        <f>+C71-E71-H71-I71</f>
        <v>2187000000</v>
      </c>
      <c r="G71" s="600">
        <f>+C71-E71-H71-I71</f>
        <v>2187000000</v>
      </c>
      <c r="H71" s="600">
        <f>+C71*H66</f>
        <v>364500000</v>
      </c>
      <c r="I71" s="600">
        <f>+C71*I66</f>
        <v>364500000</v>
      </c>
      <c r="J71" s="600"/>
      <c r="K71" s="600"/>
      <c r="L71" s="600"/>
      <c r="M71" s="600"/>
      <c r="N71" s="600"/>
      <c r="O71" s="600"/>
      <c r="P71" s="601"/>
      <c r="Q71" s="599"/>
      <c r="R71" s="599"/>
      <c r="S71" s="599"/>
      <c r="T71" s="599"/>
      <c r="U71" s="599"/>
      <c r="V71" s="602"/>
      <c r="W71" s="603"/>
      <c r="X71" s="604"/>
    </row>
    <row r="72" spans="2:24">
      <c r="B72" s="596" t="s">
        <v>39</v>
      </c>
      <c r="C72" s="607">
        <v>1312000000</v>
      </c>
      <c r="D72" s="598">
        <v>0</v>
      </c>
      <c r="E72" s="599">
        <v>0</v>
      </c>
      <c r="F72" s="600">
        <f>+C72-E72</f>
        <v>1312000000</v>
      </c>
      <c r="G72" s="600"/>
      <c r="H72" s="600"/>
      <c r="I72" s="600"/>
      <c r="J72" s="600"/>
      <c r="K72" s="600"/>
      <c r="L72" s="600"/>
      <c r="M72" s="600"/>
      <c r="N72" s="600"/>
      <c r="O72" s="600"/>
      <c r="P72" s="601"/>
      <c r="Q72" s="599"/>
      <c r="R72" s="599"/>
      <c r="S72" s="599"/>
      <c r="T72" s="599"/>
      <c r="U72" s="599"/>
      <c r="V72" s="602"/>
      <c r="W72" s="608">
        <f>+F72*W66</f>
        <v>918400000</v>
      </c>
      <c r="X72" s="608">
        <f>+F72*X66</f>
        <v>393600000</v>
      </c>
    </row>
    <row r="73" spans="2:24">
      <c r="B73" s="609" t="s">
        <v>52</v>
      </c>
      <c r="C73" s="610">
        <v>65563620</v>
      </c>
      <c r="D73" s="610"/>
      <c r="E73" s="611"/>
      <c r="F73" s="612">
        <v>65563620</v>
      </c>
      <c r="G73" s="612">
        <f>F73</f>
        <v>65563620</v>
      </c>
      <c r="H73" s="612"/>
      <c r="I73" s="612"/>
      <c r="J73" s="612"/>
      <c r="K73" s="612"/>
      <c r="L73" s="612"/>
      <c r="M73" s="612"/>
      <c r="N73" s="612"/>
      <c r="O73" s="612"/>
      <c r="P73" s="613"/>
      <c r="Q73" s="611"/>
      <c r="R73" s="611"/>
      <c r="S73" s="611"/>
      <c r="T73" s="611"/>
      <c r="U73" s="611"/>
      <c r="V73" s="614"/>
      <c r="W73" s="603"/>
      <c r="X73" s="604"/>
    </row>
    <row r="74" spans="2:24" ht="21.6">
      <c r="B74" s="609" t="s">
        <v>53</v>
      </c>
      <c r="C74" s="610">
        <v>16390905</v>
      </c>
      <c r="D74" s="610"/>
      <c r="E74" s="611"/>
      <c r="F74" s="612">
        <v>16390905</v>
      </c>
      <c r="G74" s="612"/>
      <c r="H74" s="612"/>
      <c r="I74" s="612"/>
      <c r="J74" s="612"/>
      <c r="K74" s="612"/>
      <c r="L74" s="612"/>
      <c r="M74" s="612">
        <f>$F$74*M66</f>
        <v>4097726.25</v>
      </c>
      <c r="N74" s="612">
        <f t="shared" ref="N74:O74" si="8">$F$74*N66</f>
        <v>4097726.25</v>
      </c>
      <c r="O74" s="612">
        <f t="shared" si="8"/>
        <v>8195452.5</v>
      </c>
      <c r="P74" s="613"/>
      <c r="Q74" s="611"/>
      <c r="R74" s="611"/>
      <c r="S74" s="611"/>
      <c r="T74" s="611"/>
      <c r="U74" s="611"/>
      <c r="V74" s="614"/>
      <c r="W74" s="603"/>
      <c r="X74" s="604"/>
    </row>
    <row r="75" spans="2:24">
      <c r="B75" s="609" t="s">
        <v>54</v>
      </c>
      <c r="C75" s="610">
        <v>5463635</v>
      </c>
      <c r="D75" s="610"/>
      <c r="E75" s="611"/>
      <c r="F75" s="612">
        <v>5463635</v>
      </c>
      <c r="G75" s="612"/>
      <c r="H75" s="612"/>
      <c r="I75" s="612"/>
      <c r="J75" s="612">
        <f>$F$75*J66</f>
        <v>2731817.5</v>
      </c>
      <c r="K75" s="612">
        <f>$F$75*K66</f>
        <v>2731817.5</v>
      </c>
      <c r="L75" s="612"/>
      <c r="M75" s="612"/>
      <c r="N75" s="612"/>
      <c r="O75" s="612"/>
      <c r="P75" s="613"/>
      <c r="Q75" s="611"/>
      <c r="R75" s="611"/>
      <c r="S75" s="611"/>
      <c r="T75" s="611"/>
      <c r="U75" s="611"/>
      <c r="V75" s="614"/>
      <c r="W75" s="603"/>
      <c r="X75" s="604"/>
    </row>
    <row r="76" spans="2:24" ht="21.6">
      <c r="B76" s="609" t="s">
        <v>55</v>
      </c>
      <c r="C76" s="610">
        <v>16390905</v>
      </c>
      <c r="D76" s="610"/>
      <c r="E76" s="611"/>
      <c r="F76" s="612">
        <v>16390905</v>
      </c>
      <c r="G76" s="612"/>
      <c r="H76" s="612"/>
      <c r="I76" s="612"/>
      <c r="J76" s="612"/>
      <c r="K76" s="612"/>
      <c r="L76" s="612"/>
      <c r="M76" s="612"/>
      <c r="N76" s="612"/>
      <c r="O76" s="612"/>
      <c r="P76" s="613">
        <f>$F$76*P66</f>
        <v>4097726.25</v>
      </c>
      <c r="Q76" s="613">
        <f t="shared" ref="Q76:V76" si="9">$F$76*Q66</f>
        <v>4097726.25</v>
      </c>
      <c r="R76" s="613">
        <f t="shared" si="9"/>
        <v>1639090.5</v>
      </c>
      <c r="S76" s="613">
        <f t="shared" si="9"/>
        <v>1639090.5</v>
      </c>
      <c r="T76" s="613">
        <f t="shared" si="9"/>
        <v>1639090.5</v>
      </c>
      <c r="U76" s="613">
        <f t="shared" si="9"/>
        <v>1639090.5</v>
      </c>
      <c r="V76" s="613">
        <f t="shared" si="9"/>
        <v>1639090.5</v>
      </c>
      <c r="W76" s="603"/>
      <c r="X76" s="604"/>
    </row>
    <row r="77" spans="2:24" ht="21.6">
      <c r="B77" s="609" t="s">
        <v>56</v>
      </c>
      <c r="C77" s="610">
        <v>21854540</v>
      </c>
      <c r="D77" s="610"/>
      <c r="E77" s="611"/>
      <c r="F77" s="612">
        <v>21854540</v>
      </c>
      <c r="G77" s="612"/>
      <c r="H77" s="612"/>
      <c r="I77" s="612"/>
      <c r="J77" s="612"/>
      <c r="K77" s="612"/>
      <c r="L77" s="612"/>
      <c r="M77" s="612"/>
      <c r="N77" s="612"/>
      <c r="O77" s="612"/>
      <c r="P77" s="613"/>
      <c r="Q77" s="611"/>
      <c r="R77" s="611"/>
      <c r="S77" s="611"/>
      <c r="T77" s="611"/>
      <c r="U77" s="611"/>
      <c r="V77" s="614"/>
      <c r="W77" s="603">
        <f>$F$77*W66</f>
        <v>15298177.999999998</v>
      </c>
      <c r="X77" s="603">
        <f>$F$77*X66</f>
        <v>6556362</v>
      </c>
    </row>
    <row r="78" spans="2:24">
      <c r="B78" s="609" t="s">
        <v>59</v>
      </c>
      <c r="C78" s="610">
        <v>10927270</v>
      </c>
      <c r="D78" s="610"/>
      <c r="E78" s="611"/>
      <c r="F78" s="612">
        <v>10927270</v>
      </c>
      <c r="G78" s="612"/>
      <c r="H78" s="612">
        <f>C78</f>
        <v>10927270</v>
      </c>
      <c r="I78" s="612"/>
      <c r="J78" s="612"/>
      <c r="K78" s="612"/>
      <c r="L78" s="612"/>
      <c r="M78" s="612"/>
      <c r="N78" s="612"/>
      <c r="O78" s="612"/>
      <c r="P78" s="613"/>
      <c r="Q78" s="611"/>
      <c r="R78" s="611"/>
      <c r="S78" s="611"/>
      <c r="T78" s="611"/>
      <c r="U78" s="611"/>
      <c r="V78" s="614"/>
      <c r="W78" s="603"/>
      <c r="X78" s="604"/>
    </row>
    <row r="79" spans="2:24">
      <c r="B79" s="609"/>
      <c r="C79" s="610"/>
      <c r="D79" s="610"/>
      <c r="E79" s="611"/>
      <c r="F79" s="612"/>
      <c r="G79" s="612"/>
      <c r="H79" s="612"/>
      <c r="I79" s="612"/>
      <c r="J79" s="612"/>
      <c r="K79" s="612"/>
      <c r="L79" s="612"/>
      <c r="M79" s="612"/>
      <c r="N79" s="612"/>
      <c r="O79" s="612"/>
      <c r="P79" s="613"/>
      <c r="Q79" s="611"/>
      <c r="R79" s="611"/>
      <c r="S79" s="611"/>
      <c r="T79" s="611"/>
      <c r="U79" s="611"/>
      <c r="V79" s="614"/>
      <c r="W79" s="603"/>
      <c r="X79" s="604"/>
    </row>
    <row r="80" spans="2:24">
      <c r="B80" s="609"/>
      <c r="C80" s="610"/>
      <c r="D80" s="610"/>
      <c r="E80" s="611"/>
      <c r="F80" s="612"/>
      <c r="G80" s="612"/>
      <c r="H80" s="612"/>
      <c r="I80" s="612"/>
      <c r="J80" s="612"/>
      <c r="K80" s="612"/>
      <c r="L80" s="612"/>
      <c r="M80" s="612"/>
      <c r="N80" s="612"/>
      <c r="O80" s="612"/>
      <c r="P80" s="613"/>
      <c r="Q80" s="611"/>
      <c r="R80" s="611"/>
      <c r="S80" s="611"/>
      <c r="T80" s="611"/>
      <c r="U80" s="611"/>
      <c r="V80" s="614"/>
      <c r="W80" s="603"/>
      <c r="X80" s="604"/>
    </row>
    <row r="81" spans="2:24">
      <c r="B81" s="596"/>
      <c r="C81" s="615"/>
      <c r="D81" s="615"/>
      <c r="E81" s="616"/>
      <c r="F81" s="617"/>
      <c r="G81" s="617"/>
      <c r="H81" s="617"/>
      <c r="I81" s="617"/>
      <c r="J81" s="617"/>
      <c r="K81" s="617"/>
      <c r="L81" s="617"/>
      <c r="M81" s="617"/>
      <c r="N81" s="617"/>
      <c r="O81" s="617"/>
      <c r="P81" s="618"/>
      <c r="Q81" s="616"/>
      <c r="R81" s="616"/>
      <c r="S81" s="616"/>
      <c r="T81" s="616"/>
      <c r="U81" s="616"/>
      <c r="V81" s="619"/>
      <c r="W81" s="604"/>
      <c r="X81" s="604"/>
    </row>
    <row r="82" spans="2:24" ht="15" thickBot="1">
      <c r="B82" s="620" t="s">
        <v>8</v>
      </c>
      <c r="C82" s="621">
        <f>SUM(C67:C81)</f>
        <v>7288590875</v>
      </c>
      <c r="D82" s="621">
        <f>SUM(D67:D81)</f>
        <v>4672000000</v>
      </c>
      <c r="E82" s="622">
        <f>SUM(E67:E81)</f>
        <v>1168000000</v>
      </c>
      <c r="F82" s="622">
        <f>SUM(F67:F81)+H71</f>
        <v>5756090875</v>
      </c>
      <c r="G82" s="622">
        <f>SUM(G67:G81)</f>
        <v>2252563620</v>
      </c>
      <c r="H82" s="622">
        <f t="shared" ref="H82:I82" si="10">SUM(H67:H81)</f>
        <v>375427270</v>
      </c>
      <c r="I82" s="622">
        <f t="shared" si="10"/>
        <v>364500000</v>
      </c>
      <c r="J82" s="622">
        <f t="shared" ref="J82:V82" si="11">SUM(J67:J81)</f>
        <v>90331817.5</v>
      </c>
      <c r="K82" s="622">
        <f t="shared" si="11"/>
        <v>90331817.5</v>
      </c>
      <c r="L82" s="622">
        <f t="shared" si="11"/>
        <v>5600000</v>
      </c>
      <c r="M82" s="622">
        <f t="shared" si="11"/>
        <v>222897726.25</v>
      </c>
      <c r="N82" s="622">
        <f t="shared" si="11"/>
        <v>222897726.25</v>
      </c>
      <c r="O82" s="623">
        <f t="shared" si="11"/>
        <v>445795452.5</v>
      </c>
      <c r="P82" s="624">
        <f t="shared" si="11"/>
        <v>179097726.25</v>
      </c>
      <c r="Q82" s="624">
        <f t="shared" si="11"/>
        <v>179097726.25</v>
      </c>
      <c r="R82" s="624">
        <f t="shared" si="11"/>
        <v>71639090.5</v>
      </c>
      <c r="S82" s="624">
        <f t="shared" si="11"/>
        <v>71639090.5</v>
      </c>
      <c r="T82" s="622">
        <f t="shared" si="11"/>
        <v>71639090.5</v>
      </c>
      <c r="U82" s="622">
        <f t="shared" si="11"/>
        <v>71639090.5</v>
      </c>
      <c r="V82" s="625">
        <f t="shared" si="11"/>
        <v>71639090.5</v>
      </c>
      <c r="W82" s="625">
        <f>SUM(W67:W81)</f>
        <v>933698178</v>
      </c>
      <c r="X82" s="625">
        <f>SUM(X67:X81)</f>
        <v>400156362</v>
      </c>
    </row>
  </sheetData>
  <mergeCells count="13">
    <mergeCell ref="B2:U2"/>
    <mergeCell ref="P21:V21"/>
    <mergeCell ref="W21:X21"/>
    <mergeCell ref="G42:I42"/>
    <mergeCell ref="K42:L42"/>
    <mergeCell ref="M42:O42"/>
    <mergeCell ref="P42:V42"/>
    <mergeCell ref="W42:X42"/>
    <mergeCell ref="G64:I64"/>
    <mergeCell ref="K64:L64"/>
    <mergeCell ref="M64:O64"/>
    <mergeCell ref="P64:V64"/>
    <mergeCell ref="W64:X64"/>
  </mergeCells>
  <pageMargins left="0.70866141732283472" right="0.70866141732283472" top="0.74803149606299213" bottom="0.74803149606299213" header="0.31496062992125984" footer="0.31496062992125984"/>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B2:Q17"/>
  <sheetViews>
    <sheetView zoomScale="60" zoomScaleNormal="60" zoomScalePageLayoutView="60" workbookViewId="0">
      <pane ySplit="3" topLeftCell="A4" activePane="bottomLeft" state="frozen"/>
      <selection pane="bottomLeft" activeCell="B16" sqref="B16"/>
    </sheetView>
  </sheetViews>
  <sheetFormatPr baseColWidth="10" defaultRowHeight="14.4"/>
  <cols>
    <col min="2" max="2" width="44.109375" customWidth="1"/>
    <col min="3" max="3" width="20.6640625" style="1" bestFit="1" customWidth="1"/>
    <col min="4" max="5" width="18" style="1" bestFit="1" customWidth="1"/>
    <col min="6" max="6" width="12.44140625" style="1" bestFit="1" customWidth="1"/>
    <col min="7" max="7" width="16.6640625" style="1" bestFit="1" customWidth="1"/>
    <col min="8" max="8" width="18" style="1" bestFit="1" customWidth="1"/>
    <col min="9" max="9" width="11.6640625" style="1" bestFit="1" customWidth="1"/>
    <col min="10" max="11" width="50.109375" style="1" customWidth="1"/>
    <col min="12" max="12" width="20.6640625" style="1" bestFit="1" customWidth="1"/>
    <col min="13" max="13" width="11.6640625" style="1" bestFit="1" customWidth="1"/>
    <col min="14" max="14" width="11.6640625" style="1" customWidth="1"/>
    <col min="15" max="15" width="16.6640625" style="1" bestFit="1" customWidth="1"/>
    <col min="16" max="16" width="20.6640625" bestFit="1" customWidth="1"/>
    <col min="17" max="17" width="18.6640625" bestFit="1" customWidth="1"/>
  </cols>
  <sheetData>
    <row r="2" spans="2:17" ht="100.2" customHeight="1">
      <c r="B2" s="32"/>
      <c r="C2" s="37"/>
      <c r="D2" s="38" t="s">
        <v>96</v>
      </c>
      <c r="E2" s="1812" t="s">
        <v>97</v>
      </c>
      <c r="F2" s="1812"/>
      <c r="G2" s="38" t="s">
        <v>98</v>
      </c>
      <c r="H2" s="38" t="s">
        <v>99</v>
      </c>
      <c r="I2" s="38" t="s">
        <v>100</v>
      </c>
      <c r="J2" s="38" t="s">
        <v>104</v>
      </c>
      <c r="K2" s="38" t="s">
        <v>111</v>
      </c>
      <c r="L2" s="38" t="s">
        <v>105</v>
      </c>
      <c r="M2" s="38" t="s">
        <v>106</v>
      </c>
      <c r="N2" s="38" t="s">
        <v>112</v>
      </c>
      <c r="O2" s="20" t="s">
        <v>107</v>
      </c>
      <c r="P2" s="34" t="s">
        <v>8</v>
      </c>
      <c r="Q2" s="2"/>
    </row>
    <row r="3" spans="2:17" s="48" customFormat="1" ht="84" customHeight="1">
      <c r="B3" s="41"/>
      <c r="C3" s="42" t="s">
        <v>8</v>
      </c>
      <c r="D3" s="43" t="s">
        <v>101</v>
      </c>
      <c r="E3" s="43" t="s">
        <v>102</v>
      </c>
      <c r="F3" s="43" t="s">
        <v>103</v>
      </c>
      <c r="G3" s="43"/>
      <c r="H3" s="43"/>
      <c r="I3" s="44"/>
      <c r="J3" s="49" t="s">
        <v>108</v>
      </c>
      <c r="K3" s="49"/>
      <c r="L3" s="45"/>
      <c r="M3" s="46" t="s">
        <v>109</v>
      </c>
      <c r="N3" s="46"/>
      <c r="O3" s="43" t="s">
        <v>110</v>
      </c>
      <c r="P3" s="41"/>
      <c r="Q3" s="47"/>
    </row>
    <row r="4" spans="2:17">
      <c r="B4" s="35" t="s">
        <v>41</v>
      </c>
      <c r="C4" s="33">
        <v>800000000</v>
      </c>
      <c r="D4" s="39">
        <f>+C4</f>
        <v>800000000</v>
      </c>
      <c r="E4" s="39"/>
      <c r="F4" s="39"/>
      <c r="G4" s="39"/>
      <c r="H4" s="39"/>
      <c r="I4" s="39"/>
      <c r="J4" s="37"/>
      <c r="K4" s="37"/>
      <c r="L4" s="37"/>
      <c r="M4" s="37"/>
      <c r="N4" s="37"/>
      <c r="O4" s="37"/>
      <c r="P4" s="50">
        <f t="shared" ref="P4:P16" si="0">SUM(D4:O4)</f>
        <v>800000000</v>
      </c>
      <c r="Q4" s="36">
        <f t="shared" ref="Q4:Q16" si="1">P4-C4</f>
        <v>0</v>
      </c>
    </row>
    <row r="5" spans="2:17" ht="27.6">
      <c r="B5" s="35" t="s">
        <v>42</v>
      </c>
      <c r="C5" s="33">
        <v>113000000</v>
      </c>
      <c r="D5" s="39"/>
      <c r="E5" s="39">
        <f>+C5</f>
        <v>113000000</v>
      </c>
      <c r="F5" s="39"/>
      <c r="G5" s="39"/>
      <c r="H5" s="39"/>
      <c r="I5" s="39"/>
      <c r="J5" s="37"/>
      <c r="K5" s="37"/>
      <c r="L5" s="37"/>
      <c r="M5" s="37"/>
      <c r="N5" s="37"/>
      <c r="O5" s="37"/>
      <c r="P5" s="50">
        <f t="shared" si="0"/>
        <v>113000000</v>
      </c>
      <c r="Q5" s="36">
        <f t="shared" si="1"/>
        <v>0</v>
      </c>
    </row>
    <row r="6" spans="2:17" ht="27.6">
      <c r="B6" s="35" t="s">
        <v>43</v>
      </c>
      <c r="C6" s="23">
        <v>11000000</v>
      </c>
      <c r="D6" s="39"/>
      <c r="E6" s="39"/>
      <c r="F6" s="39"/>
      <c r="G6" s="39"/>
      <c r="H6" s="39"/>
      <c r="I6" s="40"/>
      <c r="J6" s="37"/>
      <c r="K6" s="37"/>
      <c r="L6" s="37"/>
      <c r="M6" s="37"/>
      <c r="N6" s="37"/>
      <c r="O6" s="37">
        <v>11000000</v>
      </c>
      <c r="P6" s="50">
        <f t="shared" si="0"/>
        <v>11000000</v>
      </c>
      <c r="Q6" s="36">
        <f t="shared" si="1"/>
        <v>0</v>
      </c>
    </row>
    <row r="7" spans="2:17" ht="27.6">
      <c r="B7" s="35" t="s">
        <v>44</v>
      </c>
      <c r="C7" s="23">
        <v>15000000</v>
      </c>
      <c r="D7" s="39"/>
      <c r="E7" s="39"/>
      <c r="F7" s="39"/>
      <c r="G7" s="39"/>
      <c r="H7" s="39"/>
      <c r="I7" s="39"/>
      <c r="J7" s="37"/>
      <c r="K7" s="37"/>
      <c r="L7" s="37"/>
      <c r="M7" s="37"/>
      <c r="N7" s="37"/>
      <c r="O7" s="37">
        <v>15000000</v>
      </c>
      <c r="P7" s="50">
        <f t="shared" si="0"/>
        <v>15000000</v>
      </c>
      <c r="Q7" s="36">
        <f t="shared" si="1"/>
        <v>0</v>
      </c>
    </row>
    <row r="8" spans="2:17">
      <c r="B8" s="35" t="s">
        <v>45</v>
      </c>
      <c r="C8" s="23">
        <v>5000000000</v>
      </c>
      <c r="D8" s="39"/>
      <c r="E8" s="39"/>
      <c r="F8" s="39"/>
      <c r="G8" s="39"/>
      <c r="H8" s="39"/>
      <c r="I8" s="39"/>
      <c r="J8" s="37">
        <v>5000000000</v>
      </c>
      <c r="K8" s="37"/>
      <c r="L8" s="37"/>
      <c r="M8" s="37"/>
      <c r="N8" s="37"/>
      <c r="O8" s="37"/>
      <c r="P8" s="50">
        <f t="shared" si="0"/>
        <v>5000000000</v>
      </c>
      <c r="Q8" s="36">
        <f t="shared" si="1"/>
        <v>0</v>
      </c>
    </row>
    <row r="9" spans="2:17" ht="27.6">
      <c r="B9" s="31" t="s">
        <v>46</v>
      </c>
      <c r="C9" s="23">
        <v>8000000000</v>
      </c>
      <c r="D9" s="37"/>
      <c r="E9" s="37"/>
      <c r="F9" s="37"/>
      <c r="G9" s="37"/>
      <c r="H9" s="37"/>
      <c r="I9" s="37"/>
      <c r="J9" s="37"/>
      <c r="K9" s="37"/>
      <c r="L9" s="37">
        <v>8000000000</v>
      </c>
      <c r="M9" s="37"/>
      <c r="N9" s="37"/>
      <c r="O9" s="37"/>
      <c r="P9" s="50">
        <f t="shared" si="0"/>
        <v>8000000000</v>
      </c>
      <c r="Q9" s="36">
        <f t="shared" si="1"/>
        <v>0</v>
      </c>
    </row>
    <row r="10" spans="2:17" ht="41.4">
      <c r="B10" s="31" t="s">
        <v>47</v>
      </c>
      <c r="C10" s="23">
        <v>372451401</v>
      </c>
      <c r="D10" s="37"/>
      <c r="E10" s="37"/>
      <c r="F10" s="37"/>
      <c r="G10" s="37"/>
      <c r="H10" s="37"/>
      <c r="I10" s="37"/>
      <c r="J10" s="37"/>
      <c r="K10" s="37"/>
      <c r="L10" s="37">
        <v>400000000</v>
      </c>
      <c r="M10" s="37"/>
      <c r="N10" s="37"/>
      <c r="O10" s="37"/>
      <c r="P10" s="50">
        <f t="shared" si="0"/>
        <v>400000000</v>
      </c>
      <c r="Q10" s="36">
        <f t="shared" si="1"/>
        <v>27548599</v>
      </c>
    </row>
    <row r="11" spans="2:17" ht="27.6">
      <c r="B11" s="31" t="s">
        <v>48</v>
      </c>
      <c r="C11" s="23">
        <v>11009131488</v>
      </c>
      <c r="D11" s="37"/>
      <c r="E11" s="37"/>
      <c r="F11" s="37"/>
      <c r="G11" s="37"/>
      <c r="H11" s="37"/>
      <c r="I11" s="37"/>
      <c r="J11" s="37"/>
      <c r="K11" s="37"/>
      <c r="L11" s="37">
        <v>8000000000</v>
      </c>
      <c r="M11" s="37"/>
      <c r="N11" s="37"/>
      <c r="O11" s="37"/>
      <c r="P11" s="50">
        <f t="shared" si="0"/>
        <v>8000000000</v>
      </c>
      <c r="Q11" s="36">
        <f t="shared" si="1"/>
        <v>-3009131488</v>
      </c>
    </row>
    <row r="12" spans="2:17" ht="55.2">
      <c r="B12" s="31" t="s">
        <v>65</v>
      </c>
      <c r="C12" s="23">
        <v>1000000</v>
      </c>
      <c r="D12" s="37"/>
      <c r="E12" s="37"/>
      <c r="F12" s="37"/>
      <c r="G12" s="37"/>
      <c r="H12" s="37"/>
      <c r="I12" s="37"/>
      <c r="J12" s="37"/>
      <c r="K12" s="37"/>
      <c r="L12" s="37">
        <v>1000000</v>
      </c>
      <c r="M12" s="37"/>
      <c r="N12" s="37"/>
      <c r="O12" s="37"/>
      <c r="P12" s="50">
        <f t="shared" si="0"/>
        <v>1000000</v>
      </c>
      <c r="Q12" s="36">
        <f t="shared" si="1"/>
        <v>0</v>
      </c>
    </row>
    <row r="13" spans="2:17" ht="27.6">
      <c r="B13" s="31" t="s">
        <v>60</v>
      </c>
      <c r="C13" s="23">
        <v>1000000</v>
      </c>
      <c r="D13" s="37"/>
      <c r="E13" s="37"/>
      <c r="F13" s="37"/>
      <c r="G13" s="37"/>
      <c r="H13" s="37"/>
      <c r="I13" s="37"/>
      <c r="J13" s="37"/>
      <c r="K13" s="37">
        <v>1000000</v>
      </c>
      <c r="L13" s="37"/>
      <c r="M13" s="37"/>
      <c r="N13" s="37"/>
      <c r="O13" s="37"/>
      <c r="P13" s="50">
        <f t="shared" si="0"/>
        <v>1000000</v>
      </c>
      <c r="Q13" s="36">
        <f t="shared" si="1"/>
        <v>0</v>
      </c>
    </row>
    <row r="14" spans="2:17" ht="27.6">
      <c r="B14" s="31" t="s">
        <v>61</v>
      </c>
      <c r="C14" s="23">
        <v>10000</v>
      </c>
      <c r="D14" s="37"/>
      <c r="E14" s="37"/>
      <c r="F14" s="37"/>
      <c r="G14" s="37"/>
      <c r="H14" s="37"/>
      <c r="I14" s="37"/>
      <c r="J14" s="37"/>
      <c r="K14" s="37"/>
      <c r="L14" s="37"/>
      <c r="M14" s="37"/>
      <c r="N14" s="37"/>
      <c r="O14" s="37">
        <v>10000</v>
      </c>
      <c r="P14" s="50">
        <f t="shared" si="0"/>
        <v>10000</v>
      </c>
      <c r="Q14" s="36">
        <f t="shared" si="1"/>
        <v>0</v>
      </c>
    </row>
    <row r="15" spans="2:17">
      <c r="B15" s="35" t="s">
        <v>57</v>
      </c>
      <c r="C15" s="33">
        <v>10000000</v>
      </c>
      <c r="D15" s="37">
        <v>10000000</v>
      </c>
      <c r="E15" s="37"/>
      <c r="F15" s="37"/>
      <c r="G15" s="37"/>
      <c r="H15" s="37"/>
      <c r="I15" s="37"/>
      <c r="J15" s="37"/>
      <c r="K15" s="37"/>
      <c r="L15" s="37"/>
      <c r="M15" s="37"/>
      <c r="N15" s="37"/>
      <c r="O15" s="37"/>
      <c r="P15" s="50">
        <f t="shared" si="0"/>
        <v>10000000</v>
      </c>
      <c r="Q15" s="36">
        <f t="shared" si="1"/>
        <v>0</v>
      </c>
    </row>
    <row r="16" spans="2:17" ht="27.6">
      <c r="B16" s="35" t="s">
        <v>58</v>
      </c>
      <c r="C16" s="23">
        <v>180000000</v>
      </c>
      <c r="D16" s="37"/>
      <c r="E16" s="37"/>
      <c r="F16" s="37"/>
      <c r="G16" s="37"/>
      <c r="H16" s="37"/>
      <c r="I16" s="37"/>
      <c r="J16" s="37">
        <v>180000000</v>
      </c>
      <c r="K16" s="37"/>
      <c r="L16" s="37"/>
      <c r="M16" s="37"/>
      <c r="N16" s="37"/>
      <c r="O16" s="37"/>
      <c r="P16" s="50">
        <f t="shared" si="0"/>
        <v>180000000</v>
      </c>
      <c r="Q16" s="36">
        <f t="shared" si="1"/>
        <v>0</v>
      </c>
    </row>
    <row r="17" spans="2:17">
      <c r="B17" s="31" t="s">
        <v>8</v>
      </c>
      <c r="C17" s="37">
        <f>SUM(C4:C16)</f>
        <v>25512592889</v>
      </c>
      <c r="D17" s="37">
        <f t="shared" ref="D17:Q17" si="2">SUM(D4:D16)</f>
        <v>810000000</v>
      </c>
      <c r="E17" s="37">
        <f t="shared" si="2"/>
        <v>113000000</v>
      </c>
      <c r="F17" s="37">
        <f t="shared" si="2"/>
        <v>0</v>
      </c>
      <c r="G17" s="37">
        <f t="shared" si="2"/>
        <v>0</v>
      </c>
      <c r="H17" s="37">
        <f t="shared" si="2"/>
        <v>0</v>
      </c>
      <c r="I17" s="37">
        <f t="shared" si="2"/>
        <v>0</v>
      </c>
      <c r="J17" s="37">
        <f t="shared" si="2"/>
        <v>5180000000</v>
      </c>
      <c r="K17" s="37"/>
      <c r="L17" s="37">
        <f t="shared" si="2"/>
        <v>16401000000</v>
      </c>
      <c r="M17" s="37">
        <f t="shared" si="2"/>
        <v>0</v>
      </c>
      <c r="N17" s="37"/>
      <c r="O17" s="37">
        <f t="shared" si="2"/>
        <v>26010000</v>
      </c>
      <c r="P17" s="51">
        <f t="shared" si="2"/>
        <v>22531010000</v>
      </c>
      <c r="Q17" s="9">
        <f t="shared" si="2"/>
        <v>-2981582889</v>
      </c>
    </row>
  </sheetData>
  <mergeCells count="1">
    <mergeCell ref="E2:F2"/>
  </mergeCell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1"/>
  <sheetViews>
    <sheetView view="pageBreakPreview" zoomScale="90" zoomScaleNormal="70" zoomScaleSheetLayoutView="90" zoomScalePageLayoutView="110" workbookViewId="0">
      <selection activeCell="D23" sqref="D23"/>
    </sheetView>
  </sheetViews>
  <sheetFormatPr baseColWidth="10" defaultRowHeight="14.4"/>
  <cols>
    <col min="1" max="1" width="3.6640625" customWidth="1"/>
    <col min="2" max="2" width="46.6640625" style="15" customWidth="1"/>
    <col min="3" max="3" width="29.44140625" style="1" customWidth="1"/>
    <col min="4" max="4" width="26.44140625" customWidth="1"/>
    <col min="5" max="5" width="23.6640625" customWidth="1"/>
    <col min="6" max="6" width="25.5546875" customWidth="1"/>
    <col min="7" max="7" width="27.6640625" customWidth="1"/>
    <col min="8" max="8" width="4" customWidth="1"/>
    <col min="9" max="9" width="19.109375" bestFit="1" customWidth="1"/>
    <col min="10" max="10" width="23.109375" bestFit="1" customWidth="1"/>
    <col min="11" max="15" width="27.6640625" customWidth="1"/>
  </cols>
  <sheetData>
    <row r="1" spans="1:15">
      <c r="A1" s="1109"/>
      <c r="B1" s="1110"/>
      <c r="C1" s="1111"/>
      <c r="D1" s="1112"/>
      <c r="E1" s="1112"/>
      <c r="F1" s="1112"/>
      <c r="G1" s="1112"/>
      <c r="H1" s="1113"/>
    </row>
    <row r="2" spans="1:15" s="698" customFormat="1" ht="13.95" customHeight="1">
      <c r="A2" s="1078"/>
      <c r="B2" s="1476"/>
      <c r="C2" s="1481" t="s">
        <v>889</v>
      </c>
      <c r="D2" s="1481"/>
      <c r="E2" s="1481"/>
      <c r="F2" s="1481"/>
      <c r="G2" s="1481"/>
      <c r="H2" s="1079"/>
    </row>
    <row r="3" spans="1:15" s="698" customFormat="1" ht="14.4" customHeight="1">
      <c r="A3" s="1078"/>
      <c r="B3" s="1476"/>
      <c r="C3" s="1481"/>
      <c r="D3" s="1481"/>
      <c r="E3" s="1481"/>
      <c r="F3" s="1481"/>
      <c r="G3" s="1481"/>
      <c r="H3" s="1079"/>
    </row>
    <row r="4" spans="1:15" s="698" customFormat="1" ht="14.4" customHeight="1">
      <c r="A4" s="1078"/>
      <c r="B4" s="1476"/>
      <c r="C4" s="1481"/>
      <c r="D4" s="1481"/>
      <c r="E4" s="1481"/>
      <c r="F4" s="1481"/>
      <c r="G4" s="1481"/>
      <c r="H4" s="1079"/>
    </row>
    <row r="5" spans="1:15" s="698" customFormat="1" ht="14.4" customHeight="1">
      <c r="A5" s="1078"/>
      <c r="B5" s="1476"/>
      <c r="C5" s="1481"/>
      <c r="D5" s="1481"/>
      <c r="E5" s="1481"/>
      <c r="F5" s="1481"/>
      <c r="G5" s="1481"/>
      <c r="H5" s="1079"/>
    </row>
    <row r="6" spans="1:15" s="698" customFormat="1" ht="33" customHeight="1">
      <c r="A6" s="1078"/>
      <c r="B6" s="1476"/>
      <c r="C6" s="1481"/>
      <c r="D6" s="1481"/>
      <c r="E6" s="1481"/>
      <c r="F6" s="1481"/>
      <c r="G6" s="1481"/>
      <c r="H6" s="1079"/>
    </row>
    <row r="7" spans="1:15">
      <c r="A7" s="1114"/>
      <c r="B7" s="1482"/>
      <c r="C7" s="1482"/>
      <c r="D7" s="1482"/>
      <c r="E7" s="1482"/>
      <c r="F7" s="1482"/>
      <c r="G7" s="1482"/>
      <c r="H7" s="1115"/>
    </row>
    <row r="8" spans="1:15">
      <c r="A8" s="1114"/>
      <c r="B8" s="1483" t="s">
        <v>706</v>
      </c>
      <c r="C8" s="1483"/>
      <c r="D8" s="1483" t="s">
        <v>704</v>
      </c>
      <c r="E8" s="1483"/>
      <c r="F8" s="1483" t="s">
        <v>705</v>
      </c>
      <c r="G8" s="1483"/>
      <c r="H8" s="1115"/>
    </row>
    <row r="9" spans="1:15" ht="15" thickBot="1">
      <c r="A9" s="1114"/>
      <c r="B9" s="731"/>
      <c r="C9" s="732"/>
      <c r="D9" s="733"/>
      <c r="E9" s="733"/>
      <c r="F9" s="733"/>
      <c r="G9" s="733"/>
      <c r="H9" s="1115"/>
    </row>
    <row r="10" spans="1:15" ht="15" thickBot="1">
      <c r="A10" s="1114"/>
      <c r="B10" s="707" t="s">
        <v>119</v>
      </c>
      <c r="C10" s="708">
        <v>2020</v>
      </c>
      <c r="D10" s="709">
        <v>2021</v>
      </c>
      <c r="E10" s="709">
        <v>2022</v>
      </c>
      <c r="F10" s="709">
        <v>2023</v>
      </c>
      <c r="G10" s="710" t="s">
        <v>118</v>
      </c>
      <c r="H10" s="1115"/>
      <c r="J10" s="707" t="s">
        <v>119</v>
      </c>
      <c r="K10" s="708">
        <v>2020</v>
      </c>
      <c r="L10" s="709">
        <v>2021</v>
      </c>
      <c r="M10" s="709">
        <v>2022</v>
      </c>
      <c r="N10" s="709">
        <v>2023</v>
      </c>
      <c r="O10" s="710" t="s">
        <v>118</v>
      </c>
    </row>
    <row r="11" spans="1:15" ht="37.200000000000003" customHeight="1">
      <c r="A11" s="1114"/>
      <c r="B11" s="704" t="s">
        <v>818</v>
      </c>
      <c r="C11" s="705">
        <f>'PLAN FINANCIERO COMPLETO'!H35</f>
        <v>11063852712.559999</v>
      </c>
      <c r="D11" s="851">
        <f>'PLAN FINANCIERO COMPLETO'!J35</f>
        <v>7733581683.71</v>
      </c>
      <c r="E11" s="705">
        <f>'PLAN FINANCIERO COMPLETO'!K35</f>
        <v>8030397890</v>
      </c>
      <c r="F11" s="850">
        <f>'PLAN FINANCIERO COMPLETO'!L35</f>
        <v>8333664410.0482998</v>
      </c>
      <c r="G11" s="706">
        <f>SUM(C11:F11)</f>
        <v>35161496696.318298</v>
      </c>
      <c r="H11" s="1115"/>
      <c r="J11" s="704" t="s">
        <v>836</v>
      </c>
      <c r="K11" s="705">
        <f>C11</f>
        <v>11063852712.559999</v>
      </c>
      <c r="L11" s="705">
        <f t="shared" ref="L11:O20" si="0">D11</f>
        <v>7733581683.71</v>
      </c>
      <c r="M11" s="705">
        <f t="shared" si="0"/>
        <v>8030397890</v>
      </c>
      <c r="N11" s="705">
        <f t="shared" si="0"/>
        <v>8333664410.0482998</v>
      </c>
      <c r="O11" s="705">
        <f t="shared" si="0"/>
        <v>35161496696.318298</v>
      </c>
    </row>
    <row r="12" spans="1:15" ht="37.200000000000003" customHeight="1">
      <c r="A12" s="1114"/>
      <c r="B12" s="702" t="s">
        <v>825</v>
      </c>
      <c r="C12" s="690">
        <f>'PLAN FINANCIERO COMPLETO'!H55+'PLAN FINANCIERO COMPLETO'!H73+'PLAN FINANCIERO COMPLETO'!H121</f>
        <v>40002012821.379997</v>
      </c>
      <c r="D12" s="690">
        <f>'PLAN FINANCIERO COMPLETO'!J55+'PLAN FINANCIERO COMPLETO'!J73+'PLAN FINANCIERO COMPLETO'!J121</f>
        <v>30830087800</v>
      </c>
      <c r="E12" s="690">
        <f>'PLAN FINANCIERO COMPLETO'!K55+'PLAN FINANCIERO COMPLETO'!K73+'PLAN FINANCIERO COMPLETO'!K121</f>
        <v>29404285074</v>
      </c>
      <c r="F12" s="690">
        <f>'PLAN FINANCIERO COMPLETO'!L55+'PLAN FINANCIERO COMPLETO'!L73+'PLAN FINANCIERO COMPLETO'!L121</f>
        <v>20919737985.02</v>
      </c>
      <c r="G12" s="703">
        <f>SUM(C12:F12)</f>
        <v>121156123680.40001</v>
      </c>
      <c r="H12" s="1115"/>
      <c r="J12" s="702" t="s">
        <v>835</v>
      </c>
      <c r="K12" s="705">
        <f t="shared" ref="K12:K20" si="1">C12</f>
        <v>40002012821.379997</v>
      </c>
      <c r="L12" s="705">
        <f t="shared" si="0"/>
        <v>30830087800</v>
      </c>
      <c r="M12" s="705">
        <f t="shared" si="0"/>
        <v>29404285074</v>
      </c>
      <c r="N12" s="705">
        <f t="shared" si="0"/>
        <v>20919737985.02</v>
      </c>
      <c r="O12" s="705">
        <f t="shared" si="0"/>
        <v>121156123680.40001</v>
      </c>
    </row>
    <row r="13" spans="1:15" ht="37.200000000000003" customHeight="1">
      <c r="A13" s="1114"/>
      <c r="B13" s="702" t="s">
        <v>819</v>
      </c>
      <c r="C13" s="690">
        <f>'PLAN FINANCIERO COMPLETO'!H87</f>
        <v>185189380379</v>
      </c>
      <c r="D13" s="690">
        <f>'PLAN FINANCIERO COMPLETO'!J87</f>
        <v>187041300600.41428</v>
      </c>
      <c r="E13" s="690">
        <f>'PLAN FINANCIERO COMPLETO'!K87</f>
        <v>188911583677.31885</v>
      </c>
      <c r="F13" s="690">
        <f>'PLAN FINANCIERO COMPLETO'!L87</f>
        <v>190800589574.08466</v>
      </c>
      <c r="G13" s="703">
        <f t="shared" ref="G13:G15" si="2">SUM(C13:F13)</f>
        <v>751942854230.81787</v>
      </c>
      <c r="H13" s="1115"/>
      <c r="J13" s="702" t="s">
        <v>834</v>
      </c>
      <c r="K13" s="705">
        <f t="shared" si="1"/>
        <v>185189380379</v>
      </c>
      <c r="L13" s="705">
        <f t="shared" si="0"/>
        <v>187041300600.41428</v>
      </c>
      <c r="M13" s="705">
        <f t="shared" si="0"/>
        <v>188911583677.31885</v>
      </c>
      <c r="N13" s="705">
        <f t="shared" si="0"/>
        <v>190800589574.08466</v>
      </c>
      <c r="O13" s="705">
        <f t="shared" si="0"/>
        <v>751942854230.81787</v>
      </c>
    </row>
    <row r="14" spans="1:15" ht="37.200000000000003" customHeight="1">
      <c r="A14" s="1114"/>
      <c r="B14" s="702" t="s">
        <v>841</v>
      </c>
      <c r="C14" s="690">
        <f>'PLAN FINANCIERO COMPLETO'!H94</f>
        <v>2851000000</v>
      </c>
      <c r="D14" s="690">
        <f>'PLAN FINANCIERO COMPLETO'!J94</f>
        <v>2921000000</v>
      </c>
      <c r="E14" s="690">
        <f>'PLAN FINANCIERO COMPLETO'!K94</f>
        <v>2994000000</v>
      </c>
      <c r="F14" s="690">
        <f>'PLAN FINANCIERO COMPLETO'!L94</f>
        <v>3069000000</v>
      </c>
      <c r="G14" s="703">
        <f t="shared" si="2"/>
        <v>11835000000</v>
      </c>
      <c r="H14" s="1115"/>
      <c r="J14" s="702" t="s">
        <v>813</v>
      </c>
      <c r="K14" s="705">
        <f t="shared" si="1"/>
        <v>2851000000</v>
      </c>
      <c r="L14" s="705">
        <f t="shared" si="0"/>
        <v>2921000000</v>
      </c>
      <c r="M14" s="705">
        <f t="shared" si="0"/>
        <v>2994000000</v>
      </c>
      <c r="N14" s="705">
        <f t="shared" si="0"/>
        <v>3069000000</v>
      </c>
      <c r="O14" s="705">
        <f t="shared" si="0"/>
        <v>11835000000</v>
      </c>
    </row>
    <row r="15" spans="1:15" ht="37.200000000000003" customHeight="1">
      <c r="A15" s="1114"/>
      <c r="B15" s="702" t="s">
        <v>829</v>
      </c>
      <c r="C15" s="690">
        <f>'PLAN FINANCIERO COMPLETO'!H158</f>
        <v>69795245962.980011</v>
      </c>
      <c r="D15" s="690">
        <f>'PLAN FINANCIERO COMPLETO'!J158</f>
        <v>74167306604</v>
      </c>
      <c r="E15" s="690">
        <f>'PLAN FINANCIERO COMPLETO'!K158</f>
        <v>71300840834</v>
      </c>
      <c r="F15" s="690">
        <f>'PLAN FINANCIERO COMPLETO'!L158</f>
        <v>72363366170</v>
      </c>
      <c r="G15" s="703">
        <f t="shared" si="2"/>
        <v>287626759570.97998</v>
      </c>
      <c r="H15" s="1115"/>
      <c r="J15" s="702" t="s">
        <v>833</v>
      </c>
      <c r="K15" s="705">
        <f t="shared" si="1"/>
        <v>69795245962.980011</v>
      </c>
      <c r="L15" s="705">
        <f t="shared" si="0"/>
        <v>74167306604</v>
      </c>
      <c r="M15" s="705">
        <f t="shared" si="0"/>
        <v>71300840834</v>
      </c>
      <c r="N15" s="705">
        <f t="shared" si="0"/>
        <v>72363366170</v>
      </c>
      <c r="O15" s="705">
        <f t="shared" si="0"/>
        <v>287626759570.97998</v>
      </c>
    </row>
    <row r="16" spans="1:15" ht="37.200000000000003" customHeight="1" thickBot="1">
      <c r="A16" s="1114"/>
      <c r="B16" s="711" t="s">
        <v>820</v>
      </c>
      <c r="C16" s="712">
        <f>'PLAN FINANCIERO COMPLETO'!H153</f>
        <v>11514376768.389999</v>
      </c>
      <c r="D16" s="712">
        <f>'PLAN FINANCIERO COMPLETO'!J153</f>
        <v>1061410700</v>
      </c>
      <c r="E16" s="712">
        <f>'PLAN FINANCIERO COMPLETO'!K153</f>
        <v>742987490</v>
      </c>
      <c r="F16" s="712">
        <f>'PLAN FINANCIERO COMPLETO'!L153</f>
        <v>520091243</v>
      </c>
      <c r="G16" s="713">
        <f>SUM(C16:F16)</f>
        <v>13838866201.389999</v>
      </c>
      <c r="H16" s="1115"/>
      <c r="J16" s="711" t="s">
        <v>814</v>
      </c>
      <c r="K16" s="705">
        <f t="shared" si="1"/>
        <v>11514376768.389999</v>
      </c>
      <c r="L16" s="705">
        <f t="shared" si="0"/>
        <v>1061410700</v>
      </c>
      <c r="M16" s="705">
        <f t="shared" si="0"/>
        <v>742987490</v>
      </c>
      <c r="N16" s="705">
        <f t="shared" si="0"/>
        <v>520091243</v>
      </c>
      <c r="O16" s="705">
        <f t="shared" si="0"/>
        <v>13838866201.389999</v>
      </c>
    </row>
    <row r="17" spans="1:15" ht="19.5" customHeight="1" thickBot="1">
      <c r="A17" s="1114"/>
      <c r="B17" s="714" t="s">
        <v>645</v>
      </c>
      <c r="C17" s="715">
        <f>SUM(C11:C16)</f>
        <v>320415868644.31006</v>
      </c>
      <c r="D17" s="715">
        <f>SUM(D11:D16)</f>
        <v>303754687388.12427</v>
      </c>
      <c r="E17" s="715">
        <f t="shared" ref="E17:G17" si="3">SUM(E11:E16)</f>
        <v>301384094965.31885</v>
      </c>
      <c r="F17" s="715">
        <f t="shared" si="3"/>
        <v>296006449382.15295</v>
      </c>
      <c r="G17" s="716">
        <f t="shared" si="3"/>
        <v>1221561100379.906</v>
      </c>
      <c r="H17" s="1115"/>
      <c r="J17" s="714" t="s">
        <v>645</v>
      </c>
      <c r="K17" s="705">
        <f t="shared" si="1"/>
        <v>320415868644.31006</v>
      </c>
      <c r="L17" s="705">
        <f t="shared" si="0"/>
        <v>303754687388.12427</v>
      </c>
      <c r="M17" s="705">
        <f t="shared" si="0"/>
        <v>301384094965.31885</v>
      </c>
      <c r="N17" s="705">
        <f t="shared" si="0"/>
        <v>296006449382.15295</v>
      </c>
      <c r="O17" s="705">
        <f t="shared" si="0"/>
        <v>1221561100379.906</v>
      </c>
    </row>
    <row r="18" spans="1:15" ht="29.4" thickBot="1">
      <c r="A18" s="1114"/>
      <c r="B18" s="704" t="s">
        <v>821</v>
      </c>
      <c r="C18" s="705">
        <v>36873071310.555298</v>
      </c>
      <c r="D18" s="705">
        <v>65132511125.323196</v>
      </c>
      <c r="E18" s="705">
        <v>56979832216.93</v>
      </c>
      <c r="F18" s="705">
        <v>58560889493.119995</v>
      </c>
      <c r="G18" s="706">
        <f>SUM(C18:F18)</f>
        <v>217546304145.9285</v>
      </c>
      <c r="H18" s="1115"/>
      <c r="J18" s="704" t="s">
        <v>832</v>
      </c>
      <c r="K18" s="705">
        <f t="shared" si="1"/>
        <v>36873071310.555298</v>
      </c>
      <c r="L18" s="705">
        <f t="shared" si="0"/>
        <v>65132511125.323196</v>
      </c>
      <c r="M18" s="705">
        <f t="shared" si="0"/>
        <v>56979832216.93</v>
      </c>
      <c r="N18" s="705">
        <f t="shared" si="0"/>
        <v>58560889493.119995</v>
      </c>
      <c r="O18" s="705">
        <f t="shared" si="0"/>
        <v>217546304145.9285</v>
      </c>
    </row>
    <row r="19" spans="1:15" ht="17.25" customHeight="1" thickBot="1">
      <c r="A19" s="1114"/>
      <c r="B19" s="714" t="s">
        <v>645</v>
      </c>
      <c r="C19" s="715">
        <f>SUM(C18:C18)</f>
        <v>36873071310.555298</v>
      </c>
      <c r="D19" s="715">
        <f>SUM(D18:D18)</f>
        <v>65132511125.323196</v>
      </c>
      <c r="E19" s="715">
        <f>SUM(E18:E18)</f>
        <v>56979832216.93</v>
      </c>
      <c r="F19" s="715">
        <f>SUM(F18:F18)</f>
        <v>58560889493.119995</v>
      </c>
      <c r="G19" s="716">
        <f>SUM(G18:G18)</f>
        <v>217546304145.9285</v>
      </c>
      <c r="H19" s="1115"/>
      <c r="J19" s="714" t="s">
        <v>645</v>
      </c>
      <c r="K19" s="705">
        <f t="shared" si="1"/>
        <v>36873071310.555298</v>
      </c>
      <c r="L19" s="705">
        <f t="shared" si="0"/>
        <v>65132511125.323196</v>
      </c>
      <c r="M19" s="705">
        <f t="shared" si="0"/>
        <v>56979832216.93</v>
      </c>
      <c r="N19" s="705">
        <f t="shared" si="0"/>
        <v>58560889493.119995</v>
      </c>
      <c r="O19" s="705">
        <f t="shared" si="0"/>
        <v>217546304145.9285</v>
      </c>
    </row>
    <row r="20" spans="1:15" ht="17.25" customHeight="1" thickBot="1">
      <c r="A20" s="1114"/>
      <c r="B20" s="714" t="s">
        <v>8</v>
      </c>
      <c r="C20" s="715">
        <f>C19+C17</f>
        <v>357288939954.86536</v>
      </c>
      <c r="D20" s="715">
        <f>D19+D17</f>
        <v>368887198513.44745</v>
      </c>
      <c r="E20" s="715">
        <f>E19+E17</f>
        <v>358363927182.24884</v>
      </c>
      <c r="F20" s="715">
        <f>F19+F17</f>
        <v>354567338875.27295</v>
      </c>
      <c r="G20" s="716">
        <f>G19+G17</f>
        <v>1439107404525.8345</v>
      </c>
      <c r="H20" s="1115"/>
      <c r="J20" s="714" t="s">
        <v>8</v>
      </c>
      <c r="K20" s="705">
        <f t="shared" si="1"/>
        <v>357288939954.86536</v>
      </c>
      <c r="L20" s="705">
        <f t="shared" si="0"/>
        <v>368887198513.44745</v>
      </c>
      <c r="M20" s="705">
        <f t="shared" si="0"/>
        <v>358363927182.24884</v>
      </c>
      <c r="N20" s="705">
        <f t="shared" si="0"/>
        <v>354567338875.27295</v>
      </c>
      <c r="O20" s="705">
        <f t="shared" si="0"/>
        <v>1439107404525.8345</v>
      </c>
    </row>
    <row r="21" spans="1:15">
      <c r="A21" s="1114"/>
      <c r="B21" s="731"/>
      <c r="C21" s="732"/>
      <c r="D21" s="852"/>
      <c r="E21" s="732"/>
      <c r="F21" s="732"/>
      <c r="G21" s="732"/>
      <c r="H21" s="1115"/>
    </row>
    <row r="22" spans="1:15">
      <c r="A22" s="1114"/>
      <c r="B22" s="731"/>
      <c r="C22" s="732"/>
      <c r="D22" s="732"/>
      <c r="E22" s="732"/>
      <c r="F22" s="732"/>
      <c r="G22" s="732"/>
      <c r="H22" s="1115"/>
    </row>
    <row r="23" spans="1:15">
      <c r="A23" s="1114"/>
      <c r="B23" s="731"/>
      <c r="C23" s="732"/>
      <c r="D23" s="734"/>
      <c r="E23" s="734"/>
      <c r="F23" s="734"/>
      <c r="G23" s="734"/>
      <c r="H23" s="1115"/>
    </row>
    <row r="24" spans="1:15">
      <c r="A24" s="1114"/>
      <c r="B24" s="731"/>
      <c r="C24" s="732"/>
      <c r="D24" s="734"/>
      <c r="E24" s="734"/>
      <c r="F24" s="734"/>
      <c r="G24" s="734"/>
      <c r="H24" s="1115"/>
      <c r="J24" s="920" t="s">
        <v>69</v>
      </c>
      <c r="K24" s="920" t="s">
        <v>591</v>
      </c>
      <c r="L24" s="920" t="s">
        <v>804</v>
      </c>
    </row>
    <row r="25" spans="1:15">
      <c r="A25" s="1114"/>
      <c r="B25" s="731"/>
      <c r="C25" s="732"/>
      <c r="D25" s="733"/>
      <c r="E25" s="733"/>
      <c r="F25" s="733"/>
      <c r="G25" s="733"/>
      <c r="H25" s="1115"/>
      <c r="J25" s="920" t="s">
        <v>826</v>
      </c>
      <c r="K25" s="921">
        <f>G11+G16</f>
        <v>49000362897.708298</v>
      </c>
      <c r="L25" s="922">
        <f t="shared" ref="L25:L30" si="4">K25/$K$30</f>
        <v>3.4049135417973352E-2</v>
      </c>
    </row>
    <row r="26" spans="1:15" s="2" customFormat="1">
      <c r="A26" s="1116"/>
      <c r="B26" s="735"/>
      <c r="C26" s="736"/>
      <c r="D26" s="737"/>
      <c r="E26" s="737"/>
      <c r="F26" s="738"/>
      <c r="G26" s="736"/>
      <c r="H26" s="1117"/>
      <c r="J26" s="541" t="s">
        <v>827</v>
      </c>
      <c r="K26" s="923">
        <f>G12</f>
        <v>121156123680.40001</v>
      </c>
      <c r="L26" s="922">
        <f t="shared" si="4"/>
        <v>8.4188381839588419E-2</v>
      </c>
    </row>
    <row r="27" spans="1:15" s="2" customFormat="1">
      <c r="A27" s="1116"/>
      <c r="B27" s="735"/>
      <c r="C27" s="736"/>
      <c r="D27" s="737"/>
      <c r="E27" s="737"/>
      <c r="F27" s="738"/>
      <c r="G27" s="736"/>
      <c r="H27" s="1117"/>
      <c r="J27" s="737" t="s">
        <v>831</v>
      </c>
      <c r="K27" s="736">
        <f>G13+G14</f>
        <v>763777854230.81787</v>
      </c>
      <c r="L27" s="922">
        <f t="shared" si="4"/>
        <v>0.53073026504402687</v>
      </c>
    </row>
    <row r="28" spans="1:15" s="2" customFormat="1">
      <c r="A28" s="1116"/>
      <c r="B28" s="735"/>
      <c r="C28" s="732"/>
      <c r="D28" s="737"/>
      <c r="E28" s="737"/>
      <c r="F28" s="737"/>
      <c r="G28" s="737"/>
      <c r="H28" s="1117"/>
      <c r="J28" s="2" t="s">
        <v>830</v>
      </c>
      <c r="K28" s="9">
        <f>G15</f>
        <v>287626759570.97998</v>
      </c>
      <c r="L28" s="922">
        <f t="shared" si="4"/>
        <v>0.19986469298012463</v>
      </c>
    </row>
    <row r="29" spans="1:15" s="2" customFormat="1">
      <c r="A29" s="1116"/>
      <c r="B29" s="735"/>
      <c r="C29" s="732"/>
      <c r="D29" s="737"/>
      <c r="E29" s="737"/>
      <c r="F29" s="737"/>
      <c r="G29" s="737"/>
      <c r="H29" s="1117"/>
      <c r="J29" s="541" t="s">
        <v>828</v>
      </c>
      <c r="K29" s="542">
        <f>G18</f>
        <v>217546304145.9285</v>
      </c>
      <c r="L29" s="922">
        <f t="shared" si="4"/>
        <v>0.15116752471828668</v>
      </c>
    </row>
    <row r="30" spans="1:15" s="2" customFormat="1">
      <c r="A30" s="1116"/>
      <c r="B30" s="735"/>
      <c r="C30" s="737"/>
      <c r="D30" s="737"/>
      <c r="E30" s="737"/>
      <c r="F30" s="737"/>
      <c r="G30" s="737"/>
      <c r="H30" s="1117"/>
      <c r="J30" s="541" t="s">
        <v>8</v>
      </c>
      <c r="K30" s="923">
        <f>SUM(K25:K29)</f>
        <v>1439107404525.8347</v>
      </c>
      <c r="L30" s="922">
        <f t="shared" si="4"/>
        <v>1</v>
      </c>
    </row>
    <row r="31" spans="1:15" s="2" customFormat="1">
      <c r="A31" s="1116"/>
      <c r="B31" s="735"/>
      <c r="C31" s="732"/>
      <c r="D31" s="737"/>
      <c r="E31" s="737"/>
      <c r="F31" s="737"/>
      <c r="G31" s="737"/>
      <c r="H31" s="1117"/>
    </row>
    <row r="32" spans="1:15" s="2" customFormat="1" ht="13.8">
      <c r="A32" s="1116"/>
      <c r="B32" s="735"/>
      <c r="C32" s="736"/>
      <c r="D32" s="737"/>
      <c r="E32" s="737"/>
      <c r="F32" s="737"/>
      <c r="G32" s="737"/>
      <c r="H32" s="1117"/>
      <c r="I32" s="7">
        <f>G20-'PLAN PLURIANUAL DE INVERSIONES'!L11</f>
        <v>-13635365522.005859</v>
      </c>
    </row>
    <row r="33" spans="1:11" s="2" customFormat="1" ht="13.8">
      <c r="A33" s="1116"/>
      <c r="B33" s="735"/>
      <c r="C33" s="737"/>
      <c r="D33" s="737"/>
      <c r="E33" s="737"/>
      <c r="F33" s="737"/>
      <c r="G33" s="737"/>
      <c r="H33" s="1117"/>
      <c r="I33" s="855"/>
    </row>
    <row r="34" spans="1:11" s="2" customFormat="1" ht="13.8">
      <c r="A34" s="1116"/>
      <c r="B34" s="735"/>
      <c r="C34" s="737"/>
      <c r="D34" s="737"/>
      <c r="E34" s="737"/>
      <c r="F34" s="737"/>
      <c r="G34" s="737"/>
      <c r="H34" s="1117"/>
    </row>
    <row r="35" spans="1:11" s="2" customFormat="1" ht="13.8">
      <c r="A35" s="1116"/>
      <c r="B35" s="735"/>
      <c r="C35" s="737"/>
      <c r="D35" s="737"/>
      <c r="E35" s="737"/>
      <c r="F35" s="737"/>
      <c r="G35" s="737"/>
      <c r="H35" s="1117"/>
      <c r="J35" s="2" t="s">
        <v>837</v>
      </c>
      <c r="K35" s="7">
        <f>G11+G12+G16</f>
        <v>170156486578.10834</v>
      </c>
    </row>
    <row r="36" spans="1:11" s="2" customFormat="1" ht="13.8">
      <c r="A36" s="1116"/>
      <c r="B36" s="735"/>
      <c r="C36" s="737"/>
      <c r="D36" s="737"/>
      <c r="E36" s="737"/>
      <c r="F36" s="737"/>
      <c r="G36" s="737"/>
      <c r="H36" s="1117"/>
      <c r="J36" s="2" t="s">
        <v>838</v>
      </c>
      <c r="K36" s="7">
        <f>SUM(K37:K39)</f>
        <v>1268950917947.7263</v>
      </c>
    </row>
    <row r="37" spans="1:11" s="2" customFormat="1" ht="13.8">
      <c r="A37" s="1116"/>
      <c r="B37" s="735"/>
      <c r="C37" s="737"/>
      <c r="D37" s="737"/>
      <c r="E37" s="737"/>
      <c r="F37" s="737"/>
      <c r="G37" s="737"/>
      <c r="H37" s="1117"/>
      <c r="J37" s="2" t="s">
        <v>831</v>
      </c>
      <c r="K37" s="7">
        <f>G13+G14</f>
        <v>763777854230.81787</v>
      </c>
    </row>
    <row r="38" spans="1:11" s="2" customFormat="1" ht="13.8">
      <c r="A38" s="1116"/>
      <c r="B38" s="735"/>
      <c r="C38" s="737"/>
      <c r="D38" s="737"/>
      <c r="E38" s="737"/>
      <c r="F38" s="737"/>
      <c r="G38" s="737"/>
      <c r="H38" s="1117"/>
      <c r="J38" s="2" t="s">
        <v>49</v>
      </c>
      <c r="K38" s="9">
        <f>G15</f>
        <v>287626759570.97998</v>
      </c>
    </row>
    <row r="39" spans="1:11" s="2" customFormat="1" ht="13.8">
      <c r="A39" s="1116"/>
      <c r="B39" s="735"/>
      <c r="C39" s="737"/>
      <c r="D39" s="737"/>
      <c r="E39" s="737"/>
      <c r="F39" s="737"/>
      <c r="G39" s="737"/>
      <c r="H39" s="1117"/>
      <c r="J39" s="2" t="s">
        <v>828</v>
      </c>
      <c r="K39" s="9">
        <f>G18</f>
        <v>217546304145.9285</v>
      </c>
    </row>
    <row r="40" spans="1:11" s="2" customFormat="1" ht="13.8">
      <c r="A40" s="1116"/>
      <c r="B40" s="735"/>
      <c r="C40" s="737"/>
      <c r="D40" s="737"/>
      <c r="E40" s="737"/>
      <c r="F40" s="737"/>
      <c r="G40" s="737"/>
      <c r="H40" s="1117"/>
    </row>
    <row r="41" spans="1:11" s="2" customFormat="1" ht="13.8">
      <c r="A41" s="1116"/>
      <c r="B41" s="735"/>
      <c r="C41" s="737"/>
      <c r="D41" s="737"/>
      <c r="E41" s="737"/>
      <c r="F41" s="737"/>
      <c r="G41" s="737"/>
      <c r="H41" s="1117"/>
    </row>
    <row r="42" spans="1:11" s="2" customFormat="1" ht="13.8">
      <c r="A42" s="1116"/>
      <c r="B42" s="735"/>
      <c r="C42" s="737"/>
      <c r="D42" s="737"/>
      <c r="E42" s="737"/>
      <c r="F42" s="737"/>
      <c r="G42" s="737"/>
      <c r="H42" s="1117"/>
      <c r="J42" s="7"/>
      <c r="K42" s="7"/>
    </row>
    <row r="43" spans="1:11" s="2" customFormat="1" ht="13.8">
      <c r="A43" s="1116"/>
      <c r="B43" s="735"/>
      <c r="C43" s="737"/>
      <c r="D43" s="737"/>
      <c r="E43" s="737"/>
      <c r="F43" s="737"/>
      <c r="G43" s="737"/>
      <c r="H43" s="1117"/>
      <c r="I43" s="2" t="s">
        <v>839</v>
      </c>
      <c r="K43" s="7"/>
    </row>
    <row r="44" spans="1:11" s="2" customFormat="1" ht="13.8">
      <c r="A44" s="1116"/>
      <c r="B44" s="735"/>
      <c r="C44" s="737"/>
      <c r="D44" s="737"/>
      <c r="E44" s="737"/>
      <c r="F44" s="737"/>
      <c r="G44" s="737"/>
      <c r="H44" s="1117"/>
      <c r="I44" s="2" t="s">
        <v>840</v>
      </c>
      <c r="K44" s="9"/>
    </row>
    <row r="45" spans="1:11" s="2" customFormat="1" ht="13.8">
      <c r="A45" s="1116"/>
      <c r="B45" s="735"/>
      <c r="C45" s="737"/>
      <c r="D45" s="737"/>
      <c r="E45" s="737"/>
      <c r="F45" s="737"/>
      <c r="G45" s="737"/>
      <c r="H45" s="1117"/>
      <c r="I45" s="2" t="s">
        <v>114</v>
      </c>
      <c r="K45" s="9"/>
    </row>
    <row r="46" spans="1:11" s="2" customFormat="1" ht="13.8">
      <c r="A46" s="1116"/>
      <c r="B46" s="735"/>
      <c r="C46" s="737"/>
      <c r="D46" s="737"/>
      <c r="E46" s="737"/>
      <c r="F46" s="737"/>
      <c r="G46" s="737"/>
      <c r="H46" s="1117"/>
    </row>
    <row r="47" spans="1:11" s="2" customFormat="1" ht="13.8">
      <c r="A47" s="1116"/>
      <c r="B47" s="735"/>
      <c r="C47" s="737"/>
      <c r="D47" s="737"/>
      <c r="E47" s="737"/>
      <c r="F47" s="737"/>
      <c r="G47" s="737"/>
      <c r="H47" s="1117"/>
    </row>
    <row r="48" spans="1:11" s="2" customFormat="1" ht="13.8">
      <c r="A48" s="1116"/>
      <c r="B48" s="735"/>
      <c r="C48" s="737"/>
      <c r="D48" s="737"/>
      <c r="E48" s="737"/>
      <c r="F48" s="737"/>
      <c r="G48" s="737"/>
      <c r="H48" s="1117"/>
    </row>
    <row r="49" spans="1:8" s="2" customFormat="1" ht="13.8">
      <c r="A49" s="1116"/>
      <c r="B49" s="735"/>
      <c r="C49" s="737"/>
      <c r="D49" s="737"/>
      <c r="E49" s="737"/>
      <c r="F49" s="737"/>
      <c r="G49" s="737"/>
      <c r="H49" s="1117"/>
    </row>
    <row r="50" spans="1:8" s="2" customFormat="1" ht="13.8">
      <c r="A50" s="1116"/>
      <c r="B50" s="735"/>
      <c r="C50" s="737"/>
      <c r="D50" s="737"/>
      <c r="E50" s="737"/>
      <c r="F50" s="737"/>
      <c r="G50" s="737"/>
      <c r="H50" s="1117"/>
    </row>
    <row r="51" spans="1:8" s="2" customFormat="1" ht="13.8">
      <c r="A51" s="1116"/>
      <c r="B51" s="735"/>
      <c r="C51" s="737"/>
      <c r="D51" s="737"/>
      <c r="E51" s="737"/>
      <c r="F51" s="737"/>
      <c r="G51" s="737"/>
      <c r="H51" s="1117"/>
    </row>
    <row r="52" spans="1:8" s="2" customFormat="1" ht="13.8">
      <c r="A52" s="1116"/>
      <c r="B52" s="735"/>
      <c r="C52" s="737"/>
      <c r="D52" s="737"/>
      <c r="E52" s="737"/>
      <c r="F52" s="737"/>
      <c r="G52" s="737"/>
      <c r="H52" s="1117"/>
    </row>
    <row r="53" spans="1:8" s="2" customFormat="1" ht="13.8">
      <c r="A53" s="1116"/>
      <c r="B53" s="735"/>
      <c r="C53" s="737"/>
      <c r="D53" s="737"/>
      <c r="E53" s="737"/>
      <c r="F53" s="737"/>
      <c r="G53" s="737"/>
      <c r="H53" s="1117"/>
    </row>
    <row r="54" spans="1:8" s="2" customFormat="1" ht="13.8">
      <c r="A54" s="1116"/>
      <c r="B54" s="735"/>
      <c r="C54" s="737"/>
      <c r="D54" s="737"/>
      <c r="E54" s="737"/>
      <c r="F54" s="737"/>
      <c r="G54" s="737"/>
      <c r="H54" s="1117"/>
    </row>
    <row r="55" spans="1:8" s="2" customFormat="1" ht="13.8">
      <c r="A55" s="1116"/>
      <c r="B55" s="735"/>
      <c r="C55" s="737"/>
      <c r="D55" s="737"/>
      <c r="E55" s="737"/>
      <c r="F55" s="737"/>
      <c r="G55" s="737"/>
      <c r="H55" s="1117"/>
    </row>
    <row r="56" spans="1:8" s="2" customFormat="1" ht="13.8">
      <c r="A56" s="1116"/>
      <c r="B56" s="735"/>
      <c r="C56" s="737"/>
      <c r="D56" s="737"/>
      <c r="E56" s="737"/>
      <c r="F56" s="737"/>
      <c r="G56" s="737"/>
      <c r="H56" s="1117"/>
    </row>
    <row r="57" spans="1:8" s="2" customFormat="1" ht="13.8">
      <c r="A57" s="1116"/>
      <c r="B57" s="735"/>
      <c r="C57" s="737"/>
      <c r="D57" s="737"/>
      <c r="E57" s="737"/>
      <c r="F57" s="737"/>
      <c r="G57" s="737"/>
      <c r="H57" s="1117"/>
    </row>
    <row r="58" spans="1:8" s="2" customFormat="1" ht="13.8">
      <c r="A58" s="1116"/>
      <c r="B58" s="735"/>
      <c r="C58" s="737"/>
      <c r="D58" s="737"/>
      <c r="E58" s="737"/>
      <c r="F58" s="737"/>
      <c r="G58" s="737"/>
      <c r="H58" s="1117"/>
    </row>
    <row r="59" spans="1:8" s="2" customFormat="1" ht="13.8">
      <c r="A59" s="1116"/>
      <c r="B59" s="735"/>
      <c r="C59" s="737"/>
      <c r="D59" s="737"/>
      <c r="E59" s="737"/>
      <c r="F59" s="737"/>
      <c r="G59" s="737"/>
      <c r="H59" s="1117"/>
    </row>
    <row r="60" spans="1:8" s="2" customFormat="1" ht="13.8">
      <c r="A60" s="1116"/>
      <c r="B60" s="735"/>
      <c r="C60" s="737"/>
      <c r="D60" s="737"/>
      <c r="E60" s="737"/>
      <c r="F60" s="737"/>
      <c r="G60" s="737"/>
      <c r="H60" s="1117"/>
    </row>
    <row r="61" spans="1:8" s="2" customFormat="1" ht="13.8">
      <c r="A61" s="1116"/>
      <c r="B61" s="735"/>
      <c r="C61" s="737"/>
      <c r="D61" s="737"/>
      <c r="E61" s="737"/>
      <c r="F61" s="737"/>
      <c r="G61" s="737"/>
      <c r="H61" s="1117"/>
    </row>
    <row r="62" spans="1:8" s="2" customFormat="1" ht="13.8">
      <c r="A62" s="1116"/>
      <c r="B62" s="735"/>
      <c r="C62" s="737"/>
      <c r="D62" s="737"/>
      <c r="E62" s="737"/>
      <c r="F62" s="737"/>
      <c r="G62" s="737"/>
      <c r="H62" s="1117"/>
    </row>
    <row r="63" spans="1:8" s="2" customFormat="1" ht="13.8">
      <c r="A63" s="1116"/>
      <c r="B63" s="735"/>
      <c r="C63" s="737"/>
      <c r="D63" s="737"/>
      <c r="E63" s="737"/>
      <c r="F63" s="737"/>
      <c r="G63" s="737"/>
      <c r="H63" s="1117"/>
    </row>
    <row r="64" spans="1:8" s="2" customFormat="1" ht="13.8">
      <c r="A64" s="1116"/>
      <c r="B64" s="735"/>
      <c r="C64" s="737"/>
      <c r="D64" s="737"/>
      <c r="E64" s="737"/>
      <c r="F64" s="737"/>
      <c r="G64" s="737"/>
      <c r="H64" s="1117"/>
    </row>
    <row r="65" spans="1:8" s="2" customFormat="1" ht="13.8">
      <c r="A65" s="1116"/>
      <c r="B65" s="735"/>
      <c r="C65" s="737"/>
      <c r="D65" s="737"/>
      <c r="E65" s="737"/>
      <c r="F65" s="737"/>
      <c r="G65" s="737"/>
      <c r="H65" s="1117"/>
    </row>
    <row r="66" spans="1:8" s="2" customFormat="1" ht="13.8">
      <c r="A66" s="1116"/>
      <c r="B66" s="735"/>
      <c r="C66" s="737"/>
      <c r="D66" s="737"/>
      <c r="E66" s="737"/>
      <c r="F66" s="737"/>
      <c r="G66" s="737"/>
      <c r="H66" s="1117"/>
    </row>
    <row r="67" spans="1:8" s="2" customFormat="1" ht="13.8">
      <c r="A67" s="1116"/>
      <c r="B67" s="735"/>
      <c r="C67" s="737"/>
      <c r="D67" s="737"/>
      <c r="E67" s="737"/>
      <c r="F67" s="737"/>
      <c r="G67" s="737"/>
      <c r="H67" s="1117"/>
    </row>
    <row r="68" spans="1:8" s="2" customFormat="1" ht="13.8">
      <c r="A68" s="1116"/>
      <c r="B68" s="735"/>
      <c r="C68" s="737"/>
      <c r="D68" s="737"/>
      <c r="E68" s="737"/>
      <c r="F68" s="737"/>
      <c r="G68" s="737"/>
      <c r="H68" s="1117"/>
    </row>
    <row r="69" spans="1:8" s="2" customFormat="1" ht="13.8">
      <c r="A69" s="1116"/>
      <c r="B69" s="735"/>
      <c r="C69" s="737"/>
      <c r="D69" s="737"/>
      <c r="E69" s="737"/>
      <c r="F69" s="737"/>
      <c r="G69" s="737"/>
      <c r="H69" s="1117"/>
    </row>
    <row r="70" spans="1:8" s="2" customFormat="1" ht="13.8">
      <c r="A70" s="1116"/>
      <c r="B70" s="735"/>
      <c r="C70" s="737"/>
      <c r="D70" s="737"/>
      <c r="E70" s="737"/>
      <c r="F70" s="737"/>
      <c r="G70" s="737"/>
      <c r="H70" s="1117"/>
    </row>
    <row r="71" spans="1:8" s="2" customFormat="1" ht="13.8">
      <c r="A71" s="1116"/>
      <c r="B71" s="735"/>
      <c r="C71" s="737"/>
      <c r="D71" s="737"/>
      <c r="E71" s="737"/>
      <c r="F71" s="737"/>
      <c r="G71" s="737"/>
      <c r="H71" s="1117"/>
    </row>
    <row r="72" spans="1:8" s="2" customFormat="1" ht="13.8">
      <c r="A72" s="1116"/>
      <c r="B72" s="735"/>
      <c r="C72" s="737"/>
      <c r="D72" s="737"/>
      <c r="E72" s="737"/>
      <c r="F72" s="737"/>
      <c r="G72" s="737"/>
      <c r="H72" s="1117"/>
    </row>
    <row r="73" spans="1:8" s="2" customFormat="1" ht="13.8">
      <c r="A73" s="1116"/>
      <c r="B73" s="735"/>
      <c r="C73" s="737"/>
      <c r="D73" s="737"/>
      <c r="E73" s="737"/>
      <c r="F73" s="737"/>
      <c r="G73" s="737"/>
      <c r="H73" s="1117"/>
    </row>
    <row r="74" spans="1:8" s="2" customFormat="1" ht="13.8">
      <c r="A74" s="1116"/>
      <c r="B74" s="735"/>
      <c r="C74" s="737"/>
      <c r="D74" s="737"/>
      <c r="E74" s="737"/>
      <c r="F74" s="737"/>
      <c r="G74" s="737"/>
      <c r="H74" s="1117"/>
    </row>
    <row r="75" spans="1:8" s="2" customFormat="1" ht="13.8">
      <c r="A75" s="1116"/>
      <c r="B75" s="735"/>
      <c r="C75" s="737"/>
      <c r="D75" s="737"/>
      <c r="E75" s="737"/>
      <c r="F75" s="737"/>
      <c r="G75" s="737"/>
      <c r="H75" s="1117"/>
    </row>
    <row r="76" spans="1:8" s="2" customFormat="1" ht="13.8">
      <c r="A76" s="1116"/>
      <c r="B76" s="735"/>
      <c r="C76" s="737"/>
      <c r="D76" s="737"/>
      <c r="E76" s="737"/>
      <c r="F76" s="737"/>
      <c r="G76" s="737"/>
      <c r="H76" s="1117"/>
    </row>
    <row r="77" spans="1:8" s="2" customFormat="1" ht="13.8">
      <c r="A77" s="1116"/>
      <c r="B77" s="735"/>
      <c r="C77" s="737"/>
      <c r="D77" s="737"/>
      <c r="E77" s="737"/>
      <c r="F77" s="737"/>
      <c r="G77" s="737"/>
      <c r="H77" s="1117"/>
    </row>
    <row r="78" spans="1:8" s="2" customFormat="1" ht="13.8">
      <c r="A78" s="1116"/>
      <c r="B78" s="735"/>
      <c r="C78" s="737"/>
      <c r="D78" s="737"/>
      <c r="E78" s="737"/>
      <c r="F78" s="737"/>
      <c r="G78" s="737"/>
      <c r="H78" s="1117"/>
    </row>
    <row r="79" spans="1:8" s="2" customFormat="1" ht="13.8">
      <c r="A79" s="1116"/>
      <c r="B79" s="735"/>
      <c r="C79" s="737"/>
      <c r="D79" s="737"/>
      <c r="E79" s="737"/>
      <c r="F79" s="737"/>
      <c r="G79" s="737"/>
      <c r="H79" s="1117"/>
    </row>
    <row r="80" spans="1:8" s="2" customFormat="1" ht="13.8">
      <c r="A80" s="1116"/>
      <c r="B80" s="1045" t="s">
        <v>846</v>
      </c>
      <c r="C80" s="737"/>
      <c r="D80" s="737"/>
      <c r="E80" s="737"/>
      <c r="F80" s="737"/>
      <c r="G80" s="737"/>
      <c r="H80" s="1117"/>
    </row>
    <row r="81" spans="1:8" s="2" customFormat="1" ht="13.8">
      <c r="A81" s="1116"/>
      <c r="B81" s="1045" t="s">
        <v>852</v>
      </c>
      <c r="C81" s="737"/>
      <c r="D81" s="737"/>
      <c r="E81" s="737"/>
      <c r="F81" s="737"/>
      <c r="G81" s="737"/>
      <c r="H81" s="1117"/>
    </row>
    <row r="82" spans="1:8" s="2" customFormat="1" ht="13.8">
      <c r="A82" s="1116"/>
      <c r="B82" s="1042" t="s">
        <v>853</v>
      </c>
      <c r="C82" s="737"/>
      <c r="D82" s="737"/>
      <c r="E82" s="737"/>
      <c r="F82" s="737"/>
      <c r="G82" s="737"/>
      <c r="H82" s="1117"/>
    </row>
    <row r="83" spans="1:8" s="2" customFormat="1" ht="13.8">
      <c r="A83" s="1116"/>
      <c r="B83" s="1042" t="s">
        <v>854</v>
      </c>
      <c r="C83" s="737"/>
      <c r="D83" s="737"/>
      <c r="E83" s="737"/>
      <c r="F83" s="737"/>
      <c r="G83" s="737"/>
      <c r="H83" s="1117"/>
    </row>
    <row r="84" spans="1:8" s="2" customFormat="1" ht="13.8">
      <c r="A84" s="1116"/>
      <c r="B84" s="1042" t="s">
        <v>855</v>
      </c>
      <c r="C84" s="737"/>
      <c r="D84" s="737"/>
      <c r="E84" s="737"/>
      <c r="F84" s="737"/>
      <c r="G84" s="737"/>
      <c r="H84" s="1117"/>
    </row>
    <row r="85" spans="1:8" s="2" customFormat="1" ht="13.8">
      <c r="A85" s="1116"/>
      <c r="B85" s="1042" t="s">
        <v>856</v>
      </c>
      <c r="C85" s="737"/>
      <c r="D85" s="737"/>
      <c r="E85" s="737"/>
      <c r="F85" s="737"/>
      <c r="G85" s="737"/>
      <c r="H85" s="1117"/>
    </row>
    <row r="86" spans="1:8" s="2" customFormat="1" ht="13.8">
      <c r="A86" s="1116"/>
      <c r="B86" s="1042" t="s">
        <v>857</v>
      </c>
      <c r="C86" s="737"/>
      <c r="D86" s="737"/>
      <c r="E86" s="737"/>
      <c r="F86" s="737"/>
      <c r="G86" s="737"/>
      <c r="H86" s="1117"/>
    </row>
    <row r="87" spans="1:8" s="2" customFormat="1" ht="13.8">
      <c r="A87" s="1116"/>
      <c r="B87" s="735"/>
      <c r="C87" s="737"/>
      <c r="D87" s="737"/>
      <c r="E87" s="737"/>
      <c r="F87" s="737"/>
      <c r="G87" s="737"/>
      <c r="H87" s="1117"/>
    </row>
    <row r="88" spans="1:8" s="2" customFormat="1" ht="13.8">
      <c r="A88" s="1116"/>
      <c r="B88" s="735"/>
      <c r="C88" s="737"/>
      <c r="D88" s="737"/>
      <c r="E88" s="737"/>
      <c r="F88" s="737"/>
      <c r="G88" s="737"/>
      <c r="H88" s="1117"/>
    </row>
    <row r="89" spans="1:8" s="2" customFormat="1" ht="22.95" customHeight="1">
      <c r="A89" s="1116"/>
      <c r="B89" s="1484" t="s">
        <v>885</v>
      </c>
      <c r="C89" s="1484"/>
      <c r="D89" s="1484"/>
      <c r="E89" s="1484"/>
      <c r="F89" s="1484"/>
      <c r="G89" s="1484"/>
      <c r="H89" s="1117"/>
    </row>
    <row r="90" spans="1:8" s="2" customFormat="1" ht="22.95" customHeight="1">
      <c r="A90" s="1116"/>
      <c r="B90" s="1484" t="s">
        <v>893</v>
      </c>
      <c r="C90" s="1484"/>
      <c r="D90" s="1484"/>
      <c r="E90" s="1484"/>
      <c r="F90" s="1484"/>
      <c r="G90" s="1484"/>
      <c r="H90" s="1117"/>
    </row>
    <row r="91" spans="1:8" s="2" customFormat="1" ht="22.95" customHeight="1">
      <c r="A91" s="1116"/>
      <c r="B91" s="1484" t="s">
        <v>894</v>
      </c>
      <c r="C91" s="1484"/>
      <c r="D91" s="1484"/>
      <c r="E91" s="1484"/>
      <c r="F91" s="1484"/>
      <c r="G91" s="1484"/>
      <c r="H91" s="1117"/>
    </row>
    <row r="92" spans="1:8" s="2" customFormat="1" ht="22.95" customHeight="1">
      <c r="A92" s="1116"/>
      <c r="B92" s="1484" t="s">
        <v>886</v>
      </c>
      <c r="C92" s="1484"/>
      <c r="D92" s="1484"/>
      <c r="E92" s="1484"/>
      <c r="F92" s="1484"/>
      <c r="G92" s="1484"/>
      <c r="H92" s="1117"/>
    </row>
    <row r="93" spans="1:8" s="2" customFormat="1" ht="22.95" customHeight="1">
      <c r="A93" s="1116"/>
      <c r="B93" s="1484" t="s">
        <v>895</v>
      </c>
      <c r="C93" s="1484"/>
      <c r="D93" s="1484"/>
      <c r="E93" s="1484"/>
      <c r="F93" s="1484"/>
      <c r="G93" s="1484"/>
      <c r="H93" s="1117"/>
    </row>
    <row r="94" spans="1:8" s="2" customFormat="1" ht="13.8">
      <c r="A94" s="1116"/>
      <c r="B94" s="735"/>
      <c r="C94" s="737"/>
      <c r="D94" s="737"/>
      <c r="E94" s="737"/>
      <c r="F94" s="737"/>
      <c r="G94" s="737"/>
      <c r="H94" s="1117"/>
    </row>
    <row r="95" spans="1:8" s="2" customFormat="1" ht="13.8">
      <c r="A95" s="1116"/>
      <c r="B95" s="735"/>
      <c r="C95" s="737"/>
      <c r="D95" s="737"/>
      <c r="E95" s="737"/>
      <c r="F95" s="737"/>
      <c r="G95" s="737"/>
      <c r="H95" s="1117"/>
    </row>
    <row r="96" spans="1:8" s="2" customFormat="1" ht="13.8">
      <c r="A96" s="1116"/>
      <c r="B96" s="735"/>
      <c r="C96" s="737"/>
      <c r="D96" s="737"/>
      <c r="E96" s="737"/>
      <c r="F96" s="737"/>
      <c r="G96" s="737"/>
      <c r="H96" s="1117"/>
    </row>
    <row r="97" spans="1:8" s="2" customFormat="1" ht="13.8">
      <c r="A97" s="1116"/>
      <c r="B97" s="735"/>
      <c r="C97" s="737"/>
      <c r="D97" s="737"/>
      <c r="E97" s="737"/>
      <c r="F97" s="737"/>
      <c r="G97" s="737"/>
      <c r="H97" s="1117"/>
    </row>
    <row r="98" spans="1:8" s="2" customFormat="1" ht="13.8">
      <c r="A98" s="1116"/>
      <c r="B98" s="735"/>
      <c r="C98" s="737"/>
      <c r="D98" s="737"/>
      <c r="E98" s="737"/>
      <c r="F98" s="737"/>
      <c r="G98" s="737"/>
      <c r="H98" s="1117"/>
    </row>
    <row r="99" spans="1:8" s="2" customFormat="1" ht="13.8">
      <c r="A99" s="1116"/>
      <c r="B99" s="735"/>
      <c r="C99" s="737"/>
      <c r="D99" s="737"/>
      <c r="E99" s="737"/>
      <c r="F99" s="737"/>
      <c r="G99" s="737"/>
      <c r="H99" s="1117"/>
    </row>
    <row r="100" spans="1:8">
      <c r="A100" s="1114"/>
      <c r="B100" s="1478" t="s">
        <v>708</v>
      </c>
      <c r="C100" s="1479"/>
      <c r="D100" s="1479"/>
      <c r="E100" s="1479"/>
      <c r="F100" s="1479"/>
      <c r="G100" s="1480"/>
      <c r="H100" s="1115"/>
    </row>
    <row r="101" spans="1:8" ht="15" thickBot="1">
      <c r="A101" s="1118"/>
      <c r="B101" s="1119"/>
      <c r="C101" s="1120"/>
      <c r="D101" s="1121"/>
      <c r="E101" s="1121"/>
      <c r="F101" s="1121"/>
      <c r="G101" s="1121"/>
      <c r="H101" s="1122"/>
    </row>
  </sheetData>
  <mergeCells count="12">
    <mergeCell ref="B100:G100"/>
    <mergeCell ref="B2:B6"/>
    <mergeCell ref="C2:G6"/>
    <mergeCell ref="B7:G7"/>
    <mergeCell ref="B8:C8"/>
    <mergeCell ref="D8:E8"/>
    <mergeCell ref="F8:G8"/>
    <mergeCell ref="B89:G89"/>
    <mergeCell ref="B90:G90"/>
    <mergeCell ref="B91:G91"/>
    <mergeCell ref="B92:G92"/>
    <mergeCell ref="B93:G93"/>
  </mergeCells>
  <printOptions horizontalCentered="1"/>
  <pageMargins left="0.70866141732283472" right="0.70866141732283472" top="0.74803149606299213" bottom="0.74803149606299213" header="0.31496062992125984" footer="0.31496062992125984"/>
  <pageSetup paperSize="3" scale="55"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P76"/>
  <sheetViews>
    <sheetView view="pageBreakPreview" topLeftCell="A6" zoomScale="70" zoomScaleNormal="70" zoomScaleSheetLayoutView="70" zoomScalePageLayoutView="110" workbookViewId="0">
      <selection activeCell="F15" sqref="F15"/>
    </sheetView>
  </sheetViews>
  <sheetFormatPr baseColWidth="10" defaultRowHeight="14.4"/>
  <cols>
    <col min="1" max="1" width="3.6640625" customWidth="1"/>
    <col min="2" max="2" width="46.6640625" style="15" customWidth="1"/>
    <col min="3" max="3" width="29.44140625" style="1" hidden="1" customWidth="1"/>
    <col min="4" max="4" width="29.44140625" style="1" customWidth="1"/>
    <col min="5" max="5" width="26.44140625" customWidth="1"/>
    <col min="6" max="6" width="23.6640625" customWidth="1"/>
    <col min="7" max="7" width="25.5546875" customWidth="1"/>
    <col min="8" max="8" width="27.6640625" hidden="1" customWidth="1"/>
    <col min="9" max="9" width="26.6640625" customWidth="1"/>
    <col min="10" max="10" width="19.109375" bestFit="1" customWidth="1"/>
    <col min="11" max="11" width="23.109375" bestFit="1" customWidth="1"/>
    <col min="12" max="16" width="27.6640625" customWidth="1"/>
  </cols>
  <sheetData>
    <row r="1" spans="1:16">
      <c r="A1" s="1109"/>
      <c r="B1" s="1110"/>
      <c r="C1" s="1111"/>
      <c r="D1" s="1111"/>
      <c r="E1" s="1112"/>
      <c r="F1" s="1112"/>
      <c r="G1" s="1112"/>
      <c r="H1" s="1112"/>
      <c r="I1" s="1113"/>
    </row>
    <row r="2" spans="1:16" s="698" customFormat="1" ht="13.95" customHeight="1">
      <c r="A2" s="1078"/>
      <c r="B2" s="1476"/>
      <c r="C2" s="1481" t="s">
        <v>889</v>
      </c>
      <c r="D2" s="1481"/>
      <c r="E2" s="1481"/>
      <c r="F2" s="1481"/>
      <c r="G2" s="1481"/>
      <c r="H2" s="1481"/>
      <c r="I2" s="1481"/>
    </row>
    <row r="3" spans="1:16" s="698" customFormat="1" ht="14.4" customHeight="1">
      <c r="A3" s="1078"/>
      <c r="B3" s="1476"/>
      <c r="C3" s="1481"/>
      <c r="D3" s="1481"/>
      <c r="E3" s="1481"/>
      <c r="F3" s="1481"/>
      <c r="G3" s="1481"/>
      <c r="H3" s="1481"/>
      <c r="I3" s="1481"/>
    </row>
    <row r="4" spans="1:16" s="698" customFormat="1" ht="14.4" customHeight="1">
      <c r="A4" s="1078"/>
      <c r="B4" s="1476"/>
      <c r="C4" s="1481"/>
      <c r="D4" s="1481"/>
      <c r="E4" s="1481"/>
      <c r="F4" s="1481"/>
      <c r="G4" s="1481"/>
      <c r="H4" s="1481"/>
      <c r="I4" s="1481"/>
    </row>
    <row r="5" spans="1:16" s="698" customFormat="1" ht="14.4" customHeight="1">
      <c r="A5" s="1078"/>
      <c r="B5" s="1476"/>
      <c r="C5" s="1481"/>
      <c r="D5" s="1481"/>
      <c r="E5" s="1481"/>
      <c r="F5" s="1481"/>
      <c r="G5" s="1481"/>
      <c r="H5" s="1481"/>
      <c r="I5" s="1481"/>
    </row>
    <row r="6" spans="1:16" s="698" customFormat="1" ht="33" customHeight="1">
      <c r="A6" s="1078"/>
      <c r="B6" s="1476"/>
      <c r="C6" s="1481"/>
      <c r="D6" s="1481"/>
      <c r="E6" s="1481"/>
      <c r="F6" s="1481"/>
      <c r="G6" s="1481"/>
      <c r="H6" s="1481"/>
      <c r="I6" s="1481"/>
    </row>
    <row r="7" spans="1:16">
      <c r="A7" s="1114"/>
      <c r="B7" s="1482"/>
      <c r="C7" s="1482"/>
      <c r="D7" s="1482"/>
      <c r="E7" s="1482"/>
      <c r="F7" s="1482"/>
      <c r="G7" s="1482"/>
      <c r="H7" s="1482"/>
      <c r="I7" s="1115"/>
    </row>
    <row r="8" spans="1:16">
      <c r="A8" s="1114"/>
      <c r="B8" s="1483" t="s">
        <v>706</v>
      </c>
      <c r="C8" s="1483"/>
      <c r="D8" s="1235"/>
      <c r="E8" s="1483" t="s">
        <v>704</v>
      </c>
      <c r="F8" s="1483"/>
      <c r="G8" s="1483" t="s">
        <v>705</v>
      </c>
      <c r="H8" s="1483"/>
      <c r="I8" s="1483"/>
    </row>
    <row r="9" spans="1:16" ht="15" thickBot="1">
      <c r="A9" s="1114"/>
      <c r="B9" s="731"/>
      <c r="C9" s="732"/>
      <c r="D9" s="732"/>
      <c r="E9" s="733"/>
      <c r="F9" s="733"/>
      <c r="G9" s="733"/>
      <c r="H9" s="733"/>
      <c r="I9" s="1115"/>
    </row>
    <row r="10" spans="1:16" ht="43.8" thickBot="1">
      <c r="A10" s="1114"/>
      <c r="B10" s="707" t="s">
        <v>119</v>
      </c>
      <c r="C10" s="1236" t="s">
        <v>990</v>
      </c>
      <c r="D10" s="1236" t="s">
        <v>958</v>
      </c>
      <c r="E10" s="709">
        <v>2021</v>
      </c>
      <c r="F10" s="709">
        <v>2022</v>
      </c>
      <c r="G10" s="709">
        <v>2023</v>
      </c>
      <c r="H10" s="1245" t="s">
        <v>963</v>
      </c>
      <c r="I10" s="1242" t="s">
        <v>964</v>
      </c>
      <c r="K10" s="707" t="s">
        <v>119</v>
      </c>
      <c r="L10" s="708">
        <v>2020</v>
      </c>
      <c r="M10" s="709">
        <v>2021</v>
      </c>
      <c r="N10" s="709">
        <v>2022</v>
      </c>
      <c r="O10" s="709">
        <v>2023</v>
      </c>
      <c r="P10" s="710" t="s">
        <v>118</v>
      </c>
    </row>
    <row r="11" spans="1:16" ht="37.200000000000003" customHeight="1">
      <c r="A11" s="1114"/>
      <c r="B11" s="704" t="s">
        <v>818</v>
      </c>
      <c r="C11" s="705">
        <f>'PLAN FINANCIERO COMPLETO'!H35</f>
        <v>11063852712.559999</v>
      </c>
      <c r="D11" s="705">
        <f>'PLAN FINANCIERO COMPLETO'!I35</f>
        <v>11892882523.419996</v>
      </c>
      <c r="E11" s="851">
        <f>'PLAN FINANCIERO COMPLETO'!J35</f>
        <v>7733581683.71</v>
      </c>
      <c r="F11" s="705">
        <f>'PLAN FINANCIERO COMPLETO'!K35</f>
        <v>8030397890</v>
      </c>
      <c r="G11" s="850">
        <f>'PLAN FINANCIERO COMPLETO'!L35</f>
        <v>8333664410.0482998</v>
      </c>
      <c r="H11" s="1246">
        <f>C11+E11+F11+G11</f>
        <v>35161496696.318298</v>
      </c>
      <c r="I11" s="1243">
        <f>D11+E11+F11+G11</f>
        <v>35990526507.178299</v>
      </c>
      <c r="K11" s="704" t="s">
        <v>836</v>
      </c>
      <c r="L11" s="705">
        <f>C11</f>
        <v>11063852712.559999</v>
      </c>
      <c r="M11" s="705">
        <f t="shared" ref="M11:P20" si="0">E11</f>
        <v>7733581683.71</v>
      </c>
      <c r="N11" s="705">
        <f t="shared" si="0"/>
        <v>8030397890</v>
      </c>
      <c r="O11" s="705">
        <f t="shared" si="0"/>
        <v>8333664410.0482998</v>
      </c>
      <c r="P11" s="705">
        <f t="shared" si="0"/>
        <v>35161496696.318298</v>
      </c>
    </row>
    <row r="12" spans="1:16" ht="37.200000000000003" customHeight="1">
      <c r="A12" s="1114"/>
      <c r="B12" s="702" t="s">
        <v>825</v>
      </c>
      <c r="C12" s="690">
        <f>'PLAN FINANCIERO COMPLETO'!H55+'PLAN FINANCIERO COMPLETO'!H73+'PLAN FINANCIERO COMPLETO'!H121</f>
        <v>40002012821.379997</v>
      </c>
      <c r="D12" s="690">
        <f>'PLAN FINANCIERO COMPLETO'!I55+'PLAN FINANCIERO COMPLETO'!I73+'PLAN FINANCIERO COMPLETO'!I121</f>
        <v>47470458330.729996</v>
      </c>
      <c r="E12" s="690">
        <f>'PLAN FINANCIERO COMPLETO'!J55+'PLAN FINANCIERO COMPLETO'!J73+'PLAN FINANCIERO COMPLETO'!J121</f>
        <v>30830087800</v>
      </c>
      <c r="F12" s="690">
        <f>'PLAN FINANCIERO COMPLETO'!K55+'PLAN FINANCIERO COMPLETO'!K73+'PLAN FINANCIERO COMPLETO'!K121</f>
        <v>29404285074</v>
      </c>
      <c r="G12" s="690">
        <f>'PLAN FINANCIERO COMPLETO'!L55+'PLAN FINANCIERO COMPLETO'!L73+'PLAN FINANCIERO COMPLETO'!L121</f>
        <v>20919737985.02</v>
      </c>
      <c r="H12" s="1246">
        <f t="shared" ref="H12:H16" si="1">C12+E12+F12+G12</f>
        <v>121156123680.40001</v>
      </c>
      <c r="I12" s="1243">
        <f t="shared" ref="I12:I18" si="2">D12+E12+F12+G12</f>
        <v>128624569189.75</v>
      </c>
      <c r="K12" s="702" t="s">
        <v>835</v>
      </c>
      <c r="L12" s="705">
        <f t="shared" ref="L12:L20" si="3">C12</f>
        <v>40002012821.379997</v>
      </c>
      <c r="M12" s="705">
        <f t="shared" si="0"/>
        <v>30830087800</v>
      </c>
      <c r="N12" s="705">
        <f t="shared" si="0"/>
        <v>29404285074</v>
      </c>
      <c r="O12" s="705">
        <f t="shared" si="0"/>
        <v>20919737985.02</v>
      </c>
      <c r="P12" s="705">
        <f t="shared" si="0"/>
        <v>121156123680.40001</v>
      </c>
    </row>
    <row r="13" spans="1:16" ht="37.200000000000003" customHeight="1">
      <c r="A13" s="1114"/>
      <c r="B13" s="702" t="s">
        <v>819</v>
      </c>
      <c r="C13" s="690">
        <f>'PLAN FINANCIERO COMPLETO'!H87</f>
        <v>185189380379</v>
      </c>
      <c r="D13" s="690">
        <f>'PLAN FINANCIERO COMPLETO'!I87</f>
        <v>186152127921.75</v>
      </c>
      <c r="E13" s="690">
        <f>'PLAN FINANCIERO COMPLETO'!J87</f>
        <v>187041300600.41428</v>
      </c>
      <c r="F13" s="690">
        <f>'PLAN FINANCIERO COMPLETO'!K87</f>
        <v>188911583677.31885</v>
      </c>
      <c r="G13" s="690">
        <f>'PLAN FINANCIERO COMPLETO'!L87</f>
        <v>190800589574.08466</v>
      </c>
      <c r="H13" s="1246">
        <f t="shared" si="1"/>
        <v>751942854230.81787</v>
      </c>
      <c r="I13" s="1243">
        <f t="shared" si="2"/>
        <v>752905601773.56787</v>
      </c>
      <c r="K13" s="702" t="s">
        <v>834</v>
      </c>
      <c r="L13" s="705">
        <f t="shared" si="3"/>
        <v>185189380379</v>
      </c>
      <c r="M13" s="705">
        <f t="shared" si="0"/>
        <v>187041300600.41428</v>
      </c>
      <c r="N13" s="705">
        <f t="shared" si="0"/>
        <v>188911583677.31885</v>
      </c>
      <c r="O13" s="705">
        <f t="shared" si="0"/>
        <v>190800589574.08466</v>
      </c>
      <c r="P13" s="705">
        <f t="shared" si="0"/>
        <v>751942854230.81787</v>
      </c>
    </row>
    <row r="14" spans="1:16" ht="37.200000000000003" customHeight="1">
      <c r="A14" s="1114"/>
      <c r="B14" s="702" t="s">
        <v>841</v>
      </c>
      <c r="C14" s="690">
        <f>'PLAN FINANCIERO COMPLETO'!H94</f>
        <v>2851000000</v>
      </c>
      <c r="D14" s="690">
        <f>'PLAN FINANCIERO COMPLETO'!I94</f>
        <v>3644567563</v>
      </c>
      <c r="E14" s="690">
        <f>'PLAN FINANCIERO COMPLETO'!J94</f>
        <v>2921000000</v>
      </c>
      <c r="F14" s="690">
        <f>'PLAN FINANCIERO COMPLETO'!K94</f>
        <v>2994000000</v>
      </c>
      <c r="G14" s="690">
        <f>'PLAN FINANCIERO COMPLETO'!L94</f>
        <v>3069000000</v>
      </c>
      <c r="H14" s="1246">
        <f t="shared" si="1"/>
        <v>11835000000</v>
      </c>
      <c r="I14" s="1243">
        <f t="shared" si="2"/>
        <v>12628567563</v>
      </c>
      <c r="K14" s="702" t="s">
        <v>813</v>
      </c>
      <c r="L14" s="705">
        <f t="shared" si="3"/>
        <v>2851000000</v>
      </c>
      <c r="M14" s="705">
        <f t="shared" si="0"/>
        <v>2921000000</v>
      </c>
      <c r="N14" s="705">
        <f t="shared" si="0"/>
        <v>2994000000</v>
      </c>
      <c r="O14" s="705">
        <f t="shared" si="0"/>
        <v>3069000000</v>
      </c>
      <c r="P14" s="705">
        <f t="shared" si="0"/>
        <v>11835000000</v>
      </c>
    </row>
    <row r="15" spans="1:16" ht="37.200000000000003" customHeight="1">
      <c r="A15" s="1114"/>
      <c r="B15" s="702" t="s">
        <v>829</v>
      </c>
      <c r="C15" s="690">
        <f>'PLAN FINANCIERO COMPLETO'!H158</f>
        <v>69795245962.980011</v>
      </c>
      <c r="D15" s="690">
        <f>'PLAN FINANCIERO COMPLETO'!I158</f>
        <v>69795245962.980011</v>
      </c>
      <c r="E15" s="690">
        <f>'PLAN FINANCIERO COMPLETO'!J158</f>
        <v>74167306604</v>
      </c>
      <c r="F15" s="690">
        <f>'PLAN FINANCIERO COMPLETO'!K158</f>
        <v>71300840834</v>
      </c>
      <c r="G15" s="690">
        <f>'PLAN FINANCIERO COMPLETO'!L158</f>
        <v>72363366170</v>
      </c>
      <c r="H15" s="1246">
        <f t="shared" si="1"/>
        <v>287626759570.97998</v>
      </c>
      <c r="I15" s="1243">
        <f t="shared" si="2"/>
        <v>287626759570.97998</v>
      </c>
      <c r="K15" s="702" t="s">
        <v>833</v>
      </c>
      <c r="L15" s="705">
        <f t="shared" si="3"/>
        <v>69795245962.980011</v>
      </c>
      <c r="M15" s="705">
        <f t="shared" si="0"/>
        <v>74167306604</v>
      </c>
      <c r="N15" s="705">
        <f t="shared" si="0"/>
        <v>71300840834</v>
      </c>
      <c r="O15" s="705">
        <f t="shared" si="0"/>
        <v>72363366170</v>
      </c>
      <c r="P15" s="705">
        <f t="shared" si="0"/>
        <v>287626759570.97998</v>
      </c>
    </row>
    <row r="16" spans="1:16" ht="37.200000000000003" customHeight="1" thickBot="1">
      <c r="A16" s="1114"/>
      <c r="B16" s="711" t="s">
        <v>820</v>
      </c>
      <c r="C16" s="712">
        <f>'PLAN FINANCIERO COMPLETO'!H153</f>
        <v>11514376768.389999</v>
      </c>
      <c r="D16" s="712">
        <f>'PLAN FINANCIERO COMPLETO'!I153</f>
        <v>15095951864.440002</v>
      </c>
      <c r="E16" s="712">
        <f>'PLAN FINANCIERO COMPLETO'!J153</f>
        <v>1061410700</v>
      </c>
      <c r="F16" s="712">
        <f>'PLAN FINANCIERO COMPLETO'!K153</f>
        <v>742987490</v>
      </c>
      <c r="G16" s="712">
        <f>'PLAN FINANCIERO COMPLETO'!L153</f>
        <v>520091243</v>
      </c>
      <c r="H16" s="1246">
        <f t="shared" si="1"/>
        <v>13838866201.389999</v>
      </c>
      <c r="I16" s="1243">
        <f t="shared" si="2"/>
        <v>17420441297.440002</v>
      </c>
      <c r="K16" s="711" t="s">
        <v>814</v>
      </c>
      <c r="L16" s="705">
        <f t="shared" si="3"/>
        <v>11514376768.389999</v>
      </c>
      <c r="M16" s="705">
        <f t="shared" si="0"/>
        <v>1061410700</v>
      </c>
      <c r="N16" s="705">
        <f t="shared" si="0"/>
        <v>742987490</v>
      </c>
      <c r="O16" s="705">
        <f t="shared" si="0"/>
        <v>520091243</v>
      </c>
      <c r="P16" s="705">
        <f t="shared" si="0"/>
        <v>13838866201.389999</v>
      </c>
    </row>
    <row r="17" spans="1:16" ht="19.5" customHeight="1" thickBot="1">
      <c r="A17" s="1114"/>
      <c r="B17" s="714" t="s">
        <v>645</v>
      </c>
      <c r="C17" s="715">
        <f>SUM(C11:C16)</f>
        <v>320415868644.31006</v>
      </c>
      <c r="D17" s="715">
        <f>SUM(D11:D16)</f>
        <v>334051234166.32001</v>
      </c>
      <c r="E17" s="715">
        <f>SUM(E11:E16)</f>
        <v>303754687388.12427</v>
      </c>
      <c r="F17" s="715">
        <f t="shared" ref="F17:I17" si="4">SUM(F11:F16)</f>
        <v>301384094965.31885</v>
      </c>
      <c r="G17" s="715">
        <f t="shared" si="4"/>
        <v>296006449382.15295</v>
      </c>
      <c r="H17" s="715">
        <f>SUM(H11:H16)</f>
        <v>1221561100379.906</v>
      </c>
      <c r="I17" s="1244">
        <f t="shared" si="4"/>
        <v>1235196465901.916</v>
      </c>
      <c r="K17" s="714" t="s">
        <v>645</v>
      </c>
      <c r="L17" s="705">
        <f t="shared" si="3"/>
        <v>320415868644.31006</v>
      </c>
      <c r="M17" s="705">
        <f t="shared" si="0"/>
        <v>303754687388.12427</v>
      </c>
      <c r="N17" s="705">
        <f t="shared" si="0"/>
        <v>301384094965.31885</v>
      </c>
      <c r="O17" s="705">
        <f t="shared" si="0"/>
        <v>296006449382.15295</v>
      </c>
      <c r="P17" s="705">
        <f t="shared" si="0"/>
        <v>1221561100379.906</v>
      </c>
    </row>
    <row r="18" spans="1:16" ht="29.4" thickBot="1">
      <c r="A18" s="1114"/>
      <c r="B18" s="704" t="s">
        <v>821</v>
      </c>
      <c r="C18" s="705">
        <v>36873071310.555298</v>
      </c>
      <c r="D18" s="705">
        <v>36873071310.555298</v>
      </c>
      <c r="E18" s="705">
        <v>65132511125.323196</v>
      </c>
      <c r="F18" s="705">
        <v>56979832216.93</v>
      </c>
      <c r="G18" s="705">
        <v>58560889493.119995</v>
      </c>
      <c r="H18" s="1246">
        <f>C18+E18+F18+G18</f>
        <v>217546304145.9285</v>
      </c>
      <c r="I18" s="1243">
        <f t="shared" si="2"/>
        <v>217546304145.9285</v>
      </c>
      <c r="K18" s="704" t="s">
        <v>832</v>
      </c>
      <c r="L18" s="705">
        <f t="shared" si="3"/>
        <v>36873071310.555298</v>
      </c>
      <c r="M18" s="705">
        <f t="shared" si="0"/>
        <v>65132511125.323196</v>
      </c>
      <c r="N18" s="705">
        <f t="shared" si="0"/>
        <v>56979832216.93</v>
      </c>
      <c r="O18" s="705">
        <f t="shared" si="0"/>
        <v>58560889493.119995</v>
      </c>
      <c r="P18" s="705">
        <f t="shared" si="0"/>
        <v>217546304145.9285</v>
      </c>
    </row>
    <row r="19" spans="1:16" ht="17.25" customHeight="1" thickBot="1">
      <c r="A19" s="1114"/>
      <c r="B19" s="714" t="s">
        <v>645</v>
      </c>
      <c r="C19" s="715">
        <f t="shared" ref="C19:I19" si="5">SUM(C18:C18)</f>
        <v>36873071310.555298</v>
      </c>
      <c r="D19" s="715">
        <f>SUM(D18:D18)</f>
        <v>36873071310.555298</v>
      </c>
      <c r="E19" s="715">
        <f t="shared" si="5"/>
        <v>65132511125.323196</v>
      </c>
      <c r="F19" s="715">
        <f t="shared" si="5"/>
        <v>56979832216.93</v>
      </c>
      <c r="G19" s="715">
        <f t="shared" si="5"/>
        <v>58560889493.119995</v>
      </c>
      <c r="H19" s="715">
        <f t="shared" si="5"/>
        <v>217546304145.9285</v>
      </c>
      <c r="I19" s="1244">
        <f t="shared" si="5"/>
        <v>217546304145.9285</v>
      </c>
      <c r="K19" s="714" t="s">
        <v>645</v>
      </c>
      <c r="L19" s="705">
        <f t="shared" si="3"/>
        <v>36873071310.555298</v>
      </c>
      <c r="M19" s="705">
        <f t="shared" si="0"/>
        <v>65132511125.323196</v>
      </c>
      <c r="N19" s="705">
        <f t="shared" si="0"/>
        <v>56979832216.93</v>
      </c>
      <c r="O19" s="705">
        <f t="shared" si="0"/>
        <v>58560889493.119995</v>
      </c>
      <c r="P19" s="705">
        <f t="shared" si="0"/>
        <v>217546304145.9285</v>
      </c>
    </row>
    <row r="20" spans="1:16" ht="17.25" customHeight="1" thickBot="1">
      <c r="A20" s="1114"/>
      <c r="B20" s="714" t="s">
        <v>8</v>
      </c>
      <c r="C20" s="715">
        <f>C19+C17</f>
        <v>357288939954.86536</v>
      </c>
      <c r="D20" s="715">
        <f>D19+D17</f>
        <v>370924305476.87531</v>
      </c>
      <c r="E20" s="715">
        <f t="shared" ref="E20:I20" si="6">E19+E17</f>
        <v>368887198513.44745</v>
      </c>
      <c r="F20" s="715">
        <f t="shared" si="6"/>
        <v>358363927182.24884</v>
      </c>
      <c r="G20" s="715">
        <f t="shared" si="6"/>
        <v>354567338875.27295</v>
      </c>
      <c r="H20" s="715">
        <f t="shared" si="6"/>
        <v>1439107404525.8345</v>
      </c>
      <c r="I20" s="1244">
        <f t="shared" si="6"/>
        <v>1452742770047.8445</v>
      </c>
      <c r="K20" s="714" t="s">
        <v>8</v>
      </c>
      <c r="L20" s="705">
        <f t="shared" si="3"/>
        <v>357288939954.86536</v>
      </c>
      <c r="M20" s="705">
        <f t="shared" si="0"/>
        <v>368887198513.44745</v>
      </c>
      <c r="N20" s="705">
        <f t="shared" si="0"/>
        <v>358363927182.24884</v>
      </c>
      <c r="O20" s="705">
        <f t="shared" si="0"/>
        <v>354567338875.27295</v>
      </c>
      <c r="P20" s="705">
        <f t="shared" si="0"/>
        <v>1439107404525.8345</v>
      </c>
    </row>
    <row r="21" spans="1:16" s="1278" customFormat="1">
      <c r="A21" s="1285"/>
      <c r="B21" s="1234"/>
      <c r="C21" s="1286" t="s">
        <v>991</v>
      </c>
      <c r="D21" s="1286">
        <f>D17-C17</f>
        <v>13635365522.009949</v>
      </c>
      <c r="E21" s="1287"/>
      <c r="F21" s="1273"/>
      <c r="G21" s="1273"/>
      <c r="H21" s="1286" t="s">
        <v>991</v>
      </c>
      <c r="I21" s="1286">
        <f>I17-H17</f>
        <v>13635365522.01001</v>
      </c>
    </row>
    <row r="22" spans="1:16">
      <c r="A22" s="1114"/>
      <c r="B22" s="1385"/>
      <c r="C22" s="732"/>
      <c r="D22" s="732"/>
      <c r="E22" s="732"/>
      <c r="F22" s="732"/>
      <c r="G22" s="732"/>
      <c r="H22" s="732"/>
      <c r="I22" s="1115"/>
    </row>
    <row r="23" spans="1:16">
      <c r="A23" s="1114"/>
      <c r="B23" s="731"/>
      <c r="C23" s="732"/>
      <c r="D23" s="732"/>
      <c r="E23" s="732"/>
      <c r="F23" s="732"/>
      <c r="G23" s="732"/>
      <c r="H23" s="734"/>
      <c r="I23" s="1284"/>
    </row>
    <row r="24" spans="1:16">
      <c r="A24" s="1114"/>
      <c r="B24" s="731"/>
      <c r="C24" s="732"/>
      <c r="D24" s="732"/>
      <c r="E24" s="734"/>
      <c r="F24" s="734"/>
      <c r="G24" s="734"/>
      <c r="H24" s="734"/>
      <c r="I24" s="1115"/>
      <c r="K24" s="920" t="s">
        <v>69</v>
      </c>
      <c r="L24" s="920" t="s">
        <v>591</v>
      </c>
      <c r="M24" s="920" t="s">
        <v>804</v>
      </c>
    </row>
    <row r="25" spans="1:16">
      <c r="A25" s="1114"/>
      <c r="B25" s="731"/>
      <c r="C25" s="732"/>
      <c r="D25" s="732"/>
      <c r="E25" s="1305"/>
      <c r="F25" s="733"/>
      <c r="G25" s="733"/>
      <c r="H25" s="733"/>
      <c r="I25" s="1115"/>
      <c r="K25" s="920" t="s">
        <v>826</v>
      </c>
      <c r="L25" s="921">
        <f>H11+H16</f>
        <v>49000362897.708298</v>
      </c>
      <c r="M25" s="922">
        <f t="shared" ref="M25:M30" si="7">L25/$L$30</f>
        <v>3.4049135417973352E-2</v>
      </c>
    </row>
    <row r="26" spans="1:16" s="2" customFormat="1">
      <c r="A26" s="1116"/>
      <c r="B26" s="735"/>
      <c r="C26" s="736"/>
      <c r="D26" s="736"/>
      <c r="E26" s="737"/>
      <c r="F26" s="737"/>
      <c r="G26" s="738"/>
      <c r="H26" s="736"/>
      <c r="I26" s="1117"/>
      <c r="K26" s="541" t="s">
        <v>827</v>
      </c>
      <c r="L26" s="923">
        <f>H12</f>
        <v>121156123680.40001</v>
      </c>
      <c r="M26" s="922">
        <f t="shared" si="7"/>
        <v>8.4188381839588419E-2</v>
      </c>
    </row>
    <row r="27" spans="1:16" s="2" customFormat="1">
      <c r="A27" s="1116"/>
      <c r="B27" s="735"/>
      <c r="C27" s="736"/>
      <c r="D27" s="736"/>
      <c r="E27" s="737"/>
      <c r="F27" s="737"/>
      <c r="G27" s="738"/>
      <c r="H27" s="736"/>
      <c r="I27" s="1117"/>
      <c r="K27" s="737" t="s">
        <v>831</v>
      </c>
      <c r="L27" s="736">
        <f>H13+H14</f>
        <v>763777854230.81787</v>
      </c>
      <c r="M27" s="922">
        <f t="shared" si="7"/>
        <v>0.53073026504402687</v>
      </c>
    </row>
    <row r="28" spans="1:16" s="2" customFormat="1">
      <c r="A28" s="1116"/>
      <c r="B28" s="735"/>
      <c r="C28" s="732"/>
      <c r="D28" s="732"/>
      <c r="E28" s="737"/>
      <c r="F28" s="737"/>
      <c r="G28" s="737"/>
      <c r="H28" s="737"/>
      <c r="I28" s="1117"/>
      <c r="K28" s="2" t="s">
        <v>830</v>
      </c>
      <c r="L28" s="9">
        <f>H15</f>
        <v>287626759570.97998</v>
      </c>
      <c r="M28" s="922">
        <f t="shared" si="7"/>
        <v>0.19986469298012463</v>
      </c>
    </row>
    <row r="29" spans="1:16" s="2" customFormat="1">
      <c r="A29" s="1116"/>
      <c r="B29" s="735"/>
      <c r="C29" s="732"/>
      <c r="D29" s="732"/>
      <c r="E29" s="737"/>
      <c r="F29" s="737"/>
      <c r="G29" s="737"/>
      <c r="H29" s="737"/>
      <c r="I29" s="1117"/>
      <c r="K29" s="541" t="s">
        <v>828</v>
      </c>
      <c r="L29" s="542">
        <f>H18</f>
        <v>217546304145.9285</v>
      </c>
      <c r="M29" s="922">
        <f t="shared" si="7"/>
        <v>0.15116752471828668</v>
      </c>
    </row>
    <row r="30" spans="1:16" s="2" customFormat="1">
      <c r="A30" s="1116"/>
      <c r="B30" s="735"/>
      <c r="C30" s="737"/>
      <c r="D30" s="737"/>
      <c r="E30" s="737"/>
      <c r="F30" s="737"/>
      <c r="G30" s="737"/>
      <c r="H30" s="737"/>
      <c r="I30" s="1117"/>
      <c r="K30" s="541" t="s">
        <v>8</v>
      </c>
      <c r="L30" s="923">
        <f>SUM(L25:L29)</f>
        <v>1439107404525.8347</v>
      </c>
      <c r="M30" s="922">
        <f t="shared" si="7"/>
        <v>1</v>
      </c>
    </row>
    <row r="31" spans="1:16" s="2" customFormat="1">
      <c r="A31" s="1116"/>
      <c r="B31" s="735"/>
      <c r="C31" s="732"/>
      <c r="D31" s="732"/>
      <c r="E31" s="737"/>
      <c r="F31" s="737"/>
      <c r="G31" s="737"/>
      <c r="H31" s="737"/>
      <c r="I31" s="1117"/>
    </row>
    <row r="32" spans="1:16" s="2" customFormat="1" ht="13.8">
      <c r="A32" s="1116"/>
      <c r="B32" s="735"/>
      <c r="C32" s="736"/>
      <c r="D32" s="736"/>
      <c r="E32" s="737"/>
      <c r="F32" s="737"/>
      <c r="G32" s="737"/>
      <c r="H32" s="737"/>
      <c r="I32" s="1117"/>
      <c r="J32" s="7">
        <f>H20-'PLAN PLURIANUAL DE INVERSIONES'!L11</f>
        <v>-13635365522.005859</v>
      </c>
    </row>
    <row r="33" spans="1:13" s="2" customFormat="1" ht="13.8">
      <c r="A33" s="1116"/>
      <c r="B33" s="735"/>
      <c r="C33" s="737"/>
      <c r="D33" s="737"/>
      <c r="E33" s="737"/>
      <c r="F33" s="737"/>
      <c r="G33" s="737"/>
      <c r="H33" s="737"/>
      <c r="I33" s="1117"/>
      <c r="J33" s="855"/>
    </row>
    <row r="34" spans="1:13" s="2" customFormat="1" ht="13.8">
      <c r="A34" s="1116"/>
      <c r="B34" s="735"/>
      <c r="C34" s="737"/>
      <c r="D34" s="737"/>
      <c r="E34" s="737"/>
      <c r="F34" s="737"/>
      <c r="G34" s="737"/>
      <c r="H34" s="737"/>
      <c r="I34" s="1117"/>
    </row>
    <row r="35" spans="1:13" s="2" customFormat="1" ht="13.8">
      <c r="A35" s="1116"/>
      <c r="B35" s="735"/>
      <c r="C35" s="737"/>
      <c r="D35" s="737"/>
      <c r="E35" s="737"/>
      <c r="F35" s="737"/>
      <c r="G35" s="737"/>
      <c r="H35" s="737"/>
      <c r="I35" s="1117"/>
      <c r="K35" s="2" t="s">
        <v>837</v>
      </c>
      <c r="L35" s="7">
        <f>H11+H12+H16</f>
        <v>170156486578.10834</v>
      </c>
    </row>
    <row r="36" spans="1:13" s="2" customFormat="1" ht="13.8">
      <c r="A36" s="1116"/>
      <c r="B36" s="735"/>
      <c r="C36" s="737"/>
      <c r="D36" s="737"/>
      <c r="E36" s="737"/>
      <c r="F36" s="737"/>
      <c r="G36" s="737"/>
      <c r="H36" s="737"/>
      <c r="I36" s="1117"/>
      <c r="K36" s="2" t="s">
        <v>838</v>
      </c>
      <c r="L36" s="7">
        <f>SUM(L37:L39)</f>
        <v>1268950917947.7263</v>
      </c>
    </row>
    <row r="37" spans="1:13" s="2" customFormat="1" ht="13.8">
      <c r="A37" s="1116"/>
      <c r="B37" s="735"/>
      <c r="C37" s="737"/>
      <c r="D37" s="737"/>
      <c r="E37" s="737"/>
      <c r="F37" s="737"/>
      <c r="G37" s="737"/>
      <c r="H37" s="737"/>
      <c r="I37" s="1117"/>
      <c r="K37" s="2" t="s">
        <v>831</v>
      </c>
      <c r="L37" s="7">
        <f>H13+H14</f>
        <v>763777854230.81787</v>
      </c>
    </row>
    <row r="38" spans="1:13" s="2" customFormat="1" ht="13.8">
      <c r="A38" s="1116"/>
      <c r="B38" s="735"/>
      <c r="C38" s="737"/>
      <c r="D38" s="737"/>
      <c r="E38" s="737"/>
      <c r="F38" s="737"/>
      <c r="G38" s="737"/>
      <c r="H38" s="737"/>
      <c r="I38" s="1117"/>
      <c r="K38" s="2" t="s">
        <v>49</v>
      </c>
      <c r="L38" s="9">
        <f>H15</f>
        <v>287626759570.97998</v>
      </c>
    </row>
    <row r="39" spans="1:13" s="2" customFormat="1" ht="13.8">
      <c r="A39" s="1116"/>
      <c r="B39" s="735"/>
      <c r="C39" s="737"/>
      <c r="D39" s="737"/>
      <c r="E39" s="737"/>
      <c r="F39" s="737"/>
      <c r="G39" s="737"/>
      <c r="H39" s="737"/>
      <c r="I39" s="1117"/>
      <c r="K39" s="2" t="s">
        <v>828</v>
      </c>
      <c r="L39" s="9">
        <f>H18</f>
        <v>217546304145.9285</v>
      </c>
    </row>
    <row r="40" spans="1:13" s="2" customFormat="1" ht="13.8">
      <c r="A40" s="1116"/>
      <c r="B40" s="735"/>
      <c r="C40" s="737"/>
      <c r="D40" s="737"/>
      <c r="E40" s="737"/>
      <c r="F40" s="737"/>
      <c r="G40" s="737"/>
      <c r="H40" s="737"/>
      <c r="I40" s="1117"/>
    </row>
    <row r="41" spans="1:13" s="2" customFormat="1" ht="13.8">
      <c r="A41" s="1116"/>
      <c r="B41" s="735"/>
      <c r="C41" s="737"/>
      <c r="D41" s="737"/>
      <c r="E41" s="737"/>
      <c r="F41" s="737"/>
      <c r="G41" s="737"/>
      <c r="H41" s="737"/>
      <c r="I41" s="1117"/>
    </row>
    <row r="42" spans="1:13" s="2" customFormat="1" ht="13.8">
      <c r="A42" s="1116"/>
      <c r="B42" s="735"/>
      <c r="C42" s="737"/>
      <c r="D42" s="737"/>
      <c r="E42" s="737"/>
      <c r="F42" s="737"/>
      <c r="G42" s="737"/>
      <c r="H42" s="737"/>
      <c r="I42" s="1117"/>
      <c r="K42" s="7"/>
      <c r="L42" s="7"/>
    </row>
    <row r="43" spans="1:13" s="2" customFormat="1" ht="13.8">
      <c r="A43" s="1116"/>
      <c r="B43" s="735"/>
      <c r="C43" s="737"/>
      <c r="D43" s="737"/>
      <c r="E43" s="737"/>
      <c r="F43" s="737"/>
      <c r="G43" s="737"/>
      <c r="H43" s="737"/>
      <c r="I43" s="1117"/>
      <c r="J43" s="2" t="s">
        <v>839</v>
      </c>
      <c r="L43" s="7"/>
    </row>
    <row r="44" spans="1:13" s="2" customFormat="1">
      <c r="A44" s="1116"/>
      <c r="B44" s="735"/>
      <c r="C44" s="737"/>
      <c r="D44" s="737"/>
      <c r="E44" s="737"/>
      <c r="F44" s="737"/>
      <c r="G44" s="737"/>
      <c r="H44" s="737"/>
      <c r="I44" s="1117"/>
      <c r="J44" s="2" t="s">
        <v>840</v>
      </c>
      <c r="K44" s="920" t="s">
        <v>69</v>
      </c>
      <c r="L44" s="920" t="s">
        <v>591</v>
      </c>
      <c r="M44" s="920" t="s">
        <v>804</v>
      </c>
    </row>
    <row r="45" spans="1:13" s="2" customFormat="1">
      <c r="A45" s="1116"/>
      <c r="B45" s="735"/>
      <c r="C45" s="737"/>
      <c r="D45" s="737"/>
      <c r="E45" s="737"/>
      <c r="F45" s="737"/>
      <c r="G45" s="737"/>
      <c r="H45" s="737"/>
      <c r="I45" s="1117"/>
      <c r="J45" s="2" t="s">
        <v>114</v>
      </c>
      <c r="K45" s="920" t="s">
        <v>826</v>
      </c>
      <c r="L45" s="921">
        <f>I11+I16</f>
        <v>53410967804.618301</v>
      </c>
      <c r="M45" s="922">
        <f>L45/$L$50</f>
        <v>3.6765605656987208E-2</v>
      </c>
    </row>
    <row r="46" spans="1:13" s="2" customFormat="1">
      <c r="A46" s="1116"/>
      <c r="B46" s="735"/>
      <c r="C46" s="737"/>
      <c r="D46" s="737"/>
      <c r="E46" s="737"/>
      <c r="F46" s="737"/>
      <c r="G46" s="737"/>
      <c r="H46" s="737"/>
      <c r="I46" s="1117"/>
      <c r="K46" s="541" t="s">
        <v>827</v>
      </c>
      <c r="L46" s="923">
        <f>I12</f>
        <v>128624569189.75</v>
      </c>
      <c r="M46" s="922">
        <f t="shared" ref="M46:M50" si="8">L46/$L$50</f>
        <v>8.8539121888394523E-2</v>
      </c>
    </row>
    <row r="47" spans="1:13" s="2" customFormat="1">
      <c r="A47" s="1116"/>
      <c r="B47" s="735"/>
      <c r="C47" s="737"/>
      <c r="D47" s="737"/>
      <c r="E47" s="737"/>
      <c r="F47" s="737"/>
      <c r="G47" s="737"/>
      <c r="H47" s="737"/>
      <c r="I47" s="1117"/>
      <c r="K47" s="737" t="s">
        <v>831</v>
      </c>
      <c r="L47" s="736">
        <f>I13+I14</f>
        <v>765534169336.56787</v>
      </c>
      <c r="M47" s="922">
        <f t="shared" si="8"/>
        <v>0.52695782427563265</v>
      </c>
    </row>
    <row r="48" spans="1:13" s="2" customFormat="1">
      <c r="A48" s="1116"/>
      <c r="B48" s="735"/>
      <c r="C48" s="737"/>
      <c r="D48" s="737"/>
      <c r="E48" s="737"/>
      <c r="F48" s="737"/>
      <c r="G48" s="737"/>
      <c r="H48" s="737"/>
      <c r="I48" s="1117"/>
      <c r="K48" s="2" t="s">
        <v>830</v>
      </c>
      <c r="L48" s="9">
        <f>I15</f>
        <v>287626759570.97998</v>
      </c>
      <c r="M48" s="922">
        <f t="shared" si="8"/>
        <v>0.19798877371904408</v>
      </c>
    </row>
    <row r="49" spans="1:13" s="2" customFormat="1">
      <c r="A49" s="1116"/>
      <c r="B49" s="735"/>
      <c r="C49" s="737"/>
      <c r="D49" s="737"/>
      <c r="E49" s="737"/>
      <c r="F49" s="737"/>
      <c r="G49" s="737"/>
      <c r="H49" s="737"/>
      <c r="I49" s="1117"/>
      <c r="K49" s="541" t="s">
        <v>828</v>
      </c>
      <c r="L49" s="542">
        <f>I18</f>
        <v>217546304145.9285</v>
      </c>
      <c r="M49" s="922">
        <f t="shared" si="8"/>
        <v>0.14974867445994161</v>
      </c>
    </row>
    <row r="50" spans="1:13" s="2" customFormat="1">
      <c r="A50" s="1116"/>
      <c r="B50" s="735"/>
      <c r="C50" s="737"/>
      <c r="D50" s="737"/>
      <c r="E50" s="737"/>
      <c r="F50" s="737"/>
      <c r="G50" s="737"/>
      <c r="H50" s="737"/>
      <c r="I50" s="1117"/>
      <c r="K50" s="541" t="s">
        <v>8</v>
      </c>
      <c r="L50" s="923">
        <f>SUM(L45:L49)</f>
        <v>1452742770047.8445</v>
      </c>
      <c r="M50" s="922">
        <f t="shared" si="8"/>
        <v>1</v>
      </c>
    </row>
    <row r="51" spans="1:13" s="2" customFormat="1" ht="13.8">
      <c r="A51" s="1116"/>
      <c r="B51" s="735"/>
      <c r="C51" s="737"/>
      <c r="D51" s="737"/>
      <c r="E51" s="737"/>
      <c r="F51" s="737"/>
      <c r="G51" s="737"/>
      <c r="H51" s="737"/>
      <c r="I51" s="1117"/>
    </row>
    <row r="52" spans="1:13" s="2" customFormat="1" ht="13.8">
      <c r="A52" s="1116"/>
      <c r="B52" s="735"/>
      <c r="C52" s="737"/>
      <c r="D52" s="737"/>
      <c r="E52" s="737"/>
      <c r="F52" s="737"/>
      <c r="G52" s="737"/>
      <c r="H52" s="737"/>
      <c r="I52" s="1117"/>
    </row>
    <row r="53" spans="1:13" s="2" customFormat="1" ht="13.8">
      <c r="A53" s="1116"/>
      <c r="B53" s="735"/>
      <c r="C53" s="737"/>
      <c r="D53" s="737"/>
      <c r="E53" s="737"/>
      <c r="F53" s="737"/>
      <c r="G53" s="737"/>
      <c r="H53" s="737"/>
      <c r="I53" s="1117"/>
    </row>
    <row r="54" spans="1:13" s="2" customFormat="1" ht="13.8">
      <c r="A54" s="1116"/>
      <c r="B54" s="735"/>
      <c r="C54" s="737"/>
      <c r="D54" s="737"/>
      <c r="E54" s="737"/>
      <c r="F54" s="737"/>
      <c r="G54" s="737"/>
      <c r="H54" s="737"/>
      <c r="I54" s="1117"/>
    </row>
    <row r="55" spans="1:13" s="2" customFormat="1" ht="13.8">
      <c r="A55" s="1116"/>
      <c r="B55" s="1045" t="s">
        <v>846</v>
      </c>
      <c r="C55" s="737"/>
      <c r="D55" s="737"/>
      <c r="E55" s="737"/>
      <c r="F55" s="737"/>
      <c r="G55" s="737"/>
      <c r="H55" s="737"/>
      <c r="I55" s="1117"/>
    </row>
    <row r="56" spans="1:13" s="2" customFormat="1" ht="13.8">
      <c r="A56" s="1116"/>
      <c r="B56" s="1045" t="s">
        <v>852</v>
      </c>
      <c r="C56" s="737"/>
      <c r="D56" s="737"/>
      <c r="E56" s="737"/>
      <c r="F56" s="737"/>
      <c r="G56" s="737"/>
      <c r="H56" s="737"/>
      <c r="I56" s="1117"/>
    </row>
    <row r="57" spans="1:13" s="2" customFormat="1" ht="13.8">
      <c r="A57" s="1116"/>
      <c r="B57" s="1042" t="s">
        <v>853</v>
      </c>
      <c r="C57" s="737"/>
      <c r="D57" s="737"/>
      <c r="E57" s="737"/>
      <c r="F57" s="737"/>
      <c r="G57" s="737"/>
      <c r="H57" s="737"/>
      <c r="I57" s="1117"/>
    </row>
    <row r="58" spans="1:13" s="2" customFormat="1" ht="13.8">
      <c r="A58" s="1116"/>
      <c r="B58" s="1042" t="s">
        <v>854</v>
      </c>
      <c r="C58" s="737"/>
      <c r="D58" s="737"/>
      <c r="E58" s="737"/>
      <c r="F58" s="737"/>
      <c r="G58" s="737"/>
      <c r="H58" s="737"/>
      <c r="I58" s="1117"/>
    </row>
    <row r="59" spans="1:13" s="2" customFormat="1" ht="13.8">
      <c r="A59" s="1116"/>
      <c r="B59" s="1042" t="s">
        <v>855</v>
      </c>
      <c r="C59" s="737"/>
      <c r="D59" s="737"/>
      <c r="E59" s="737"/>
      <c r="F59" s="737"/>
      <c r="G59" s="737"/>
      <c r="H59" s="737"/>
      <c r="I59" s="1117"/>
    </row>
    <row r="60" spans="1:13" s="2" customFormat="1" ht="13.8">
      <c r="A60" s="1116"/>
      <c r="B60" s="1042" t="s">
        <v>856</v>
      </c>
      <c r="C60" s="737"/>
      <c r="D60" s="737"/>
      <c r="E60" s="737"/>
      <c r="F60" s="737"/>
      <c r="G60" s="737"/>
      <c r="H60" s="737"/>
      <c r="I60" s="1117"/>
    </row>
    <row r="61" spans="1:13" s="2" customFormat="1" ht="13.8">
      <c r="A61" s="1116"/>
      <c r="B61" s="1042" t="s">
        <v>857</v>
      </c>
      <c r="C61" s="737"/>
      <c r="D61" s="737"/>
      <c r="E61" s="737"/>
      <c r="F61" s="737"/>
      <c r="G61" s="737"/>
      <c r="H61" s="737"/>
      <c r="I61" s="1117"/>
    </row>
    <row r="62" spans="1:13" s="2" customFormat="1" ht="13.8">
      <c r="A62" s="1116"/>
      <c r="B62" s="735"/>
      <c r="C62" s="737"/>
      <c r="D62" s="737"/>
      <c r="E62" s="737"/>
      <c r="F62" s="737"/>
      <c r="G62" s="737"/>
      <c r="H62" s="737"/>
      <c r="I62" s="1117"/>
    </row>
    <row r="63" spans="1:13" s="2" customFormat="1" ht="13.8">
      <c r="A63" s="1116"/>
      <c r="B63" s="735"/>
      <c r="C63" s="737"/>
      <c r="D63" s="737"/>
      <c r="E63" s="737"/>
      <c r="F63" s="737"/>
      <c r="G63" s="737"/>
      <c r="H63" s="737"/>
      <c r="I63" s="1117"/>
    </row>
    <row r="64" spans="1:13" s="2" customFormat="1" ht="22.95" customHeight="1">
      <c r="A64" s="1116"/>
      <c r="B64" s="1484" t="s">
        <v>885</v>
      </c>
      <c r="C64" s="1484"/>
      <c r="D64" s="1484"/>
      <c r="E64" s="1484"/>
      <c r="F64" s="1484"/>
      <c r="G64" s="1484"/>
      <c r="H64" s="1484"/>
      <c r="I64" s="1117"/>
    </row>
    <row r="65" spans="1:9" s="2" customFormat="1" ht="22.95" customHeight="1">
      <c r="A65" s="1116"/>
      <c r="B65" s="1484" t="s">
        <v>893</v>
      </c>
      <c r="C65" s="1484"/>
      <c r="D65" s="1484"/>
      <c r="E65" s="1484"/>
      <c r="F65" s="1484"/>
      <c r="G65" s="1484"/>
      <c r="H65" s="1484"/>
      <c r="I65" s="1117"/>
    </row>
    <row r="66" spans="1:9" s="2" customFormat="1" ht="22.95" customHeight="1">
      <c r="A66" s="1116"/>
      <c r="B66" s="1484" t="s">
        <v>894</v>
      </c>
      <c r="C66" s="1484"/>
      <c r="D66" s="1484"/>
      <c r="E66" s="1484"/>
      <c r="F66" s="1484"/>
      <c r="G66" s="1484"/>
      <c r="H66" s="1484"/>
      <c r="I66" s="1117"/>
    </row>
    <row r="67" spans="1:9" s="2" customFormat="1" ht="22.95" customHeight="1">
      <c r="A67" s="1116"/>
      <c r="B67" s="1484" t="s">
        <v>886</v>
      </c>
      <c r="C67" s="1484"/>
      <c r="D67" s="1484"/>
      <c r="E67" s="1484"/>
      <c r="F67" s="1484"/>
      <c r="G67" s="1484"/>
      <c r="H67" s="1484"/>
      <c r="I67" s="1117"/>
    </row>
    <row r="68" spans="1:9" s="2" customFormat="1" ht="22.95" customHeight="1">
      <c r="A68" s="1116"/>
      <c r="B68" s="1484" t="s">
        <v>895</v>
      </c>
      <c r="C68" s="1484"/>
      <c r="D68" s="1484"/>
      <c r="E68" s="1484"/>
      <c r="F68" s="1484"/>
      <c r="G68" s="1484"/>
      <c r="H68" s="1484"/>
      <c r="I68" s="1117"/>
    </row>
    <row r="69" spans="1:9" s="2" customFormat="1" ht="13.8">
      <c r="A69" s="1116"/>
      <c r="B69" s="735"/>
      <c r="C69" s="737"/>
      <c r="D69" s="737"/>
      <c r="E69" s="737"/>
      <c r="F69" s="737"/>
      <c r="G69" s="737"/>
      <c r="H69" s="737"/>
      <c r="I69" s="1117"/>
    </row>
    <row r="70" spans="1:9" s="2" customFormat="1" ht="13.8">
      <c r="A70" s="1116"/>
      <c r="B70" s="735"/>
      <c r="C70" s="737"/>
      <c r="D70" s="737"/>
      <c r="E70" s="737"/>
      <c r="F70" s="737"/>
      <c r="G70" s="737"/>
      <c r="H70" s="737"/>
      <c r="I70" s="1117"/>
    </row>
    <row r="71" spans="1:9" s="2" customFormat="1" ht="13.8">
      <c r="A71" s="1116"/>
      <c r="B71" s="735"/>
      <c r="C71" s="737"/>
      <c r="D71" s="737"/>
      <c r="E71" s="737"/>
      <c r="F71" s="737"/>
      <c r="G71" s="737"/>
      <c r="H71" s="737"/>
      <c r="I71" s="1117"/>
    </row>
    <row r="72" spans="1:9" s="2" customFormat="1" ht="13.8">
      <c r="A72" s="1116"/>
      <c r="B72" s="735"/>
      <c r="C72" s="737"/>
      <c r="D72" s="737"/>
      <c r="E72" s="737"/>
      <c r="F72" s="737"/>
      <c r="G72" s="737"/>
      <c r="H72" s="737"/>
      <c r="I72" s="1117"/>
    </row>
    <row r="73" spans="1:9" s="2" customFormat="1" ht="13.8">
      <c r="A73" s="1116"/>
      <c r="B73" s="735"/>
      <c r="C73" s="737"/>
      <c r="D73" s="737"/>
      <c r="E73" s="737"/>
      <c r="F73" s="737"/>
      <c r="G73" s="737"/>
      <c r="H73" s="737"/>
      <c r="I73" s="1117"/>
    </row>
    <row r="74" spans="1:9" s="2" customFormat="1" ht="13.8">
      <c r="A74" s="1116"/>
      <c r="B74" s="735"/>
      <c r="C74" s="737"/>
      <c r="D74" s="737"/>
      <c r="E74" s="737"/>
      <c r="F74" s="737"/>
      <c r="G74" s="737"/>
      <c r="H74" s="737"/>
      <c r="I74" s="1117"/>
    </row>
    <row r="75" spans="1:9">
      <c r="A75" s="1114"/>
      <c r="B75" s="1478" t="s">
        <v>708</v>
      </c>
      <c r="C75" s="1479"/>
      <c r="D75" s="1479"/>
      <c r="E75" s="1479"/>
      <c r="F75" s="1479"/>
      <c r="G75" s="1479"/>
      <c r="H75" s="1480"/>
      <c r="I75" s="1115"/>
    </row>
    <row r="76" spans="1:9" ht="15" thickBot="1">
      <c r="A76" s="1118"/>
      <c r="B76" s="1119"/>
      <c r="C76" s="1120"/>
      <c r="D76" s="1120"/>
      <c r="E76" s="1121"/>
      <c r="F76" s="1121"/>
      <c r="G76" s="1121"/>
      <c r="H76" s="1121"/>
      <c r="I76" s="1122"/>
    </row>
  </sheetData>
  <mergeCells count="12">
    <mergeCell ref="B75:H75"/>
    <mergeCell ref="B7:H7"/>
    <mergeCell ref="B2:B6"/>
    <mergeCell ref="B8:C8"/>
    <mergeCell ref="E8:F8"/>
    <mergeCell ref="B64:H64"/>
    <mergeCell ref="B65:H65"/>
    <mergeCell ref="B66:H66"/>
    <mergeCell ref="B67:H67"/>
    <mergeCell ref="B68:H68"/>
    <mergeCell ref="C2:I6"/>
    <mergeCell ref="G8:I8"/>
  </mergeCells>
  <printOptions horizontalCentered="1"/>
  <pageMargins left="0.70866141732283472" right="0.70866141732283472" top="0.74803149606299213" bottom="0.74803149606299213" header="0.31496062992125984" footer="0.31496062992125984"/>
  <pageSetup paperSize="3" scale="55" orientation="landscape" horizontalDpi="300" verticalDpi="300"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J39"/>
  <sheetViews>
    <sheetView zoomScale="60" zoomScaleNormal="60" zoomScalePageLayoutView="60" workbookViewId="0">
      <pane ySplit="4" topLeftCell="A8" activePane="bottomLeft" state="frozen"/>
      <selection pane="bottomLeft" activeCell="E42" sqref="E42"/>
    </sheetView>
  </sheetViews>
  <sheetFormatPr baseColWidth="10" defaultColWidth="11.44140625" defaultRowHeight="13.8"/>
  <cols>
    <col min="1" max="1" width="52.33203125" style="392" customWidth="1"/>
    <col min="2" max="2" width="30.33203125" style="6" customWidth="1"/>
    <col min="3" max="3" width="28" style="6" customWidth="1"/>
    <col min="4" max="4" width="20.109375" style="6" customWidth="1"/>
    <col min="5" max="5" width="30" style="6" customWidth="1"/>
    <col min="6" max="8" width="20.109375" style="6" customWidth="1"/>
    <col min="9" max="9" width="24.6640625" style="6" customWidth="1"/>
    <col min="10" max="10" width="28.6640625" style="2" customWidth="1"/>
    <col min="11" max="16384" width="11.44140625" style="2"/>
  </cols>
  <sheetData>
    <row r="3" spans="1:10" ht="26.7" customHeight="1">
      <c r="C3" s="1485" t="s">
        <v>33</v>
      </c>
      <c r="D3" s="1486"/>
    </row>
    <row r="4" spans="1:10" ht="55.2">
      <c r="A4" s="393" t="s">
        <v>178</v>
      </c>
      <c r="B4" s="88" t="s">
        <v>116</v>
      </c>
      <c r="C4" s="88" t="s">
        <v>179</v>
      </c>
      <c r="D4" s="88" t="s">
        <v>180</v>
      </c>
      <c r="E4" s="88" t="s">
        <v>117</v>
      </c>
      <c r="F4" s="88" t="s">
        <v>113</v>
      </c>
      <c r="G4" s="88" t="s">
        <v>49</v>
      </c>
      <c r="H4" s="88" t="s">
        <v>114</v>
      </c>
      <c r="I4" s="88" t="s">
        <v>115</v>
      </c>
      <c r="J4" s="541"/>
    </row>
    <row r="5" spans="1:10">
      <c r="A5" s="394" t="s">
        <v>124</v>
      </c>
      <c r="B5" s="87"/>
      <c r="C5" s="87"/>
      <c r="D5" s="87"/>
      <c r="E5" s="87"/>
      <c r="F5" s="87"/>
      <c r="G5" s="87"/>
      <c r="H5" s="87"/>
      <c r="I5" s="87"/>
      <c r="J5" s="542">
        <f>SUM(B5:I5)</f>
        <v>0</v>
      </c>
    </row>
    <row r="6" spans="1:10">
      <c r="A6" s="394" t="s">
        <v>125</v>
      </c>
      <c r="B6" s="87"/>
      <c r="C6" s="688">
        <v>113000000</v>
      </c>
      <c r="D6" s="688">
        <v>3570000000</v>
      </c>
      <c r="E6" s="87"/>
      <c r="F6" s="87"/>
      <c r="G6" s="87"/>
      <c r="H6" s="87"/>
      <c r="I6" s="87">
        <v>10000000</v>
      </c>
      <c r="J6" s="543">
        <f t="shared" ref="J6:J33" si="0">SUM(B6:I6)</f>
        <v>3693000000</v>
      </c>
    </row>
    <row r="7" spans="1:10">
      <c r="A7" s="394" t="s">
        <v>126</v>
      </c>
      <c r="B7" s="87"/>
      <c r="C7" s="87"/>
      <c r="D7" s="87"/>
      <c r="E7" s="87"/>
      <c r="F7" s="87"/>
      <c r="G7" s="87"/>
      <c r="H7" s="87"/>
      <c r="I7" s="87"/>
      <c r="J7" s="542">
        <f t="shared" si="0"/>
        <v>0</v>
      </c>
    </row>
    <row r="8" spans="1:10" ht="27.6">
      <c r="A8" s="394" t="s">
        <v>127</v>
      </c>
      <c r="B8" s="87"/>
      <c r="C8" s="87"/>
      <c r="D8" s="87"/>
      <c r="E8" s="87"/>
      <c r="F8" s="87"/>
      <c r="G8" s="87"/>
      <c r="H8" s="87"/>
      <c r="I8" s="87"/>
      <c r="J8" s="542">
        <f t="shared" si="0"/>
        <v>0</v>
      </c>
    </row>
    <row r="9" spans="1:10">
      <c r="A9" s="81" t="s">
        <v>129</v>
      </c>
      <c r="B9" s="688">
        <v>102490000</v>
      </c>
      <c r="C9" s="688">
        <v>70010000</v>
      </c>
      <c r="D9" s="688">
        <v>97500000</v>
      </c>
      <c r="E9" s="688"/>
      <c r="F9" s="688"/>
      <c r="G9" s="688"/>
      <c r="H9" s="688"/>
      <c r="I9" s="688"/>
      <c r="J9" s="689">
        <f t="shared" si="0"/>
        <v>270000000</v>
      </c>
    </row>
    <row r="10" spans="1:10">
      <c r="A10" s="81" t="s">
        <v>130</v>
      </c>
      <c r="B10" s="688">
        <v>450000000</v>
      </c>
      <c r="C10" s="688">
        <v>396950000</v>
      </c>
      <c r="D10" s="688">
        <v>97500000</v>
      </c>
      <c r="E10" s="688"/>
      <c r="F10" s="688"/>
      <c r="G10" s="688"/>
      <c r="H10" s="688"/>
      <c r="I10" s="688"/>
      <c r="J10" s="689">
        <f t="shared" si="0"/>
        <v>944450000</v>
      </c>
    </row>
    <row r="11" spans="1:10">
      <c r="A11" s="81" t="s">
        <v>131</v>
      </c>
      <c r="B11" s="688">
        <v>300000000</v>
      </c>
      <c r="C11" s="688">
        <v>744900000</v>
      </c>
      <c r="D11" s="688"/>
      <c r="E11" s="688"/>
      <c r="F11" s="688"/>
      <c r="G11" s="688"/>
      <c r="H11" s="688"/>
      <c r="I11" s="688">
        <v>10000000</v>
      </c>
      <c r="J11" s="689">
        <f t="shared" si="0"/>
        <v>1054900000</v>
      </c>
    </row>
    <row r="12" spans="1:10">
      <c r="A12" s="82" t="s">
        <v>133</v>
      </c>
      <c r="B12" s="688">
        <v>2153083250</v>
      </c>
      <c r="C12" s="688"/>
      <c r="D12" s="688">
        <v>243750000</v>
      </c>
      <c r="E12" s="688"/>
      <c r="F12" s="688"/>
      <c r="G12" s="688"/>
      <c r="H12" s="688"/>
      <c r="I12" s="688">
        <v>9995852174.9999981</v>
      </c>
      <c r="J12" s="689">
        <f t="shared" si="0"/>
        <v>12392685424.999998</v>
      </c>
    </row>
    <row r="13" spans="1:10">
      <c r="A13" s="83" t="s">
        <v>135</v>
      </c>
      <c r="B13" s="688">
        <v>935425808</v>
      </c>
      <c r="C13" s="688">
        <v>19382582889</v>
      </c>
      <c r="D13" s="688">
        <v>401250000</v>
      </c>
      <c r="E13" s="688">
        <v>185189380379</v>
      </c>
      <c r="F13" s="688"/>
      <c r="G13" s="688"/>
      <c r="H13" s="688"/>
      <c r="I13" s="688"/>
      <c r="J13" s="689">
        <f t="shared" si="0"/>
        <v>205908639076</v>
      </c>
    </row>
    <row r="14" spans="1:10">
      <c r="A14" s="83" t="s">
        <v>136</v>
      </c>
      <c r="B14" s="435">
        <v>200000000</v>
      </c>
      <c r="C14" s="435">
        <v>51000000</v>
      </c>
      <c r="D14" s="435">
        <v>607500000</v>
      </c>
      <c r="E14" s="435"/>
      <c r="F14" s="435"/>
      <c r="G14" s="435"/>
      <c r="H14" s="435"/>
      <c r="I14" s="435"/>
      <c r="J14" s="543">
        <f t="shared" si="0"/>
        <v>858500000</v>
      </c>
    </row>
    <row r="15" spans="1:10">
      <c r="A15" s="83" t="s">
        <v>137</v>
      </c>
      <c r="B15" s="435">
        <v>390000000</v>
      </c>
      <c r="C15" s="435"/>
      <c r="D15" s="435"/>
      <c r="E15" s="435"/>
      <c r="F15" s="435"/>
      <c r="G15" s="435"/>
      <c r="H15" s="435"/>
      <c r="I15" s="435"/>
      <c r="J15" s="543">
        <f t="shared" si="0"/>
        <v>390000000</v>
      </c>
    </row>
    <row r="16" spans="1:10">
      <c r="A16" s="83" t="s">
        <v>138</v>
      </c>
      <c r="B16" s="435">
        <v>100000000</v>
      </c>
      <c r="C16" s="435"/>
      <c r="D16" s="435"/>
      <c r="E16" s="435"/>
      <c r="F16" s="435"/>
      <c r="G16" s="435"/>
      <c r="H16" s="435"/>
      <c r="I16" s="435"/>
      <c r="J16" s="543">
        <f t="shared" si="0"/>
        <v>100000000</v>
      </c>
    </row>
    <row r="17" spans="1:10">
      <c r="A17" s="83" t="s">
        <v>139</v>
      </c>
      <c r="B17" s="435">
        <v>150000000</v>
      </c>
      <c r="C17" s="435"/>
      <c r="D17" s="435"/>
      <c r="E17" s="435"/>
      <c r="F17" s="435"/>
      <c r="G17" s="435"/>
      <c r="H17" s="435"/>
      <c r="I17" s="435"/>
      <c r="J17" s="543">
        <f t="shared" si="0"/>
        <v>150000000</v>
      </c>
    </row>
    <row r="18" spans="1:10">
      <c r="A18" s="83" t="s">
        <v>140</v>
      </c>
      <c r="B18" s="435">
        <v>90000000</v>
      </c>
      <c r="C18" s="435"/>
      <c r="D18" s="435"/>
      <c r="E18" s="435"/>
      <c r="F18" s="435"/>
      <c r="G18" s="435"/>
      <c r="H18" s="435"/>
      <c r="I18" s="435"/>
      <c r="J18" s="543">
        <f t="shared" si="0"/>
        <v>90000000</v>
      </c>
    </row>
    <row r="19" spans="1:10">
      <c r="A19" s="83" t="s">
        <v>141</v>
      </c>
      <c r="B19" s="435">
        <v>90000000</v>
      </c>
      <c r="C19" s="435"/>
      <c r="D19" s="435"/>
      <c r="E19" s="435"/>
      <c r="F19" s="435"/>
      <c r="G19" s="435"/>
      <c r="H19" s="435"/>
      <c r="I19" s="435"/>
      <c r="J19" s="543">
        <f t="shared" si="0"/>
        <v>90000000</v>
      </c>
    </row>
    <row r="20" spans="1:10">
      <c r="A20" s="83" t="s">
        <v>142</v>
      </c>
      <c r="B20" s="435"/>
      <c r="C20" s="435"/>
      <c r="D20" s="435">
        <v>1820000000</v>
      </c>
      <c r="E20" s="435"/>
      <c r="F20" s="435"/>
      <c r="G20" s="435"/>
      <c r="H20" s="435"/>
      <c r="I20" s="435"/>
      <c r="J20" s="543">
        <f t="shared" si="0"/>
        <v>1820000000</v>
      </c>
    </row>
    <row r="21" spans="1:10">
      <c r="A21" s="83" t="s">
        <v>143</v>
      </c>
      <c r="B21" s="435">
        <v>90000000</v>
      </c>
      <c r="C21" s="435"/>
      <c r="D21" s="435"/>
      <c r="E21" s="435"/>
      <c r="F21" s="435"/>
      <c r="G21" s="435"/>
      <c r="H21" s="435"/>
      <c r="I21" s="435"/>
      <c r="J21" s="543">
        <f t="shared" si="0"/>
        <v>90000000</v>
      </c>
    </row>
    <row r="22" spans="1:10">
      <c r="A22" s="83" t="s">
        <v>144</v>
      </c>
      <c r="B22" s="435">
        <v>270000000</v>
      </c>
      <c r="C22" s="435"/>
      <c r="D22" s="435"/>
      <c r="E22" s="435"/>
      <c r="F22" s="435"/>
      <c r="G22" s="435"/>
      <c r="H22" s="435"/>
      <c r="I22" s="435"/>
      <c r="J22" s="543">
        <f t="shared" si="0"/>
        <v>270000000</v>
      </c>
    </row>
    <row r="23" spans="1:10">
      <c r="A23" s="83" t="s">
        <v>145</v>
      </c>
      <c r="B23" s="435">
        <v>283358757</v>
      </c>
      <c r="C23" s="435"/>
      <c r="D23" s="435"/>
      <c r="E23" s="435"/>
      <c r="F23" s="435"/>
      <c r="G23" s="435"/>
      <c r="H23" s="435"/>
      <c r="I23" s="435"/>
      <c r="J23" s="544">
        <f t="shared" si="0"/>
        <v>283358757</v>
      </c>
    </row>
    <row r="24" spans="1:10">
      <c r="A24" s="83" t="s">
        <v>146</v>
      </c>
      <c r="B24" s="435">
        <v>1900000000</v>
      </c>
      <c r="C24" s="435"/>
      <c r="D24" s="435"/>
      <c r="E24" s="435"/>
      <c r="F24" s="435"/>
      <c r="G24" s="435"/>
      <c r="H24" s="435"/>
      <c r="I24" s="435">
        <v>1300000000</v>
      </c>
      <c r="J24" s="543">
        <f t="shared" si="0"/>
        <v>3200000000</v>
      </c>
    </row>
    <row r="25" spans="1:10" ht="27.6">
      <c r="A25" s="84" t="s">
        <v>148</v>
      </c>
      <c r="B25" s="435">
        <v>756250000</v>
      </c>
      <c r="C25" s="87">
        <v>810000000</v>
      </c>
      <c r="D25" s="435">
        <v>243750000</v>
      </c>
      <c r="E25" s="87"/>
      <c r="F25" s="87"/>
      <c r="G25" s="87"/>
      <c r="H25" s="87"/>
      <c r="I25" s="435">
        <v>190000000</v>
      </c>
      <c r="J25" s="543">
        <f t="shared" si="0"/>
        <v>2000000000</v>
      </c>
    </row>
    <row r="26" spans="1:10">
      <c r="A26" s="84" t="s">
        <v>149</v>
      </c>
      <c r="B26" s="435"/>
      <c r="C26" s="435"/>
      <c r="D26" s="435">
        <v>401250000</v>
      </c>
      <c r="E26" s="435"/>
      <c r="F26" s="435">
        <v>2851000000</v>
      </c>
      <c r="G26" s="435"/>
      <c r="H26" s="435"/>
      <c r="I26" s="435"/>
      <c r="J26" s="543">
        <f t="shared" si="0"/>
        <v>3252250000</v>
      </c>
    </row>
    <row r="27" spans="1:10">
      <c r="A27" s="84" t="s">
        <v>150</v>
      </c>
      <c r="B27" s="435">
        <v>193699000</v>
      </c>
      <c r="C27" s="435"/>
      <c r="D27" s="435">
        <v>253000000</v>
      </c>
      <c r="E27" s="435"/>
      <c r="F27" s="435"/>
      <c r="G27" s="435"/>
      <c r="H27" s="435"/>
      <c r="I27" s="435">
        <v>6301000</v>
      </c>
      <c r="J27" s="543">
        <f t="shared" si="0"/>
        <v>453000000</v>
      </c>
    </row>
    <row r="28" spans="1:10" ht="27.6">
      <c r="A28" s="84" t="s">
        <v>151</v>
      </c>
      <c r="B28" s="87"/>
      <c r="C28" s="87"/>
      <c r="D28" s="87"/>
      <c r="E28" s="87"/>
      <c r="F28" s="87"/>
      <c r="G28" s="87"/>
      <c r="H28" s="87"/>
      <c r="I28" s="87"/>
      <c r="J28" s="542">
        <f t="shared" si="0"/>
        <v>0</v>
      </c>
    </row>
    <row r="29" spans="1:10" ht="27.6">
      <c r="A29" s="85" t="s">
        <v>153</v>
      </c>
      <c r="B29" s="435">
        <v>2500000</v>
      </c>
      <c r="C29" s="87"/>
      <c r="D29" s="435">
        <v>97500000</v>
      </c>
      <c r="E29" s="87"/>
      <c r="F29" s="87"/>
      <c r="G29" s="87"/>
      <c r="H29" s="87"/>
      <c r="I29" s="87"/>
      <c r="J29" s="543">
        <f t="shared" si="0"/>
        <v>100000000</v>
      </c>
    </row>
    <row r="30" spans="1:10">
      <c r="A30" s="85" t="s">
        <v>154</v>
      </c>
      <c r="B30" s="435">
        <v>150000000</v>
      </c>
      <c r="C30" s="87"/>
      <c r="D30" s="87"/>
      <c r="E30" s="87"/>
      <c r="F30" s="87"/>
      <c r="G30" s="87"/>
      <c r="H30" s="87"/>
      <c r="I30" s="87"/>
      <c r="J30" s="543">
        <f t="shared" si="0"/>
        <v>150000000</v>
      </c>
    </row>
    <row r="31" spans="1:10">
      <c r="A31" s="85" t="s">
        <v>155</v>
      </c>
      <c r="B31" s="435"/>
      <c r="C31" s="435">
        <v>5180000000</v>
      </c>
      <c r="D31" s="435"/>
      <c r="E31" s="435"/>
      <c r="F31" s="435"/>
      <c r="G31" s="435"/>
      <c r="H31" s="435"/>
      <c r="I31" s="435"/>
      <c r="J31" s="543">
        <f t="shared" si="0"/>
        <v>5180000000</v>
      </c>
    </row>
    <row r="32" spans="1:10">
      <c r="A32" s="86" t="s">
        <v>159</v>
      </c>
      <c r="B32" s="435">
        <v>190000000</v>
      </c>
      <c r="C32" s="435"/>
      <c r="D32" s="435"/>
      <c r="E32" s="435"/>
      <c r="F32" s="435"/>
      <c r="G32" s="435"/>
      <c r="H32" s="435"/>
      <c r="I32" s="435"/>
      <c r="J32" s="543">
        <f t="shared" si="0"/>
        <v>190000000</v>
      </c>
    </row>
    <row r="33" spans="1:10" ht="27.6">
      <c r="A33" s="86" t="s">
        <v>160</v>
      </c>
      <c r="B33" s="435">
        <f>1090000000-78855850</f>
        <v>1011144150</v>
      </c>
      <c r="C33" s="435">
        <f>171044150+78855850</f>
        <v>249900000</v>
      </c>
      <c r="D33" s="435"/>
      <c r="E33" s="435"/>
      <c r="F33" s="435"/>
      <c r="G33" s="435"/>
      <c r="H33" s="435"/>
      <c r="I33" s="435"/>
      <c r="J33" s="543">
        <f t="shared" si="0"/>
        <v>1261044150</v>
      </c>
    </row>
    <row r="34" spans="1:10">
      <c r="A34" s="393" t="s">
        <v>8</v>
      </c>
      <c r="B34" s="87">
        <f>SUM(B5:B33)</f>
        <v>9807950965</v>
      </c>
      <c r="C34" s="87">
        <f>SUM(C5:C33)</f>
        <v>26998342889</v>
      </c>
      <c r="D34" s="87">
        <f t="shared" ref="D34:I34" si="1">SUM(D5:D33)</f>
        <v>7833000000</v>
      </c>
      <c r="E34" s="87">
        <f t="shared" si="1"/>
        <v>185189380379</v>
      </c>
      <c r="F34" s="87">
        <f t="shared" si="1"/>
        <v>2851000000</v>
      </c>
      <c r="G34" s="87">
        <f t="shared" si="1"/>
        <v>0</v>
      </c>
      <c r="H34" s="87">
        <f t="shared" si="1"/>
        <v>0</v>
      </c>
      <c r="I34" s="87">
        <f t="shared" si="1"/>
        <v>11512153174.999998</v>
      </c>
      <c r="J34" s="87">
        <f>SUM(J5:J33)</f>
        <v>244191827408</v>
      </c>
    </row>
    <row r="35" spans="1:10">
      <c r="J35" s="6">
        <v>230875549425</v>
      </c>
    </row>
    <row r="36" spans="1:10">
      <c r="J36" s="7">
        <f>J34-J35</f>
        <v>13316277983</v>
      </c>
    </row>
    <row r="37" spans="1:10">
      <c r="J37" s="7">
        <f>J34+'MATRIZ PLURIANUAL (2)'!R48</f>
        <v>280712812982.19</v>
      </c>
    </row>
    <row r="38" spans="1:10">
      <c r="B38" s="6">
        <f>70000000+50000000+70000000</f>
        <v>190000000</v>
      </c>
    </row>
    <row r="39" spans="1:10">
      <c r="I39" s="6">
        <v>267845436264.85391</v>
      </c>
    </row>
  </sheetData>
  <mergeCells count="1">
    <mergeCell ref="C3:D3"/>
  </mergeCells>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BA132"/>
  <sheetViews>
    <sheetView topLeftCell="A3" zoomScale="30" zoomScaleNormal="30" zoomScaleSheetLayoutView="20" zoomScalePageLayoutView="30" workbookViewId="0">
      <pane xSplit="3" ySplit="3" topLeftCell="H6" activePane="bottomRight" state="frozen"/>
      <selection activeCell="A3" sqref="A3"/>
      <selection pane="topRight" activeCell="D3" sqref="D3"/>
      <selection pane="bottomLeft" activeCell="A6" sqref="A6"/>
      <selection pane="bottomRight" activeCell="O5" sqref="O5"/>
    </sheetView>
  </sheetViews>
  <sheetFormatPr baseColWidth="10" defaultColWidth="11.6640625" defaultRowHeight="25.8"/>
  <cols>
    <col min="1" max="1" width="64.6640625" style="53" customWidth="1"/>
    <col min="2" max="2" width="84.44140625" style="54" customWidth="1"/>
    <col min="3" max="3" width="79.6640625" style="74" customWidth="1"/>
    <col min="4" max="4" width="53" style="860" customWidth="1"/>
    <col min="5" max="10" width="53" style="557" customWidth="1"/>
    <col min="11" max="11" width="48" style="557" customWidth="1"/>
    <col min="12" max="12" width="69.109375" style="557" customWidth="1"/>
    <col min="13" max="13" width="53" style="55" customWidth="1"/>
    <col min="14" max="14" width="56.6640625" style="557" customWidth="1"/>
    <col min="15" max="19" width="53" style="557" customWidth="1"/>
    <col min="20" max="20" width="60.44140625" style="557" customWidth="1"/>
    <col min="21" max="21" width="58.109375" style="557" customWidth="1"/>
    <col min="22" max="27" width="53" style="557" customWidth="1"/>
    <col min="28" max="28" width="48" style="557" customWidth="1"/>
    <col min="29" max="29" width="78.109375" style="557" customWidth="1"/>
    <col min="30" max="35" width="53" style="557" customWidth="1"/>
    <col min="36" max="36" width="48" style="557" customWidth="1"/>
    <col min="37" max="37" width="70.109375" style="557" customWidth="1"/>
    <col min="38" max="43" width="53" style="557" customWidth="1"/>
    <col min="44" max="44" width="48" style="557" customWidth="1"/>
    <col min="45" max="45" width="64.33203125" style="557" customWidth="1"/>
    <col min="46" max="47" width="48" style="55" customWidth="1"/>
    <col min="48" max="48" width="123.33203125" style="55" customWidth="1"/>
    <col min="49" max="51" width="11.6640625" style="55"/>
    <col min="52" max="16384" width="11.6640625" style="52"/>
  </cols>
  <sheetData>
    <row r="1" spans="1:51" ht="26.4" hidden="1" thickBot="1"/>
    <row r="2" spans="1:51" ht="26.7" hidden="1" customHeight="1" thickBot="1">
      <c r="A2" s="56"/>
      <c r="B2" s="1488" t="s">
        <v>161</v>
      </c>
      <c r="C2" s="1489"/>
      <c r="D2" s="1489"/>
      <c r="E2" s="1489"/>
      <c r="F2" s="1489"/>
      <c r="G2" s="1489"/>
      <c r="H2" s="1489"/>
      <c r="I2" s="1489"/>
      <c r="J2" s="1489"/>
      <c r="K2" s="1489"/>
      <c r="L2" s="1489"/>
      <c r="M2" s="1489"/>
      <c r="N2" s="1489"/>
      <c r="O2" s="1489"/>
      <c r="P2" s="1489"/>
      <c r="Q2" s="1489"/>
      <c r="R2" s="1489"/>
      <c r="S2" s="1489"/>
      <c r="T2" s="1489"/>
      <c r="U2" s="1489"/>
      <c r="V2" s="1489"/>
      <c r="W2" s="1489"/>
      <c r="X2" s="1489"/>
      <c r="Y2" s="1489"/>
      <c r="Z2" s="1489"/>
      <c r="AA2" s="1489"/>
      <c r="AB2" s="1489"/>
      <c r="AC2" s="1489"/>
      <c r="AD2" s="1489"/>
      <c r="AE2" s="1489"/>
      <c r="AF2" s="1489"/>
      <c r="AG2" s="1489"/>
      <c r="AH2" s="1489"/>
      <c r="AI2" s="1489"/>
      <c r="AJ2" s="1489"/>
      <c r="AK2" s="1489"/>
      <c r="AL2" s="1489"/>
      <c r="AM2" s="1489"/>
      <c r="AN2" s="1489"/>
      <c r="AO2" s="1489"/>
      <c r="AP2" s="1489"/>
      <c r="AQ2" s="1489"/>
      <c r="AR2" s="1489"/>
      <c r="AS2" s="1489"/>
      <c r="AT2" s="1489"/>
      <c r="AU2" s="1490"/>
    </row>
    <row r="3" spans="1:51" ht="111" customHeight="1" thickBot="1">
      <c r="A3" s="553"/>
      <c r="B3" s="554"/>
      <c r="C3" s="555"/>
      <c r="D3" s="861"/>
      <c r="E3" s="1493" t="s">
        <v>624</v>
      </c>
      <c r="F3" s="1493"/>
      <c r="G3" s="1493"/>
      <c r="H3" s="1493"/>
      <c r="I3" s="1493"/>
      <c r="J3" s="1493"/>
      <c r="K3" s="1493"/>
      <c r="L3" s="1493"/>
      <c r="M3" s="1493"/>
      <c r="N3" s="1491">
        <v>2020</v>
      </c>
      <c r="O3" s="1491"/>
      <c r="P3" s="1491"/>
      <c r="Q3" s="1491"/>
      <c r="R3" s="1491"/>
      <c r="S3" s="1491"/>
      <c r="T3" s="1491"/>
      <c r="U3" s="1491"/>
      <c r="V3" s="1492">
        <v>2021</v>
      </c>
      <c r="W3" s="1492"/>
      <c r="X3" s="1492"/>
      <c r="Y3" s="1492"/>
      <c r="Z3" s="1492"/>
      <c r="AA3" s="1492"/>
      <c r="AB3" s="1492"/>
      <c r="AC3" s="1492"/>
      <c r="AD3" s="1491">
        <v>2022</v>
      </c>
      <c r="AE3" s="1491"/>
      <c r="AF3" s="1491"/>
      <c r="AG3" s="1491"/>
      <c r="AH3" s="1491"/>
      <c r="AI3" s="1491"/>
      <c r="AJ3" s="1491"/>
      <c r="AK3" s="1491"/>
      <c r="AL3" s="1491">
        <v>2023</v>
      </c>
      <c r="AM3" s="1491"/>
      <c r="AN3" s="1491"/>
      <c r="AO3" s="1491"/>
      <c r="AP3" s="1491"/>
      <c r="AQ3" s="1491"/>
      <c r="AR3" s="1491"/>
      <c r="AS3" s="1491"/>
      <c r="AT3" s="555"/>
      <c r="AU3" s="556"/>
    </row>
    <row r="4" spans="1:51" s="71" customFormat="1" ht="85.5" customHeight="1">
      <c r="A4" s="547" t="s">
        <v>120</v>
      </c>
      <c r="B4" s="69" t="s">
        <v>157</v>
      </c>
      <c r="C4" s="69" t="s">
        <v>158</v>
      </c>
      <c r="D4" s="862" t="s">
        <v>174</v>
      </c>
      <c r="E4" s="558" t="s">
        <v>116</v>
      </c>
      <c r="F4" s="558" t="s">
        <v>33</v>
      </c>
      <c r="G4" s="558" t="s">
        <v>117</v>
      </c>
      <c r="H4" s="558" t="s">
        <v>113</v>
      </c>
      <c r="I4" s="558" t="s">
        <v>49</v>
      </c>
      <c r="J4" s="558" t="s">
        <v>114</v>
      </c>
      <c r="K4" s="558" t="s">
        <v>115</v>
      </c>
      <c r="L4" s="69" t="s">
        <v>174</v>
      </c>
      <c r="M4" s="69" t="s">
        <v>625</v>
      </c>
      <c r="N4" s="558" t="s">
        <v>116</v>
      </c>
      <c r="O4" s="558" t="s">
        <v>33</v>
      </c>
      <c r="P4" s="558" t="s">
        <v>117</v>
      </c>
      <c r="Q4" s="558" t="s">
        <v>113</v>
      </c>
      <c r="R4" s="558" t="s">
        <v>49</v>
      </c>
      <c r="S4" s="558" t="s">
        <v>114</v>
      </c>
      <c r="T4" s="558" t="s">
        <v>115</v>
      </c>
      <c r="U4" s="558" t="s">
        <v>598</v>
      </c>
      <c r="V4" s="558" t="s">
        <v>116</v>
      </c>
      <c r="W4" s="558" t="s">
        <v>33</v>
      </c>
      <c r="X4" s="558" t="s">
        <v>117</v>
      </c>
      <c r="Y4" s="558" t="s">
        <v>113</v>
      </c>
      <c r="Z4" s="558" t="s">
        <v>49</v>
      </c>
      <c r="AA4" s="558" t="s">
        <v>114</v>
      </c>
      <c r="AB4" s="558" t="s">
        <v>115</v>
      </c>
      <c r="AC4" s="558" t="s">
        <v>602</v>
      </c>
      <c r="AD4" s="558" t="s">
        <v>116</v>
      </c>
      <c r="AE4" s="558" t="s">
        <v>33</v>
      </c>
      <c r="AF4" s="558" t="s">
        <v>117</v>
      </c>
      <c r="AG4" s="558" t="s">
        <v>113</v>
      </c>
      <c r="AH4" s="558" t="s">
        <v>49</v>
      </c>
      <c r="AI4" s="558" t="s">
        <v>114</v>
      </c>
      <c r="AJ4" s="558" t="s">
        <v>115</v>
      </c>
      <c r="AK4" s="558" t="s">
        <v>603</v>
      </c>
      <c r="AL4" s="558" t="s">
        <v>116</v>
      </c>
      <c r="AM4" s="558" t="s">
        <v>33</v>
      </c>
      <c r="AN4" s="558" t="s">
        <v>117</v>
      </c>
      <c r="AO4" s="558" t="s">
        <v>113</v>
      </c>
      <c r="AP4" s="558" t="s">
        <v>49</v>
      </c>
      <c r="AQ4" s="558" t="s">
        <v>114</v>
      </c>
      <c r="AR4" s="558" t="s">
        <v>115</v>
      </c>
      <c r="AS4" s="558" t="s">
        <v>604</v>
      </c>
      <c r="AT4" s="69" t="s">
        <v>121</v>
      </c>
      <c r="AU4" s="69" t="s">
        <v>122</v>
      </c>
      <c r="AV4" s="70"/>
      <c r="AW4" s="70"/>
      <c r="AX4" s="70"/>
      <c r="AY4" s="70"/>
    </row>
    <row r="5" spans="1:51" s="550" customFormat="1" ht="147" customHeight="1">
      <c r="A5" s="549"/>
      <c r="B5" s="549"/>
      <c r="C5" s="549"/>
      <c r="D5" s="863"/>
      <c r="E5" s="848">
        <f>N5+V5+AD5+AL5</f>
        <v>35990526507.178024</v>
      </c>
      <c r="F5" s="559">
        <f>O5+W5+AE5+AM5</f>
        <v>128624569189.75002</v>
      </c>
      <c r="G5" s="559">
        <f>P5+X5+AF5+AN5</f>
        <v>752905601773.56787</v>
      </c>
      <c r="H5" s="559">
        <f>Q5+Y5+AG5+AO5</f>
        <v>12628567563</v>
      </c>
      <c r="I5" s="559">
        <f>R5+Z5+AH5+AP5</f>
        <v>287626759570.97601</v>
      </c>
      <c r="J5" s="559">
        <f t="shared" ref="J5:K5" si="0">S5+AA5+AI5+AQ5</f>
        <v>217546304145.9285</v>
      </c>
      <c r="K5" s="559">
        <f t="shared" si="0"/>
        <v>17420441297.439999</v>
      </c>
      <c r="L5" s="848">
        <f>SUM(E5:K5)</f>
        <v>1452742770047.8403</v>
      </c>
      <c r="M5" s="551">
        <v>0.04</v>
      </c>
      <c r="N5" s="559">
        <f>N6+N24+N42+N48+N78+N90+N107</f>
        <v>11892882523.42</v>
      </c>
      <c r="O5" s="559">
        <f>O6+O24+O42+O48+O78+O90+O107</f>
        <v>47470458330.730003</v>
      </c>
      <c r="P5" s="559">
        <f t="shared" ref="P5:T5" si="1">P6+P24+P42+P48+P78+P90+P107</f>
        <v>186152127921.75</v>
      </c>
      <c r="Q5" s="559">
        <f t="shared" si="1"/>
        <v>3644567563</v>
      </c>
      <c r="R5" s="559">
        <f t="shared" si="1"/>
        <v>69795245962.980011</v>
      </c>
      <c r="S5" s="559">
        <f t="shared" si="1"/>
        <v>36873071310.555298</v>
      </c>
      <c r="T5" s="559">
        <f t="shared" si="1"/>
        <v>15095951864.439999</v>
      </c>
      <c r="U5" s="559">
        <f>SUM(N5:T5)</f>
        <v>370924305476.87531</v>
      </c>
      <c r="V5" s="848">
        <f t="shared" ref="V5:AU5" si="2">V6+V24+V42+V48+V78+V90+V107</f>
        <v>7733581683.709671</v>
      </c>
      <c r="W5" s="559">
        <f t="shared" si="2"/>
        <v>30830087800</v>
      </c>
      <c r="X5" s="559">
        <f t="shared" si="2"/>
        <v>187041300600.41428</v>
      </c>
      <c r="Y5" s="559">
        <f t="shared" si="2"/>
        <v>2921000000</v>
      </c>
      <c r="Z5" s="559">
        <f t="shared" si="2"/>
        <v>74167306603.998001</v>
      </c>
      <c r="AA5" s="559">
        <f t="shared" si="2"/>
        <v>65132511125.323196</v>
      </c>
      <c r="AB5" s="559">
        <f>AB6+AB24+AB42+AB48+AB78+AB90+AB107</f>
        <v>1061410700</v>
      </c>
      <c r="AC5" s="559">
        <f>AC6+AC24+AC42+AC48+AC78+AC90+AC107</f>
        <v>368887198513.44519</v>
      </c>
      <c r="AD5" s="559">
        <f t="shared" si="2"/>
        <v>8030397890.000001</v>
      </c>
      <c r="AE5" s="559">
        <f t="shared" si="2"/>
        <v>29404285074</v>
      </c>
      <c r="AF5" s="559">
        <f t="shared" si="2"/>
        <v>188911583677.31885</v>
      </c>
      <c r="AG5" s="559">
        <f t="shared" si="2"/>
        <v>2994000000</v>
      </c>
      <c r="AH5" s="559">
        <f t="shared" si="2"/>
        <v>71300840833.998001</v>
      </c>
      <c r="AI5" s="559">
        <f t="shared" si="2"/>
        <v>56979832216.93</v>
      </c>
      <c r="AJ5" s="559">
        <f t="shared" si="2"/>
        <v>742987490.00000012</v>
      </c>
      <c r="AK5" s="559">
        <f t="shared" si="2"/>
        <v>358363927182.24689</v>
      </c>
      <c r="AL5" s="849">
        <f t="shared" si="2"/>
        <v>8333664410.048357</v>
      </c>
      <c r="AM5" s="559">
        <f t="shared" si="2"/>
        <v>20919737985.020004</v>
      </c>
      <c r="AN5" s="559">
        <f t="shared" si="2"/>
        <v>190800589574.08466</v>
      </c>
      <c r="AO5" s="559">
        <f t="shared" si="2"/>
        <v>3069000000</v>
      </c>
      <c r="AP5" s="559">
        <f t="shared" si="2"/>
        <v>72363366170</v>
      </c>
      <c r="AQ5" s="559">
        <f t="shared" si="2"/>
        <v>58560889493.119995</v>
      </c>
      <c r="AR5" s="559">
        <f t="shared" si="2"/>
        <v>520091243</v>
      </c>
      <c r="AS5" s="559">
        <f t="shared" si="2"/>
        <v>354567338875.27301</v>
      </c>
      <c r="AT5" s="559">
        <f t="shared" si="2"/>
        <v>0</v>
      </c>
      <c r="AU5" s="559">
        <f t="shared" si="2"/>
        <v>0</v>
      </c>
      <c r="AV5" s="549" t="s">
        <v>599</v>
      </c>
      <c r="AW5" s="549"/>
      <c r="AX5" s="549"/>
      <c r="AY5" s="549"/>
    </row>
    <row r="6" spans="1:51" s="655" customFormat="1" ht="147" customHeight="1">
      <c r="A6" s="658"/>
      <c r="B6" s="658"/>
      <c r="C6" s="658"/>
      <c r="D6" s="864"/>
      <c r="E6" s="660">
        <f t="shared" ref="E6" si="3">N6+V6+AD6+AL6</f>
        <v>2168787958.5382471</v>
      </c>
      <c r="F6" s="660">
        <f t="shared" ref="F6:F7" si="4">O6+W6+AE6+AM6</f>
        <v>11408079167.619999</v>
      </c>
      <c r="G6" s="660">
        <f t="shared" ref="G6:G7" si="5">P6+X6+AF6+AN6</f>
        <v>0</v>
      </c>
      <c r="H6" s="660">
        <f t="shared" ref="H6:H7" si="6">Q6+Y6+AG6+AO6</f>
        <v>0</v>
      </c>
      <c r="I6" s="660">
        <f t="shared" ref="I6:I7" si="7">R6+Z6+AH6+AP6</f>
        <v>22404836224.720001</v>
      </c>
      <c r="J6" s="660">
        <f t="shared" ref="J6:J7" si="8">S6+AA6+AI6+AQ6</f>
        <v>7130000000</v>
      </c>
      <c r="K6" s="660">
        <f t="shared" ref="K6:K7" si="9">T6+AB6+AJ6+AR6</f>
        <v>219204048.97000003</v>
      </c>
      <c r="L6" s="660">
        <f>SUM(E6:K6)</f>
        <v>43330907399.848251</v>
      </c>
      <c r="M6" s="659"/>
      <c r="N6" s="660">
        <f t="shared" ref="N6:AU6" si="10">N7+N12+N18+N15</f>
        <v>0</v>
      </c>
      <c r="O6" s="660">
        <f t="shared" si="10"/>
        <v>2745725277.6199999</v>
      </c>
      <c r="P6" s="660">
        <f t="shared" si="10"/>
        <v>0</v>
      </c>
      <c r="Q6" s="660">
        <f t="shared" si="10"/>
        <v>0</v>
      </c>
      <c r="R6" s="660">
        <f t="shared" si="10"/>
        <v>3400000000</v>
      </c>
      <c r="S6" s="660">
        <f t="shared" si="10"/>
        <v>0</v>
      </c>
      <c r="T6" s="660">
        <f t="shared" si="10"/>
        <v>10000000</v>
      </c>
      <c r="U6" s="660">
        <f t="shared" si="10"/>
        <v>6155725277.6199999</v>
      </c>
      <c r="V6" s="660">
        <f t="shared" si="10"/>
        <v>696022351.53390002</v>
      </c>
      <c r="W6" s="660">
        <f>W7+W12+W18+W15</f>
        <v>3187100000</v>
      </c>
      <c r="X6" s="660">
        <f t="shared" si="10"/>
        <v>0</v>
      </c>
      <c r="Y6" s="660">
        <f t="shared" si="10"/>
        <v>0</v>
      </c>
      <c r="Z6" s="660">
        <f t="shared" si="10"/>
        <v>6475057594.3599997</v>
      </c>
      <c r="AA6" s="660">
        <f t="shared" si="10"/>
        <v>2700000000</v>
      </c>
      <c r="AB6" s="660">
        <f t="shared" si="10"/>
        <v>95526963</v>
      </c>
      <c r="AC6" s="660">
        <f t="shared" si="10"/>
        <v>13153706908.8939</v>
      </c>
      <c r="AD6" s="660">
        <f t="shared" si="10"/>
        <v>722735810.10000002</v>
      </c>
      <c r="AE6" s="660">
        <f t="shared" si="10"/>
        <v>2877263000</v>
      </c>
      <c r="AF6" s="660">
        <f t="shared" si="10"/>
        <v>0</v>
      </c>
      <c r="AG6" s="660">
        <f t="shared" si="10"/>
        <v>0</v>
      </c>
      <c r="AH6" s="660">
        <f t="shared" si="10"/>
        <v>6217075675.0599995</v>
      </c>
      <c r="AI6" s="660">
        <f t="shared" si="10"/>
        <v>2850000000</v>
      </c>
      <c r="AJ6" s="660">
        <f t="shared" si="10"/>
        <v>66868874.100000009</v>
      </c>
      <c r="AK6" s="660">
        <f t="shared" si="10"/>
        <v>12733943359.26</v>
      </c>
      <c r="AL6" s="660">
        <f t="shared" si="10"/>
        <v>750029796.90434694</v>
      </c>
      <c r="AM6" s="660">
        <f t="shared" si="10"/>
        <v>2597990890</v>
      </c>
      <c r="AN6" s="660">
        <f t="shared" si="10"/>
        <v>0</v>
      </c>
      <c r="AO6" s="660">
        <f t="shared" si="10"/>
        <v>0</v>
      </c>
      <c r="AP6" s="660">
        <f t="shared" si="10"/>
        <v>6312702955.3000002</v>
      </c>
      <c r="AQ6" s="660">
        <f t="shared" si="10"/>
        <v>1580000000</v>
      </c>
      <c r="AR6" s="660">
        <f t="shared" si="10"/>
        <v>46808211.869999997</v>
      </c>
      <c r="AS6" s="660">
        <f t="shared" si="10"/>
        <v>11287531854.074347</v>
      </c>
      <c r="AT6" s="660">
        <f t="shared" si="10"/>
        <v>0</v>
      </c>
      <c r="AU6" s="660">
        <f t="shared" si="10"/>
        <v>0</v>
      </c>
      <c r="AV6" s="658" t="s">
        <v>600</v>
      </c>
      <c r="AW6" s="654"/>
      <c r="AX6" s="654"/>
      <c r="AY6" s="654"/>
    </row>
    <row r="7" spans="1:51" s="684" customFormat="1" ht="147" customHeight="1">
      <c r="A7" s="661"/>
      <c r="B7" s="661"/>
      <c r="C7" s="661"/>
      <c r="D7" s="865">
        <f>(E7+I7+K7)/(E5+I5+K5)</f>
        <v>2.982117538506136E-2</v>
      </c>
      <c r="E7" s="662">
        <f>N7+V7+AD7+AL7</f>
        <v>963905759.35033202</v>
      </c>
      <c r="F7" s="662">
        <f t="shared" si="4"/>
        <v>0</v>
      </c>
      <c r="G7" s="662">
        <f t="shared" si="5"/>
        <v>0</v>
      </c>
      <c r="H7" s="662">
        <f t="shared" si="6"/>
        <v>0</v>
      </c>
      <c r="I7" s="662">
        <f t="shared" si="7"/>
        <v>9113260544.3199997</v>
      </c>
      <c r="J7" s="662">
        <f t="shared" si="8"/>
        <v>2850000000</v>
      </c>
      <c r="K7" s="662">
        <f t="shared" si="9"/>
        <v>92979577.319999993</v>
      </c>
      <c r="L7" s="662">
        <f>SUM(E7:K7)</f>
        <v>13020145880.990332</v>
      </c>
      <c r="M7" s="661"/>
      <c r="N7" s="662"/>
      <c r="O7" s="662"/>
      <c r="P7" s="662"/>
      <c r="Q7" s="662"/>
      <c r="R7" s="662">
        <v>1000000000</v>
      </c>
      <c r="S7" s="662"/>
      <c r="T7" s="662"/>
      <c r="U7" s="662">
        <f>SUM(N7:T7)</f>
        <v>1000000000</v>
      </c>
      <c r="V7" s="662">
        <f>'RESUMEN PLAN FINANCIERO'!$E$11*0.04</f>
        <v>309343267.3484</v>
      </c>
      <c r="W7" s="662"/>
      <c r="X7" s="662"/>
      <c r="Y7" s="662"/>
      <c r="Z7" s="662">
        <f>'RESUMEN PLAN FINANCIERO'!E15*0.04-200000000</f>
        <v>2766692264.1599998</v>
      </c>
      <c r="AA7" s="858">
        <v>950000000</v>
      </c>
      <c r="AB7" s="662">
        <f>'RESUMEN PLAN FINANCIERO'!E16*0.04</f>
        <v>42456428</v>
      </c>
      <c r="AC7" s="662">
        <f>SUM(V7:AB7)</f>
        <v>4068491959.5084</v>
      </c>
      <c r="AD7" s="662">
        <f>'RESUMEN PLAN FINANCIERO'!$F$11*0.04</f>
        <v>321215915.60000002</v>
      </c>
      <c r="AE7" s="662"/>
      <c r="AF7" s="662"/>
      <c r="AG7" s="662"/>
      <c r="AH7" s="662">
        <f>'RESUMEN PLAN FINANCIERO'!$F$15*0.04-200000000</f>
        <v>2652033633.3600001</v>
      </c>
      <c r="AI7" s="662">
        <v>1100000000</v>
      </c>
      <c r="AJ7" s="662">
        <f>'RESUMEN PLAN FINANCIERO'!$F$16*0.04</f>
        <v>29719499.600000001</v>
      </c>
      <c r="AK7" s="662">
        <f>SUBTOTAL(9,AD7:AJ7)</f>
        <v>4102969048.5599999</v>
      </c>
      <c r="AL7" s="662">
        <f>'RESUMEN PLAN FINANCIERO'!$G$11*0.04</f>
        <v>333346576.401932</v>
      </c>
      <c r="AM7" s="662"/>
      <c r="AN7" s="662"/>
      <c r="AO7" s="662"/>
      <c r="AP7" s="662">
        <f>'RESUMEN PLAN FINANCIERO'!$G$15*0.04-200000000</f>
        <v>2694534646.8000002</v>
      </c>
      <c r="AQ7" s="662">
        <v>800000000</v>
      </c>
      <c r="AR7" s="662">
        <f>'RESUMEN PLAN FINANCIERO'!$G$16*0.04</f>
        <v>20803649.719999999</v>
      </c>
      <c r="AS7" s="662">
        <f>SUM(AL7:AR7)</f>
        <v>3848684872.9219317</v>
      </c>
      <c r="AT7" s="661"/>
      <c r="AU7" s="661"/>
      <c r="AV7" s="661" t="s">
        <v>601</v>
      </c>
      <c r="AW7" s="661"/>
      <c r="AX7" s="661"/>
      <c r="AY7" s="661"/>
    </row>
    <row r="8" spans="1:51" ht="147" customHeight="1" thickBot="1">
      <c r="A8" s="546" t="s">
        <v>123</v>
      </c>
      <c r="B8" s="552" t="s">
        <v>124</v>
      </c>
      <c r="C8" s="552" t="s">
        <v>162</v>
      </c>
      <c r="D8" s="866"/>
      <c r="E8" s="560"/>
      <c r="F8" s="560"/>
      <c r="G8" s="560"/>
      <c r="H8" s="560"/>
      <c r="I8" s="560"/>
      <c r="J8" s="560"/>
      <c r="K8" s="560"/>
      <c r="L8" s="560"/>
      <c r="M8" s="548">
        <v>4</v>
      </c>
      <c r="N8" s="560"/>
      <c r="O8" s="560"/>
      <c r="P8" s="560"/>
      <c r="Q8" s="560"/>
      <c r="R8" s="560"/>
      <c r="S8" s="560"/>
      <c r="T8" s="560"/>
      <c r="U8" s="560">
        <f t="shared" ref="U8:U80" si="11">SUM(N8:T8)</f>
        <v>0</v>
      </c>
      <c r="V8" s="560"/>
      <c r="W8" s="560"/>
      <c r="X8" s="560"/>
      <c r="Y8" s="560"/>
      <c r="Z8" s="560"/>
      <c r="AA8" s="560"/>
      <c r="AB8" s="560"/>
      <c r="AC8" s="560"/>
      <c r="AD8" s="560"/>
      <c r="AE8" s="560"/>
      <c r="AF8" s="560"/>
      <c r="AG8" s="560"/>
      <c r="AH8" s="560"/>
      <c r="AI8" s="560"/>
      <c r="AJ8" s="560"/>
      <c r="AK8" s="560"/>
      <c r="AL8" s="560"/>
      <c r="AM8" s="560"/>
      <c r="AN8" s="560"/>
      <c r="AO8" s="560"/>
      <c r="AP8" s="560"/>
      <c r="AQ8" s="560"/>
      <c r="AR8" s="560"/>
      <c r="AS8" s="560"/>
      <c r="AT8" s="548">
        <f>100/29</f>
        <v>3.4482758620689653</v>
      </c>
      <c r="AU8" s="548">
        <f t="shared" ref="AT8:AU115" si="12">100/29</f>
        <v>3.4482758620689653</v>
      </c>
    </row>
    <row r="9" spans="1:51" ht="147" customHeight="1" thickBot="1">
      <c r="A9" s="545" t="s">
        <v>123</v>
      </c>
      <c r="B9" s="552" t="s">
        <v>124</v>
      </c>
      <c r="C9" s="552" t="s">
        <v>164</v>
      </c>
      <c r="D9" s="867"/>
      <c r="E9" s="561"/>
      <c r="F9" s="561"/>
      <c r="G9" s="561"/>
      <c r="H9" s="561"/>
      <c r="I9" s="561"/>
      <c r="J9" s="561"/>
      <c r="K9" s="562"/>
      <c r="L9" s="563"/>
      <c r="M9" s="73"/>
      <c r="N9" s="561"/>
      <c r="O9" s="561"/>
      <c r="P9" s="561"/>
      <c r="Q9" s="561"/>
      <c r="R9" s="561"/>
      <c r="S9" s="561"/>
      <c r="T9" s="562"/>
      <c r="U9" s="562">
        <f t="shared" si="11"/>
        <v>0</v>
      </c>
      <c r="V9" s="561"/>
      <c r="W9" s="561"/>
      <c r="X9" s="561"/>
      <c r="Y9" s="561"/>
      <c r="Z9" s="561"/>
      <c r="AA9" s="561"/>
      <c r="AB9" s="562"/>
      <c r="AC9" s="563"/>
      <c r="AD9" s="561"/>
      <c r="AE9" s="561"/>
      <c r="AF9" s="561"/>
      <c r="AG9" s="561"/>
      <c r="AH9" s="561"/>
      <c r="AI9" s="561"/>
      <c r="AJ9" s="562"/>
      <c r="AK9" s="563"/>
      <c r="AL9" s="561"/>
      <c r="AM9" s="561"/>
      <c r="AN9" s="561"/>
      <c r="AO9" s="561"/>
      <c r="AP9" s="561"/>
      <c r="AQ9" s="561"/>
      <c r="AR9" s="562"/>
      <c r="AS9" s="563"/>
      <c r="AT9" s="73"/>
      <c r="AU9" s="73"/>
    </row>
    <row r="10" spans="1:51" ht="147" customHeight="1" thickBot="1">
      <c r="A10" s="545" t="s">
        <v>123</v>
      </c>
      <c r="B10" s="552" t="s">
        <v>124</v>
      </c>
      <c r="C10" s="552" t="s">
        <v>163</v>
      </c>
      <c r="D10" s="868"/>
      <c r="E10" s="561"/>
      <c r="F10" s="561"/>
      <c r="G10" s="561"/>
      <c r="H10" s="561"/>
      <c r="I10" s="561"/>
      <c r="J10" s="561"/>
      <c r="K10" s="561"/>
      <c r="L10" s="563"/>
      <c r="M10" s="57"/>
      <c r="N10" s="561"/>
      <c r="O10" s="561"/>
      <c r="P10" s="561"/>
      <c r="Q10" s="561"/>
      <c r="R10" s="561"/>
      <c r="S10" s="561"/>
      <c r="T10" s="561"/>
      <c r="U10" s="561">
        <f t="shared" si="11"/>
        <v>0</v>
      </c>
      <c r="V10" s="561"/>
      <c r="W10" s="561"/>
      <c r="X10" s="561"/>
      <c r="Y10" s="561"/>
      <c r="Z10" s="561"/>
      <c r="AA10" s="561"/>
      <c r="AB10" s="561"/>
      <c r="AC10" s="563"/>
      <c r="AD10" s="561"/>
      <c r="AE10" s="561"/>
      <c r="AF10" s="561"/>
      <c r="AG10" s="561"/>
      <c r="AH10" s="561"/>
      <c r="AI10" s="561"/>
      <c r="AJ10" s="561"/>
      <c r="AK10" s="563"/>
      <c r="AL10" s="561"/>
      <c r="AM10" s="561"/>
      <c r="AN10" s="561"/>
      <c r="AO10" s="561"/>
      <c r="AP10" s="561"/>
      <c r="AQ10" s="561"/>
      <c r="AR10" s="561"/>
      <c r="AS10" s="563"/>
      <c r="AT10" s="57"/>
      <c r="AU10" s="57"/>
    </row>
    <row r="11" spans="1:51" ht="147" customHeight="1">
      <c r="A11" s="545" t="s">
        <v>123</v>
      </c>
      <c r="B11" s="552" t="s">
        <v>124</v>
      </c>
      <c r="C11" s="552" t="s">
        <v>165</v>
      </c>
      <c r="D11" s="868"/>
      <c r="E11" s="561"/>
      <c r="F11" s="561"/>
      <c r="G11" s="561"/>
      <c r="H11" s="561"/>
      <c r="I11" s="561"/>
      <c r="J11" s="561"/>
      <c r="K11" s="561"/>
      <c r="L11" s="563"/>
      <c r="M11" s="57"/>
      <c r="N11" s="561"/>
      <c r="O11" s="561"/>
      <c r="P11" s="561"/>
      <c r="Q11" s="561"/>
      <c r="R11" s="561"/>
      <c r="S11" s="561"/>
      <c r="T11" s="561"/>
      <c r="U11" s="561">
        <f t="shared" si="11"/>
        <v>0</v>
      </c>
      <c r="V11" s="561"/>
      <c r="W11" s="561"/>
      <c r="X11" s="561"/>
      <c r="Y11" s="561"/>
      <c r="Z11" s="561"/>
      <c r="AA11" s="561"/>
      <c r="AB11" s="561"/>
      <c r="AC11" s="563"/>
      <c r="AD11" s="561"/>
      <c r="AE11" s="561"/>
      <c r="AF11" s="561"/>
      <c r="AG11" s="561"/>
      <c r="AH11" s="561"/>
      <c r="AI11" s="561"/>
      <c r="AJ11" s="561"/>
      <c r="AK11" s="563"/>
      <c r="AL11" s="561"/>
      <c r="AM11" s="561"/>
      <c r="AN11" s="561"/>
      <c r="AO11" s="561"/>
      <c r="AP11" s="561"/>
      <c r="AQ11" s="561"/>
      <c r="AR11" s="561"/>
      <c r="AS11" s="563"/>
      <c r="AT11" s="57"/>
      <c r="AU11" s="57"/>
    </row>
    <row r="12" spans="1:51" s="550" customFormat="1" ht="147" customHeight="1" thickBot="1">
      <c r="A12" s="661"/>
      <c r="B12" s="661"/>
      <c r="C12" s="661"/>
      <c r="D12" s="865">
        <f>(E12+I12+K12)/($E$5+$I$5+$K$5)</f>
        <v>2.9322269054962153E-5</v>
      </c>
      <c r="E12" s="662">
        <f t="shared" ref="E12" si="13">N12+V12+AD12+AL12</f>
        <v>0</v>
      </c>
      <c r="F12" s="662">
        <f t="shared" ref="F12" si="14">O12+W12+AE12+AM12</f>
        <v>11408079167.619999</v>
      </c>
      <c r="G12" s="662">
        <f t="shared" ref="G12" si="15">P12+X12+AF12+AN12</f>
        <v>0</v>
      </c>
      <c r="H12" s="662">
        <f t="shared" ref="H12" si="16">Q12+Y12+AG12+AO12</f>
        <v>0</v>
      </c>
      <c r="I12" s="662">
        <f t="shared" ref="I12" si="17">R12+Z12+AH12+AP12</f>
        <v>0</v>
      </c>
      <c r="J12" s="662">
        <f t="shared" ref="J12" si="18">S12+AA12+AI12+AQ12</f>
        <v>150000000</v>
      </c>
      <c r="K12" s="662">
        <f t="shared" ref="K12" si="19">T12+AB12+AJ12+AR12</f>
        <v>10000000</v>
      </c>
      <c r="L12" s="662">
        <f>SUM(E12:K12)</f>
        <v>11568079167.619999</v>
      </c>
      <c r="M12" s="661"/>
      <c r="N12" s="662"/>
      <c r="O12" s="662">
        <f>'HOMOLOGACION 2020'!C6+'HOMOLOGACION 2020'!D6-150000000-900236498.38+112961776</f>
        <v>2745725277.6199999</v>
      </c>
      <c r="P12" s="662"/>
      <c r="Q12" s="662"/>
      <c r="R12" s="662"/>
      <c r="S12" s="662"/>
      <c r="T12" s="662">
        <f>'HOMOLOGACION 2020'!I6</f>
        <v>10000000</v>
      </c>
      <c r="U12" s="662">
        <f t="shared" si="11"/>
        <v>2755725277.6199999</v>
      </c>
      <c r="V12" s="662"/>
      <c r="W12" s="662">
        <f>ESTAMPILLAS!G37+ESTAMPILLAS!H37+'PLAN FINANCIERO COMPLETO'!J97-150000000</f>
        <v>3187100000</v>
      </c>
      <c r="X12" s="662"/>
      <c r="Y12" s="662"/>
      <c r="Z12" s="662"/>
      <c r="AA12" s="662"/>
      <c r="AB12" s="662">
        <f>'HOMOLOGACION 2020'!Q6</f>
        <v>0</v>
      </c>
      <c r="AC12" s="662">
        <f>SUBTOTAL(9,V12:AB12)</f>
        <v>3187100000</v>
      </c>
      <c r="AD12" s="662"/>
      <c r="AE12" s="662">
        <f>ESTAMPILLAS!G59+ESTAMPILLAS!H59+'PLAN FINANCIERO COMPLETO'!K97-150000000</f>
        <v>2877263000</v>
      </c>
      <c r="AF12" s="662"/>
      <c r="AG12" s="662"/>
      <c r="AH12" s="662"/>
      <c r="AI12" s="662">
        <v>150000000</v>
      </c>
      <c r="AJ12" s="662">
        <f>'HOMOLOGACION 2020'!Y6</f>
        <v>0</v>
      </c>
      <c r="AK12" s="662">
        <f>SUM(AD12:AJ12)</f>
        <v>3027263000</v>
      </c>
      <c r="AL12" s="662"/>
      <c r="AM12" s="662">
        <f>ESTAMPILLAS!G82+ESTAMPILLAS!H82+'PLAN FINANCIERO COMPLETO'!L97-150000000</f>
        <v>2597990890</v>
      </c>
      <c r="AN12" s="662"/>
      <c r="AO12" s="662"/>
      <c r="AP12" s="662"/>
      <c r="AQ12" s="662"/>
      <c r="AR12" s="662">
        <f>'HOMOLOGACION 2020'!AG6</f>
        <v>0</v>
      </c>
      <c r="AS12" s="662">
        <f>SUM(AL12:AR12)</f>
        <v>2597990890</v>
      </c>
      <c r="AT12" s="661"/>
      <c r="AU12" s="661"/>
      <c r="AV12" s="686"/>
      <c r="AW12" s="549"/>
      <c r="AX12" s="549"/>
      <c r="AY12" s="549"/>
    </row>
    <row r="13" spans="1:51" ht="147" customHeight="1" thickBot="1">
      <c r="A13" s="545" t="s">
        <v>123</v>
      </c>
      <c r="B13" s="552" t="s">
        <v>125</v>
      </c>
      <c r="C13" s="552" t="s">
        <v>166</v>
      </c>
      <c r="D13" s="868"/>
      <c r="E13" s="561"/>
      <c r="F13" s="561"/>
      <c r="G13" s="561"/>
      <c r="H13" s="561"/>
      <c r="I13" s="561"/>
      <c r="J13" s="561"/>
      <c r="K13" s="561"/>
      <c r="L13" s="563"/>
      <c r="M13" s="57">
        <v>0</v>
      </c>
      <c r="N13" s="561"/>
      <c r="O13" s="561"/>
      <c r="P13" s="561"/>
      <c r="Q13" s="561"/>
      <c r="R13" s="561"/>
      <c r="S13" s="561"/>
      <c r="T13" s="561"/>
      <c r="U13" s="561">
        <f t="shared" si="11"/>
        <v>0</v>
      </c>
      <c r="V13" s="561"/>
      <c r="W13" s="561"/>
      <c r="X13" s="561"/>
      <c r="Y13" s="561"/>
      <c r="Z13" s="561"/>
      <c r="AA13" s="561"/>
      <c r="AB13" s="561"/>
      <c r="AC13" s="563"/>
      <c r="AD13" s="561"/>
      <c r="AE13" s="561"/>
      <c r="AF13" s="561"/>
      <c r="AG13" s="561"/>
      <c r="AH13" s="561"/>
      <c r="AI13" s="561"/>
      <c r="AJ13" s="561"/>
      <c r="AK13" s="563"/>
      <c r="AL13" s="561"/>
      <c r="AM13" s="561"/>
      <c r="AN13" s="561"/>
      <c r="AO13" s="561"/>
      <c r="AP13" s="561"/>
      <c r="AQ13" s="561"/>
      <c r="AR13" s="561"/>
      <c r="AS13" s="563"/>
      <c r="AT13" s="57">
        <f t="shared" si="12"/>
        <v>3.4482758620689653</v>
      </c>
      <c r="AU13" s="57">
        <f t="shared" si="12"/>
        <v>3.4482758620689653</v>
      </c>
    </row>
    <row r="14" spans="1:51" ht="147" customHeight="1">
      <c r="A14" s="545" t="s">
        <v>123</v>
      </c>
      <c r="B14" s="552" t="s">
        <v>125</v>
      </c>
      <c r="C14" s="552" t="s">
        <v>167</v>
      </c>
      <c r="D14" s="868"/>
      <c r="E14" s="561"/>
      <c r="F14" s="561"/>
      <c r="G14" s="561"/>
      <c r="H14" s="561"/>
      <c r="I14" s="561"/>
      <c r="J14" s="561"/>
      <c r="K14" s="561"/>
      <c r="L14" s="563"/>
      <c r="M14" s="57"/>
      <c r="N14" s="561"/>
      <c r="O14" s="561"/>
      <c r="P14" s="561"/>
      <c r="Q14" s="561"/>
      <c r="R14" s="561"/>
      <c r="S14" s="561"/>
      <c r="T14" s="561"/>
      <c r="U14" s="561">
        <f t="shared" si="11"/>
        <v>0</v>
      </c>
      <c r="V14" s="561"/>
      <c r="W14" s="561"/>
      <c r="X14" s="561"/>
      <c r="Y14" s="561"/>
      <c r="Z14" s="561"/>
      <c r="AA14" s="561"/>
      <c r="AB14" s="561"/>
      <c r="AC14" s="563"/>
      <c r="AD14" s="561"/>
      <c r="AE14" s="561"/>
      <c r="AF14" s="561"/>
      <c r="AG14" s="561"/>
      <c r="AH14" s="561"/>
      <c r="AI14" s="561"/>
      <c r="AJ14" s="561"/>
      <c r="AK14" s="563"/>
      <c r="AL14" s="561"/>
      <c r="AM14" s="561"/>
      <c r="AN14" s="561"/>
      <c r="AO14" s="561"/>
      <c r="AP14" s="561"/>
      <c r="AQ14" s="561"/>
      <c r="AR14" s="561"/>
      <c r="AS14" s="563"/>
      <c r="AT14" s="57"/>
      <c r="AU14" s="57"/>
    </row>
    <row r="15" spans="1:51" s="550" customFormat="1" ht="147" customHeight="1" thickBot="1">
      <c r="A15" s="661"/>
      <c r="B15" s="661"/>
      <c r="C15" s="661"/>
      <c r="D15" s="865">
        <f>(E15+I15+K15)/($E$5+$I$5+$K$5)</f>
        <v>2.4418440372643367E-2</v>
      </c>
      <c r="E15" s="662">
        <f t="shared" ref="E15" si="20">N15+V15+AD15+AL15</f>
        <v>722929319.51274896</v>
      </c>
      <c r="F15" s="662">
        <f t="shared" ref="F15" si="21">O15+W15+AE15+AM15</f>
        <v>0</v>
      </c>
      <c r="G15" s="662">
        <f t="shared" ref="G15" si="22">P15+X15+AF15+AN15</f>
        <v>0</v>
      </c>
      <c r="H15" s="662">
        <f t="shared" ref="H15" si="23">Q15+Y15+AG15+AO15</f>
        <v>0</v>
      </c>
      <c r="I15" s="662">
        <f t="shared" ref="I15" si="24">R15+Z15+AH15+AP15</f>
        <v>7534945408.2399998</v>
      </c>
      <c r="J15" s="662">
        <f t="shared" ref="J15" si="25">S15+AA15+AI15+AQ15</f>
        <v>1380000000</v>
      </c>
      <c r="K15" s="662">
        <f t="shared" ref="K15" si="26">T15+AB15+AJ15+AR15</f>
        <v>69734682.99000001</v>
      </c>
      <c r="L15" s="662">
        <f>SUM(D15:K15)</f>
        <v>9707609410.767168</v>
      </c>
      <c r="M15" s="661"/>
      <c r="N15" s="662"/>
      <c r="O15" s="662"/>
      <c r="P15" s="662"/>
      <c r="Q15" s="662"/>
      <c r="R15" s="662">
        <v>1000000000</v>
      </c>
      <c r="S15" s="662"/>
      <c r="T15" s="662"/>
      <c r="U15" s="662">
        <f t="shared" si="11"/>
        <v>1000000000</v>
      </c>
      <c r="V15" s="662">
        <f>'RESUMEN PLAN FINANCIERO'!$E$11*0.03</f>
        <v>232007450.5113</v>
      </c>
      <c r="W15" s="662"/>
      <c r="X15" s="662"/>
      <c r="Y15" s="662"/>
      <c r="Z15" s="662">
        <f>'RESUMEN PLAN FINANCIERO'!E15*0.03</f>
        <v>2225019198.1199999</v>
      </c>
      <c r="AA15" s="662">
        <v>150000000</v>
      </c>
      <c r="AB15" s="662">
        <f>'RESUMEN PLAN FINANCIERO'!E16*0.03</f>
        <v>31842321</v>
      </c>
      <c r="AC15" s="662">
        <f>SUBTOTAL(9,V15:AB15)</f>
        <v>2638868969.6313</v>
      </c>
      <c r="AD15" s="662">
        <f>'RESUMEN PLAN FINANCIERO'!$F$11*0.03</f>
        <v>240911936.69999999</v>
      </c>
      <c r="AE15" s="662"/>
      <c r="AF15" s="662"/>
      <c r="AG15" s="662"/>
      <c r="AH15" s="662">
        <f>'RESUMEN PLAN FINANCIERO'!$F$15*0.03</f>
        <v>2139025225.02</v>
      </c>
      <c r="AI15" s="662">
        <v>600000000</v>
      </c>
      <c r="AJ15" s="662">
        <f>'RESUMEN PLAN FINANCIERO'!$F$16*0.03</f>
        <v>22289624.699999999</v>
      </c>
      <c r="AK15" s="662">
        <f>SUM(AD15:AJ15)</f>
        <v>3002226786.4199996</v>
      </c>
      <c r="AL15" s="662">
        <f>'RESUMEN PLAN FINANCIERO'!$G$11*0.03</f>
        <v>250009932.30144897</v>
      </c>
      <c r="AM15" s="662"/>
      <c r="AN15" s="662"/>
      <c r="AO15" s="662"/>
      <c r="AP15" s="662">
        <f>'RESUMEN PLAN FINANCIERO'!$G$15*0.03</f>
        <v>2170900985.0999999</v>
      </c>
      <c r="AQ15" s="662">
        <v>630000000</v>
      </c>
      <c r="AR15" s="662">
        <f>'RESUMEN PLAN FINANCIERO'!$G$16*0.03</f>
        <v>15602737.289999999</v>
      </c>
      <c r="AS15" s="662">
        <f>SUM(AL15:AR15)</f>
        <v>3066513654.6914487</v>
      </c>
      <c r="AT15" s="661"/>
      <c r="AU15" s="661"/>
      <c r="AV15" s="549"/>
      <c r="AW15" s="549"/>
      <c r="AX15" s="549"/>
      <c r="AY15" s="549"/>
    </row>
    <row r="16" spans="1:51" ht="147" customHeight="1" thickBot="1">
      <c r="A16" s="545" t="s">
        <v>123</v>
      </c>
      <c r="B16" s="552" t="s">
        <v>126</v>
      </c>
      <c r="C16" s="552" t="s">
        <v>168</v>
      </c>
      <c r="D16" s="868"/>
      <c r="E16" s="561"/>
      <c r="F16" s="561"/>
      <c r="G16" s="561"/>
      <c r="H16" s="561"/>
      <c r="I16" s="561"/>
      <c r="J16" s="561"/>
      <c r="K16" s="561"/>
      <c r="L16" s="563"/>
      <c r="M16" s="57">
        <v>3</v>
      </c>
      <c r="N16" s="561"/>
      <c r="O16" s="561"/>
      <c r="P16" s="561"/>
      <c r="Q16" s="561"/>
      <c r="R16" s="561"/>
      <c r="S16" s="561"/>
      <c r="T16" s="561"/>
      <c r="U16" s="561">
        <f t="shared" si="11"/>
        <v>0</v>
      </c>
      <c r="V16" s="561"/>
      <c r="W16" s="561"/>
      <c r="X16" s="561"/>
      <c r="Y16" s="561"/>
      <c r="Z16" s="561"/>
      <c r="AA16" s="561"/>
      <c r="AB16" s="561"/>
      <c r="AC16" s="563"/>
      <c r="AD16" s="561"/>
      <c r="AE16" s="561"/>
      <c r="AF16" s="561"/>
      <c r="AG16" s="561"/>
      <c r="AH16" s="561"/>
      <c r="AI16" s="561"/>
      <c r="AJ16" s="561"/>
      <c r="AK16" s="563"/>
      <c r="AL16" s="561"/>
      <c r="AM16" s="561"/>
      <c r="AN16" s="561"/>
      <c r="AO16" s="561"/>
      <c r="AP16" s="561"/>
      <c r="AQ16" s="561"/>
      <c r="AR16" s="561"/>
      <c r="AS16" s="563"/>
      <c r="AT16" s="57">
        <f t="shared" si="12"/>
        <v>3.4482758620689653</v>
      </c>
      <c r="AU16" s="57">
        <f t="shared" si="12"/>
        <v>3.4482758620689653</v>
      </c>
    </row>
    <row r="17" spans="1:51" s="723" customFormat="1" ht="147" customHeight="1">
      <c r="A17" s="717" t="s">
        <v>123</v>
      </c>
      <c r="B17" s="718" t="s">
        <v>126</v>
      </c>
      <c r="C17" s="718" t="s">
        <v>646</v>
      </c>
      <c r="D17" s="869"/>
      <c r="E17" s="720"/>
      <c r="F17" s="720"/>
      <c r="G17" s="720"/>
      <c r="H17" s="720"/>
      <c r="I17" s="720"/>
      <c r="J17" s="720"/>
      <c r="K17" s="720"/>
      <c r="L17" s="721"/>
      <c r="M17" s="719">
        <v>3</v>
      </c>
      <c r="N17" s="720"/>
      <c r="O17" s="720"/>
      <c r="P17" s="720"/>
      <c r="Q17" s="720"/>
      <c r="R17" s="720"/>
      <c r="S17" s="720"/>
      <c r="T17" s="720"/>
      <c r="U17" s="720">
        <f t="shared" ref="U17" si="27">SUM(N17:T17)</f>
        <v>0</v>
      </c>
      <c r="V17" s="720"/>
      <c r="W17" s="720"/>
      <c r="X17" s="720"/>
      <c r="Y17" s="720"/>
      <c r="Z17" s="720"/>
      <c r="AA17" s="720"/>
      <c r="AB17" s="720"/>
      <c r="AC17" s="721"/>
      <c r="AD17" s="720"/>
      <c r="AE17" s="720"/>
      <c r="AF17" s="720"/>
      <c r="AG17" s="720"/>
      <c r="AH17" s="720"/>
      <c r="AI17" s="720"/>
      <c r="AJ17" s="720"/>
      <c r="AK17" s="721"/>
      <c r="AL17" s="720"/>
      <c r="AM17" s="720"/>
      <c r="AN17" s="720"/>
      <c r="AO17" s="720"/>
      <c r="AP17" s="720"/>
      <c r="AQ17" s="720"/>
      <c r="AR17" s="720"/>
      <c r="AS17" s="721"/>
      <c r="AT17" s="719">
        <f t="shared" si="12"/>
        <v>3.4482758620689653</v>
      </c>
      <c r="AU17" s="719">
        <f t="shared" si="12"/>
        <v>3.4482758620689653</v>
      </c>
      <c r="AV17" s="722"/>
      <c r="AW17" s="722"/>
      <c r="AX17" s="722"/>
      <c r="AY17" s="722"/>
    </row>
    <row r="18" spans="1:51" s="550" customFormat="1" ht="147" customHeight="1" thickBot="1">
      <c r="A18" s="661"/>
      <c r="B18" s="661"/>
      <c r="C18" s="661"/>
      <c r="D18" s="865">
        <f>(E18+I18+K18)/($E$5+$I$5+$K$5)</f>
        <v>1.8429259979126138E-2</v>
      </c>
      <c r="E18" s="662">
        <f t="shared" ref="E18" si="28">N18+V18+AD18+AL18</f>
        <v>481952879.67516601</v>
      </c>
      <c r="F18" s="662">
        <f t="shared" ref="F18" si="29">O18+W18+AE18+AM18</f>
        <v>0</v>
      </c>
      <c r="G18" s="662">
        <f t="shared" ref="G18" si="30">P18+X18+AF18+AN18</f>
        <v>0</v>
      </c>
      <c r="H18" s="662">
        <f t="shared" ref="H18" si="31">Q18+Y18+AG18+AO18</f>
        <v>0</v>
      </c>
      <c r="I18" s="662">
        <f t="shared" ref="I18" si="32">R18+Z18+AH18+AP18</f>
        <v>5756630272.1599998</v>
      </c>
      <c r="J18" s="662">
        <f t="shared" ref="J18" si="33">S18+AA18+AI18+AQ18</f>
        <v>2750000000</v>
      </c>
      <c r="K18" s="662">
        <f t="shared" ref="K18" si="34">T18+AB18+AJ18+AR18</f>
        <v>46489788.659999996</v>
      </c>
      <c r="L18" s="662">
        <f>SUM(E18:K18)</f>
        <v>9035072940.4951668</v>
      </c>
      <c r="M18" s="661"/>
      <c r="N18" s="662"/>
      <c r="O18" s="662"/>
      <c r="P18" s="662"/>
      <c r="Q18" s="662"/>
      <c r="R18" s="662">
        <v>1400000000</v>
      </c>
      <c r="S18" s="662"/>
      <c r="T18" s="662"/>
      <c r="U18" s="662">
        <f t="shared" si="11"/>
        <v>1400000000</v>
      </c>
      <c r="V18" s="662">
        <f>'RESUMEN PLAN FINANCIERO'!$E$11*0.02</f>
        <v>154671633.6742</v>
      </c>
      <c r="W18" s="662"/>
      <c r="X18" s="662"/>
      <c r="Y18" s="662"/>
      <c r="Z18" s="662">
        <f>'RESUMEN PLAN FINANCIERO'!E15*0.02</f>
        <v>1483346132.0799999</v>
      </c>
      <c r="AA18" s="662">
        <v>1600000000</v>
      </c>
      <c r="AB18" s="662">
        <f>'RESUMEN PLAN FINANCIERO'!E16*0.02</f>
        <v>21228214</v>
      </c>
      <c r="AC18" s="662">
        <f>SUBTOTAL(9,V18:AB18)</f>
        <v>3259245979.7542</v>
      </c>
      <c r="AD18" s="662">
        <f>'RESUMEN PLAN FINANCIERO'!$F$11*0.02</f>
        <v>160607957.80000001</v>
      </c>
      <c r="AE18" s="662"/>
      <c r="AF18" s="662"/>
      <c r="AG18" s="662"/>
      <c r="AH18" s="685">
        <f>'RESUMEN PLAN FINANCIERO'!$F$15*0.02</f>
        <v>1426016816.6800001</v>
      </c>
      <c r="AI18" s="662">
        <v>1000000000</v>
      </c>
      <c r="AJ18" s="685">
        <f>'RESUMEN PLAN FINANCIERO'!$F$16*0.02</f>
        <v>14859749.800000001</v>
      </c>
      <c r="AK18" s="662">
        <f>SUM(AD18:AJ18)</f>
        <v>2601484524.2800002</v>
      </c>
      <c r="AL18" s="662">
        <f>'RESUMEN PLAN FINANCIERO'!$G$11*0.02</f>
        <v>166673288.200966</v>
      </c>
      <c r="AM18" s="662"/>
      <c r="AN18" s="662"/>
      <c r="AO18" s="662"/>
      <c r="AP18" s="685">
        <f>'RESUMEN PLAN FINANCIERO'!$G$15*0.02</f>
        <v>1447267323.4000001</v>
      </c>
      <c r="AQ18" s="662">
        <v>150000000</v>
      </c>
      <c r="AR18" s="685">
        <f>'RESUMEN PLAN FINANCIERO'!$G$16*0.02</f>
        <v>10401824.859999999</v>
      </c>
      <c r="AS18" s="662">
        <f>SUM(AL18:AR18)</f>
        <v>1774342436.4609659</v>
      </c>
      <c r="AT18" s="661"/>
      <c r="AU18" s="661"/>
      <c r="AV18" s="549"/>
      <c r="AW18" s="549"/>
      <c r="AX18" s="549"/>
      <c r="AY18" s="549"/>
    </row>
    <row r="19" spans="1:51" ht="147" customHeight="1" thickBot="1">
      <c r="A19" s="545" t="s">
        <v>123</v>
      </c>
      <c r="B19" s="552" t="s">
        <v>127</v>
      </c>
      <c r="C19" s="552" t="s">
        <v>169</v>
      </c>
      <c r="D19" s="868"/>
      <c r="E19" s="561"/>
      <c r="F19" s="561"/>
      <c r="G19" s="561"/>
      <c r="H19" s="561"/>
      <c r="I19" s="561"/>
      <c r="J19" s="561"/>
      <c r="K19" s="561"/>
      <c r="L19" s="563"/>
      <c r="M19" s="57">
        <v>2</v>
      </c>
      <c r="N19" s="561"/>
      <c r="O19" s="561"/>
      <c r="P19" s="561"/>
      <c r="Q19" s="561"/>
      <c r="R19" s="561"/>
      <c r="S19" s="561"/>
      <c r="T19" s="561"/>
      <c r="U19" s="561">
        <f t="shared" si="11"/>
        <v>0</v>
      </c>
      <c r="V19" s="561"/>
      <c r="W19" s="561"/>
      <c r="X19" s="561"/>
      <c r="Y19" s="561"/>
      <c r="Z19" s="561"/>
      <c r="AA19" s="561"/>
      <c r="AB19" s="561"/>
      <c r="AC19" s="563"/>
      <c r="AD19" s="561"/>
      <c r="AE19" s="561"/>
      <c r="AF19" s="561"/>
      <c r="AG19" s="561"/>
      <c r="AH19" s="561"/>
      <c r="AI19" s="561"/>
      <c r="AJ19" s="561"/>
      <c r="AK19" s="563"/>
      <c r="AL19" s="561"/>
      <c r="AM19" s="561"/>
      <c r="AN19" s="561"/>
      <c r="AO19" s="561"/>
      <c r="AP19" s="561"/>
      <c r="AQ19" s="561"/>
      <c r="AR19" s="561"/>
      <c r="AS19" s="563"/>
      <c r="AT19" s="57">
        <f t="shared" si="12"/>
        <v>3.4482758620689653</v>
      </c>
      <c r="AU19" s="57">
        <f t="shared" si="12"/>
        <v>3.4482758620689653</v>
      </c>
    </row>
    <row r="20" spans="1:51" ht="147" customHeight="1" thickBot="1">
      <c r="A20" s="545" t="s">
        <v>123</v>
      </c>
      <c r="B20" s="552" t="s">
        <v>127</v>
      </c>
      <c r="C20" s="552" t="s">
        <v>170</v>
      </c>
      <c r="D20" s="868"/>
      <c r="E20" s="561"/>
      <c r="F20" s="561"/>
      <c r="G20" s="561"/>
      <c r="H20" s="561"/>
      <c r="I20" s="561"/>
      <c r="J20" s="561"/>
      <c r="K20" s="561"/>
      <c r="L20" s="563"/>
      <c r="M20" s="57"/>
      <c r="N20" s="561"/>
      <c r="O20" s="561"/>
      <c r="P20" s="561"/>
      <c r="Q20" s="561"/>
      <c r="R20" s="561"/>
      <c r="S20" s="561"/>
      <c r="T20" s="561"/>
      <c r="U20" s="561">
        <f t="shared" si="11"/>
        <v>0</v>
      </c>
      <c r="V20" s="561"/>
      <c r="W20" s="561"/>
      <c r="X20" s="561"/>
      <c r="Y20" s="561"/>
      <c r="Z20" s="561"/>
      <c r="AA20" s="561"/>
      <c r="AB20" s="561"/>
      <c r="AC20" s="563"/>
      <c r="AD20" s="561"/>
      <c r="AE20" s="561"/>
      <c r="AF20" s="561"/>
      <c r="AG20" s="561"/>
      <c r="AH20" s="561"/>
      <c r="AI20" s="561"/>
      <c r="AJ20" s="561"/>
      <c r="AK20" s="563"/>
      <c r="AL20" s="561"/>
      <c r="AM20" s="561"/>
      <c r="AN20" s="561"/>
      <c r="AO20" s="561"/>
      <c r="AP20" s="561"/>
      <c r="AQ20" s="561"/>
      <c r="AR20" s="561"/>
      <c r="AS20" s="563"/>
      <c r="AT20" s="57"/>
      <c r="AU20" s="57"/>
    </row>
    <row r="21" spans="1:51" ht="147" customHeight="1" thickBot="1">
      <c r="A21" s="545" t="s">
        <v>123</v>
      </c>
      <c r="B21" s="552" t="s">
        <v>127</v>
      </c>
      <c r="C21" s="552" t="s">
        <v>171</v>
      </c>
      <c r="D21" s="868"/>
      <c r="E21" s="561"/>
      <c r="F21" s="561"/>
      <c r="G21" s="561"/>
      <c r="H21" s="561"/>
      <c r="I21" s="561"/>
      <c r="J21" s="561"/>
      <c r="K21" s="561"/>
      <c r="L21" s="563"/>
      <c r="M21" s="57"/>
      <c r="N21" s="561"/>
      <c r="O21" s="561"/>
      <c r="P21" s="561"/>
      <c r="Q21" s="561"/>
      <c r="R21" s="561"/>
      <c r="S21" s="561"/>
      <c r="T21" s="561"/>
      <c r="U21" s="561">
        <f t="shared" si="11"/>
        <v>0</v>
      </c>
      <c r="V21" s="561"/>
      <c r="W21" s="561"/>
      <c r="X21" s="561"/>
      <c r="Y21" s="561"/>
      <c r="Z21" s="561"/>
      <c r="AA21" s="561"/>
      <c r="AB21" s="561"/>
      <c r="AC21" s="563"/>
      <c r="AD21" s="561"/>
      <c r="AE21" s="561"/>
      <c r="AF21" s="561"/>
      <c r="AG21" s="561"/>
      <c r="AH21" s="561"/>
      <c r="AI21" s="561"/>
      <c r="AJ21" s="561"/>
      <c r="AK21" s="563"/>
      <c r="AL21" s="561"/>
      <c r="AM21" s="561"/>
      <c r="AN21" s="561"/>
      <c r="AO21" s="561"/>
      <c r="AP21" s="561"/>
      <c r="AQ21" s="561"/>
      <c r="AR21" s="561"/>
      <c r="AS21" s="563"/>
      <c r="AT21" s="57"/>
      <c r="AU21" s="57"/>
    </row>
    <row r="22" spans="1:51" ht="147" customHeight="1" thickBot="1">
      <c r="A22" s="545" t="s">
        <v>123</v>
      </c>
      <c r="B22" s="552" t="s">
        <v>127</v>
      </c>
      <c r="C22" s="552" t="s">
        <v>172</v>
      </c>
      <c r="D22" s="868"/>
      <c r="E22" s="561"/>
      <c r="F22" s="561"/>
      <c r="G22" s="561"/>
      <c r="H22" s="561"/>
      <c r="I22" s="561"/>
      <c r="J22" s="561"/>
      <c r="K22" s="561"/>
      <c r="L22" s="563"/>
      <c r="M22" s="57"/>
      <c r="N22" s="561"/>
      <c r="O22" s="561"/>
      <c r="P22" s="561"/>
      <c r="Q22" s="561"/>
      <c r="R22" s="561"/>
      <c r="S22" s="561"/>
      <c r="T22" s="561"/>
      <c r="U22" s="561">
        <f t="shared" si="11"/>
        <v>0</v>
      </c>
      <c r="V22" s="561"/>
      <c r="W22" s="561"/>
      <c r="X22" s="561"/>
      <c r="Y22" s="561"/>
      <c r="Z22" s="561"/>
      <c r="AA22" s="561"/>
      <c r="AB22" s="561"/>
      <c r="AC22" s="563"/>
      <c r="AD22" s="561"/>
      <c r="AE22" s="561"/>
      <c r="AF22" s="561"/>
      <c r="AG22" s="561"/>
      <c r="AH22" s="561"/>
      <c r="AI22" s="561"/>
      <c r="AJ22" s="561"/>
      <c r="AK22" s="563"/>
      <c r="AL22" s="561"/>
      <c r="AM22" s="561"/>
      <c r="AN22" s="561"/>
      <c r="AO22" s="561"/>
      <c r="AP22" s="561"/>
      <c r="AQ22" s="561"/>
      <c r="AR22" s="561"/>
      <c r="AS22" s="563"/>
      <c r="AT22" s="57"/>
      <c r="AU22" s="57"/>
    </row>
    <row r="23" spans="1:51" ht="147" customHeight="1">
      <c r="A23" s="545" t="s">
        <v>123</v>
      </c>
      <c r="B23" s="552" t="s">
        <v>127</v>
      </c>
      <c r="C23" s="640" t="s">
        <v>173</v>
      </c>
      <c r="D23" s="868"/>
      <c r="E23" s="561"/>
      <c r="F23" s="561"/>
      <c r="G23" s="561"/>
      <c r="H23" s="561"/>
      <c r="I23" s="561"/>
      <c r="J23" s="561"/>
      <c r="K23" s="561"/>
      <c r="L23" s="563"/>
      <c r="M23" s="57"/>
      <c r="N23" s="561"/>
      <c r="O23" s="561"/>
      <c r="P23" s="561"/>
      <c r="Q23" s="561"/>
      <c r="R23" s="561"/>
      <c r="S23" s="561"/>
      <c r="T23" s="561"/>
      <c r="U23" s="561">
        <f t="shared" si="11"/>
        <v>0</v>
      </c>
      <c r="V23" s="561"/>
      <c r="W23" s="561"/>
      <c r="X23" s="561"/>
      <c r="Y23" s="561"/>
      <c r="Z23" s="561"/>
      <c r="AA23" s="561"/>
      <c r="AB23" s="561"/>
      <c r="AC23" s="563"/>
      <c r="AD23" s="561"/>
      <c r="AE23" s="561"/>
      <c r="AF23" s="561"/>
      <c r="AG23" s="561"/>
      <c r="AH23" s="561"/>
      <c r="AI23" s="561"/>
      <c r="AJ23" s="561"/>
      <c r="AK23" s="563"/>
      <c r="AL23" s="561"/>
      <c r="AM23" s="561"/>
      <c r="AN23" s="561"/>
      <c r="AO23" s="561"/>
      <c r="AP23" s="561"/>
      <c r="AQ23" s="561"/>
      <c r="AR23" s="561"/>
      <c r="AS23" s="563"/>
      <c r="AT23" s="57"/>
      <c r="AU23" s="57"/>
    </row>
    <row r="24" spans="1:51" s="673" customFormat="1" ht="147" customHeight="1">
      <c r="A24" s="668"/>
      <c r="B24" s="669"/>
      <c r="C24" s="658"/>
      <c r="D24" s="870"/>
      <c r="E24" s="671">
        <f t="shared" ref="E24" si="35">N24+V24+AD24+AL24</f>
        <v>5154558393.7734127</v>
      </c>
      <c r="F24" s="671">
        <f t="shared" ref="F24" si="36">O24+W24+AE24+AM24</f>
        <v>11769751135.76</v>
      </c>
      <c r="G24" s="671">
        <f t="shared" ref="G24" si="37">P24+X24+AF24+AN24</f>
        <v>0</v>
      </c>
      <c r="H24" s="671">
        <f t="shared" ref="H24" si="38">Q24+Y24+AG24+AO24</f>
        <v>0</v>
      </c>
      <c r="I24" s="671">
        <f t="shared" ref="I24" si="39">R24+Z24+AH24+AP24</f>
        <v>34361466496.880005</v>
      </c>
      <c r="J24" s="671">
        <f t="shared" ref="J24" si="40">S24+AA24+AI24+AQ24</f>
        <v>0</v>
      </c>
      <c r="K24" s="671">
        <f t="shared" ref="K24" si="41">T24+AB24+AJ24+AR24</f>
        <v>267917431.02000001</v>
      </c>
      <c r="L24" s="671">
        <f>SUM(E24:K24)</f>
        <v>51553693457.433418</v>
      </c>
      <c r="M24" s="670"/>
      <c r="N24" s="671">
        <f t="shared" ref="N24:T24" si="42">N25+N32+N38</f>
        <v>2503817555.5599999</v>
      </c>
      <c r="O24" s="671">
        <f>O25+O32+O38</f>
        <v>7194426396.8199987</v>
      </c>
      <c r="P24" s="671">
        <f t="shared" si="42"/>
        <v>0</v>
      </c>
      <c r="Q24" s="671">
        <f t="shared" si="42"/>
        <v>0</v>
      </c>
      <c r="R24" s="671">
        <f t="shared" si="42"/>
        <v>6500000000</v>
      </c>
      <c r="S24" s="671">
        <f t="shared" si="42"/>
        <v>0</v>
      </c>
      <c r="T24" s="671">
        <f t="shared" si="42"/>
        <v>12223593.390000001</v>
      </c>
      <c r="U24" s="671">
        <f t="shared" si="11"/>
        <v>16210467545.769999</v>
      </c>
      <c r="V24" s="671">
        <f t="shared" ref="V24:AR24" si="43">V25+V32+V38</f>
        <v>850693985.20809996</v>
      </c>
      <c r="W24" s="671">
        <f>W25+W32+W38</f>
        <v>1507518600</v>
      </c>
      <c r="X24" s="671">
        <f t="shared" si="43"/>
        <v>0</v>
      </c>
      <c r="Y24" s="671">
        <f t="shared" si="43"/>
        <v>0</v>
      </c>
      <c r="Z24" s="671">
        <f t="shared" si="43"/>
        <v>9458403726.4400005</v>
      </c>
      <c r="AA24" s="671">
        <f t="shared" si="43"/>
        <v>0</v>
      </c>
      <c r="AB24" s="671">
        <f t="shared" si="43"/>
        <v>116755177</v>
      </c>
      <c r="AC24" s="671">
        <f>AC25+AC32+AC38</f>
        <v>11933371488.6481</v>
      </c>
      <c r="AD24" s="671">
        <f t="shared" si="43"/>
        <v>883343767.9000001</v>
      </c>
      <c r="AE24" s="671">
        <f t="shared" si="43"/>
        <v>1524522930</v>
      </c>
      <c r="AF24" s="671">
        <f t="shared" si="43"/>
        <v>0</v>
      </c>
      <c r="AG24" s="671">
        <f t="shared" si="43"/>
        <v>0</v>
      </c>
      <c r="AH24" s="671">
        <f t="shared" si="43"/>
        <v>9143092491.7400017</v>
      </c>
      <c r="AI24" s="671">
        <f t="shared" si="43"/>
        <v>0</v>
      </c>
      <c r="AJ24" s="671">
        <f t="shared" si="43"/>
        <v>81728623.900000006</v>
      </c>
      <c r="AK24" s="671">
        <f t="shared" si="43"/>
        <v>11632687813.540001</v>
      </c>
      <c r="AL24" s="671">
        <f t="shared" si="43"/>
        <v>916703085.10531294</v>
      </c>
      <c r="AM24" s="671">
        <f t="shared" si="43"/>
        <v>1543283208.9400001</v>
      </c>
      <c r="AN24" s="671">
        <f t="shared" si="43"/>
        <v>0</v>
      </c>
      <c r="AO24" s="671">
        <f t="shared" si="43"/>
        <v>0</v>
      </c>
      <c r="AP24" s="671">
        <f t="shared" si="43"/>
        <v>9259970278.7000008</v>
      </c>
      <c r="AQ24" s="671">
        <f t="shared" si="43"/>
        <v>0</v>
      </c>
      <c r="AR24" s="671">
        <f t="shared" si="43"/>
        <v>57210036.729999997</v>
      </c>
      <c r="AS24" s="671">
        <f>SUM(AL24:AR24)</f>
        <v>11777166609.475313</v>
      </c>
      <c r="AT24" s="670"/>
      <c r="AU24" s="670"/>
      <c r="AV24" s="672"/>
      <c r="AW24" s="672"/>
      <c r="AX24" s="672"/>
      <c r="AY24" s="672"/>
    </row>
    <row r="25" spans="1:51" s="653" customFormat="1" ht="147" customHeight="1">
      <c r="A25" s="663"/>
      <c r="B25" s="664"/>
      <c r="C25" s="661"/>
      <c r="D25" s="871">
        <f>(E25+I25+K25)/($E$5+$I$5+$K$5)</f>
        <v>5.9275472267543011E-2</v>
      </c>
      <c r="E25" s="666">
        <f t="shared" ref="E25" si="44">N25+V25+AD25+AL25</f>
        <v>1307372199.1879151</v>
      </c>
      <c r="F25" s="666">
        <f t="shared" ref="F25" si="45">O25+W25+AE25+AM25</f>
        <v>590577276.76999998</v>
      </c>
      <c r="G25" s="666">
        <f t="shared" ref="G25" si="46">P25+X25+AF25+AN25</f>
        <v>0</v>
      </c>
      <c r="H25" s="666">
        <f t="shared" ref="H25" si="47">Q25+Y25+AG25+AO25</f>
        <v>0</v>
      </c>
      <c r="I25" s="666">
        <f t="shared" ref="I25" si="48">R25+Z25+AH25+AP25</f>
        <v>18791575680.400002</v>
      </c>
      <c r="J25" s="666">
        <f t="shared" ref="J25" si="49">S25+AA25+AI25+AQ25</f>
        <v>0</v>
      </c>
      <c r="K25" s="666">
        <f t="shared" ref="K25" si="50">T25+AB25+AJ25+AR25</f>
        <v>116224471.65000001</v>
      </c>
      <c r="L25" s="666">
        <f>SUM(E25:K25)</f>
        <v>20805749628.007919</v>
      </c>
      <c r="M25" s="665"/>
      <c r="N25" s="666">
        <f>'HOMOLOGACION 2020'!B9</f>
        <v>102490000</v>
      </c>
      <c r="O25" s="666">
        <f>'HOMOLOGACION 2020'!C9+'HOMOLOGACION 2020'!D9</f>
        <v>167510000</v>
      </c>
      <c r="P25" s="666"/>
      <c r="Q25" s="666"/>
      <c r="R25" s="666">
        <f>3000000000+1000000000</f>
        <v>4000000000</v>
      </c>
      <c r="S25" s="666"/>
      <c r="T25" s="666"/>
      <c r="U25" s="666">
        <f t="shared" si="11"/>
        <v>4270000000</v>
      </c>
      <c r="V25" s="666">
        <f>'RESUMEN PLAN FINANCIERO'!$E$11*0.05</f>
        <v>386679084.18550003</v>
      </c>
      <c r="W25" s="666">
        <f>ICLD!J52+ESTAMPILLAS!T37+'PLAN FINANCIERO COMPLETO'!J113</f>
        <v>147455300</v>
      </c>
      <c r="X25" s="666"/>
      <c r="Y25" s="666"/>
      <c r="Z25" s="666">
        <f>'RESUMEN PLAN FINANCIERO'!E15*0.05+1300000000</f>
        <v>5008365330.2000008</v>
      </c>
      <c r="AA25" s="666"/>
      <c r="AB25" s="666">
        <f>'RESUMEN PLAN FINANCIERO'!E16*0.05</f>
        <v>53070535</v>
      </c>
      <c r="AC25" s="666">
        <f>SUM(V25:AB25)</f>
        <v>5595570249.3855009</v>
      </c>
      <c r="AD25" s="666">
        <f>'RESUMEN PLAN FINANCIERO'!$F$11*0.05</f>
        <v>401519894.5</v>
      </c>
      <c r="AE25" s="666">
        <f>ICLD!J101+'PLAN FINANCIERO COMPLETO'!K113+ESTAMPILLAS!T59</f>
        <v>140961959</v>
      </c>
      <c r="AF25" s="666"/>
      <c r="AG25" s="666"/>
      <c r="AH25" s="685">
        <f>'RESUMEN PLAN FINANCIERO'!$F$15*0.05+1300000000</f>
        <v>4865042041.7000008</v>
      </c>
      <c r="AI25" s="666"/>
      <c r="AJ25" s="685">
        <f>'RESUMEN PLAN FINANCIERO'!$F$16*0.05</f>
        <v>37149374.5</v>
      </c>
      <c r="AK25" s="666">
        <f>SUBTOTAL(9,AD25:AJ25)</f>
        <v>5444673269.7000008</v>
      </c>
      <c r="AL25" s="666">
        <f>'RESUMEN PLAN FINANCIERO'!$G$11*0.05</f>
        <v>416683220.502415</v>
      </c>
      <c r="AM25" s="666">
        <f>ICLD!J76+'PLAN FINANCIERO COMPLETO'!L113+ESTAMPILLAS!T82</f>
        <v>134650017.77000001</v>
      </c>
      <c r="AN25" s="666"/>
      <c r="AO25" s="666"/>
      <c r="AP25" s="685">
        <f>'RESUMEN PLAN FINANCIERO'!$G$15*0.05+1300000000</f>
        <v>4918168308.5</v>
      </c>
      <c r="AQ25" s="666"/>
      <c r="AR25" s="685">
        <f>'RESUMEN PLAN FINANCIERO'!$G$16*0.05</f>
        <v>26004562.150000002</v>
      </c>
      <c r="AS25" s="666">
        <f>SUM(AL25:AR25)</f>
        <v>5495506108.9224148</v>
      </c>
      <c r="AT25" s="665"/>
      <c r="AU25" s="665"/>
      <c r="AV25" s="652"/>
      <c r="AW25" s="652"/>
      <c r="AX25" s="652"/>
      <c r="AY25" s="652"/>
    </row>
    <row r="26" spans="1:51" ht="147" customHeight="1">
      <c r="A26" s="645" t="s">
        <v>128</v>
      </c>
      <c r="B26" s="63" t="s">
        <v>129</v>
      </c>
      <c r="C26" s="724" t="s">
        <v>647</v>
      </c>
      <c r="D26" s="872"/>
      <c r="E26" s="564"/>
      <c r="F26" s="564"/>
      <c r="G26" s="564"/>
      <c r="H26" s="564"/>
      <c r="I26" s="564"/>
      <c r="J26" s="564"/>
      <c r="K26" s="564"/>
      <c r="L26" s="565"/>
      <c r="M26" s="64">
        <v>5</v>
      </c>
      <c r="N26" s="564"/>
      <c r="O26" s="564"/>
      <c r="P26" s="564"/>
      <c r="Q26" s="564"/>
      <c r="R26" s="564"/>
      <c r="S26" s="564"/>
      <c r="T26" s="564"/>
      <c r="U26" s="564">
        <f t="shared" si="11"/>
        <v>0</v>
      </c>
      <c r="V26" s="564"/>
      <c r="W26" s="564"/>
      <c r="X26" s="564"/>
      <c r="Y26" s="564"/>
      <c r="Z26" s="564"/>
      <c r="AA26" s="564"/>
      <c r="AB26" s="564"/>
      <c r="AC26" s="565"/>
      <c r="AD26" s="564"/>
      <c r="AE26" s="564"/>
      <c r="AF26" s="564"/>
      <c r="AG26" s="564"/>
      <c r="AH26" s="564"/>
      <c r="AI26" s="564"/>
      <c r="AJ26" s="564"/>
      <c r="AK26" s="565"/>
      <c r="AL26" s="564"/>
      <c r="AM26" s="564"/>
      <c r="AN26" s="564"/>
      <c r="AO26" s="564"/>
      <c r="AP26" s="564"/>
      <c r="AQ26" s="564"/>
      <c r="AR26" s="564"/>
      <c r="AS26" s="565"/>
      <c r="AT26" s="64">
        <f t="shared" si="12"/>
        <v>3.4482758620689653</v>
      </c>
      <c r="AU26" s="64">
        <f t="shared" si="12"/>
        <v>3.4482758620689653</v>
      </c>
    </row>
    <row r="27" spans="1:51" ht="147" customHeight="1">
      <c r="A27" s="645" t="s">
        <v>128</v>
      </c>
      <c r="B27" s="63" t="s">
        <v>129</v>
      </c>
      <c r="C27" s="641" t="s">
        <v>648</v>
      </c>
      <c r="D27" s="873"/>
      <c r="E27" s="564"/>
      <c r="F27" s="565"/>
      <c r="G27" s="565"/>
      <c r="H27" s="565"/>
      <c r="I27" s="565"/>
      <c r="J27" s="565"/>
      <c r="K27" s="565"/>
      <c r="L27" s="565"/>
      <c r="M27" s="642"/>
      <c r="N27" s="565"/>
      <c r="O27" s="565"/>
      <c r="P27" s="565"/>
      <c r="Q27" s="565"/>
      <c r="R27" s="565"/>
      <c r="S27" s="565"/>
      <c r="T27" s="565"/>
      <c r="U27" s="565">
        <f>SUM(N27:T27)</f>
        <v>0</v>
      </c>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642"/>
      <c r="AU27" s="642"/>
    </row>
    <row r="28" spans="1:51" ht="147" customHeight="1">
      <c r="A28" s="645" t="s">
        <v>128</v>
      </c>
      <c r="B28" s="63" t="s">
        <v>129</v>
      </c>
      <c r="C28" s="641" t="s">
        <v>649</v>
      </c>
      <c r="D28" s="873"/>
      <c r="E28" s="564"/>
      <c r="F28" s="565"/>
      <c r="G28" s="565"/>
      <c r="H28" s="565"/>
      <c r="I28" s="565"/>
      <c r="J28" s="565"/>
      <c r="K28" s="565"/>
      <c r="L28" s="565"/>
      <c r="M28" s="642"/>
      <c r="N28" s="565"/>
      <c r="O28" s="565"/>
      <c r="P28" s="565"/>
      <c r="Q28" s="565"/>
      <c r="R28" s="565"/>
      <c r="S28" s="565"/>
      <c r="T28" s="565"/>
      <c r="U28" s="565">
        <f t="shared" si="11"/>
        <v>0</v>
      </c>
      <c r="V28" s="565"/>
      <c r="W28" s="565"/>
      <c r="X28" s="565"/>
      <c r="Y28" s="565"/>
      <c r="Z28" s="565"/>
      <c r="AA28" s="565"/>
      <c r="AB28" s="565"/>
      <c r="AC28" s="565"/>
      <c r="AD28" s="565"/>
      <c r="AE28" s="565"/>
      <c r="AF28" s="565"/>
      <c r="AG28" s="565"/>
      <c r="AH28" s="565"/>
      <c r="AI28" s="565"/>
      <c r="AJ28" s="565"/>
      <c r="AK28" s="565"/>
      <c r="AL28" s="565"/>
      <c r="AM28" s="565"/>
      <c r="AN28" s="565"/>
      <c r="AO28" s="565"/>
      <c r="AP28" s="565"/>
      <c r="AQ28" s="565"/>
      <c r="AR28" s="565"/>
      <c r="AS28" s="565"/>
      <c r="AT28" s="642"/>
      <c r="AU28" s="642"/>
    </row>
    <row r="29" spans="1:51" ht="147" customHeight="1">
      <c r="A29" s="645" t="s">
        <v>128</v>
      </c>
      <c r="B29" s="63" t="s">
        <v>129</v>
      </c>
      <c r="C29" s="641" t="s">
        <v>619</v>
      </c>
      <c r="D29" s="873"/>
      <c r="E29" s="564"/>
      <c r="F29" s="565"/>
      <c r="G29" s="565"/>
      <c r="H29" s="565"/>
      <c r="I29" s="565"/>
      <c r="J29" s="565"/>
      <c r="K29" s="565"/>
      <c r="L29" s="565"/>
      <c r="M29" s="642"/>
      <c r="N29" s="565"/>
      <c r="O29" s="565"/>
      <c r="P29" s="565"/>
      <c r="Q29" s="565"/>
      <c r="R29" s="565"/>
      <c r="S29" s="565"/>
      <c r="T29" s="565"/>
      <c r="U29" s="565">
        <f>SUM(N29:T29)</f>
        <v>0</v>
      </c>
      <c r="V29" s="565"/>
      <c r="W29" s="565"/>
      <c r="X29" s="565"/>
      <c r="Y29" s="565"/>
      <c r="Z29" s="565"/>
      <c r="AA29" s="565"/>
      <c r="AB29" s="565"/>
      <c r="AC29" s="565"/>
      <c r="AD29" s="565"/>
      <c r="AE29" s="565"/>
      <c r="AF29" s="565"/>
      <c r="AG29" s="565"/>
      <c r="AH29" s="565"/>
      <c r="AI29" s="565"/>
      <c r="AJ29" s="565"/>
      <c r="AK29" s="565"/>
      <c r="AL29" s="565"/>
      <c r="AM29" s="565"/>
      <c r="AN29" s="565"/>
      <c r="AO29" s="565"/>
      <c r="AP29" s="565"/>
      <c r="AQ29" s="565"/>
      <c r="AR29" s="565"/>
      <c r="AS29" s="565"/>
      <c r="AT29" s="642"/>
      <c r="AU29" s="642"/>
    </row>
    <row r="30" spans="1:51" ht="147" customHeight="1">
      <c r="A30" s="645" t="s">
        <v>128</v>
      </c>
      <c r="B30" s="63" t="s">
        <v>129</v>
      </c>
      <c r="C30" s="641" t="s">
        <v>650</v>
      </c>
      <c r="D30" s="873"/>
      <c r="E30" s="564"/>
      <c r="F30" s="565"/>
      <c r="G30" s="565"/>
      <c r="H30" s="565"/>
      <c r="I30" s="565"/>
      <c r="J30" s="565"/>
      <c r="K30" s="565"/>
      <c r="L30" s="565"/>
      <c r="M30" s="642"/>
      <c r="N30" s="565"/>
      <c r="O30" s="565"/>
      <c r="P30" s="565"/>
      <c r="Q30" s="565"/>
      <c r="R30" s="565"/>
      <c r="S30" s="565"/>
      <c r="T30" s="565"/>
      <c r="U30" s="565">
        <f t="shared" si="11"/>
        <v>0</v>
      </c>
      <c r="V30" s="565"/>
      <c r="W30" s="565"/>
      <c r="X30" s="565"/>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642"/>
      <c r="AU30" s="642"/>
    </row>
    <row r="31" spans="1:51" ht="147" customHeight="1">
      <c r="A31" s="645" t="s">
        <v>128</v>
      </c>
      <c r="B31" s="63" t="s">
        <v>129</v>
      </c>
      <c r="C31" s="641" t="s">
        <v>620</v>
      </c>
      <c r="D31" s="873"/>
      <c r="E31" s="564"/>
      <c r="F31" s="565"/>
      <c r="G31" s="565"/>
      <c r="H31" s="565"/>
      <c r="I31" s="565"/>
      <c r="J31" s="565"/>
      <c r="K31" s="565"/>
      <c r="L31" s="565"/>
      <c r="M31" s="642"/>
      <c r="N31" s="565"/>
      <c r="O31" s="565"/>
      <c r="P31" s="565"/>
      <c r="Q31" s="565"/>
      <c r="R31" s="565"/>
      <c r="S31" s="565"/>
      <c r="T31" s="565"/>
      <c r="U31" s="565">
        <f t="shared" si="11"/>
        <v>0</v>
      </c>
      <c r="V31" s="565"/>
      <c r="W31" s="565"/>
      <c r="X31" s="565"/>
      <c r="Y31" s="565"/>
      <c r="Z31" s="565"/>
      <c r="AA31" s="565"/>
      <c r="AB31" s="565"/>
      <c r="AC31" s="565"/>
      <c r="AD31" s="565"/>
      <c r="AE31" s="565"/>
      <c r="AF31" s="565"/>
      <c r="AG31" s="565"/>
      <c r="AH31" s="565"/>
      <c r="AI31" s="565"/>
      <c r="AJ31" s="565"/>
      <c r="AK31" s="565"/>
      <c r="AL31" s="565"/>
      <c r="AM31" s="565"/>
      <c r="AN31" s="565"/>
      <c r="AO31" s="565"/>
      <c r="AP31" s="565"/>
      <c r="AQ31" s="565"/>
      <c r="AR31" s="565"/>
      <c r="AS31" s="565"/>
      <c r="AT31" s="642"/>
      <c r="AU31" s="642"/>
    </row>
    <row r="32" spans="1:51" s="653" customFormat="1" ht="147" customHeight="1">
      <c r="A32" s="663"/>
      <c r="B32" s="664"/>
      <c r="C32" s="661"/>
      <c r="D32" s="871">
        <f>(E32+I32+K32)/($E$5+$I$5+$K$5)</f>
        <v>2.5737942480116665E-2</v>
      </c>
      <c r="E32" s="666">
        <f t="shared" ref="E32" si="51">N32+V32+AD32+AL32</f>
        <v>1172929319.512749</v>
      </c>
      <c r="F32" s="666">
        <f t="shared" ref="F32" si="52">O32+W32+AE32+AM32</f>
        <v>2073093025.96</v>
      </c>
      <c r="G32" s="666">
        <f t="shared" ref="G32" si="53">P32+X32+AF32+AN32</f>
        <v>0</v>
      </c>
      <c r="H32" s="666">
        <f t="shared" ref="H32" si="54">Q32+Y32+AG32+AO32</f>
        <v>0</v>
      </c>
      <c r="I32" s="666">
        <f>R32+Z32+AH32+AP32</f>
        <v>7534945408.2399998</v>
      </c>
      <c r="J32" s="666">
        <f t="shared" ref="J32" si="55">S32+AA32+AI32+AQ32</f>
        <v>0</v>
      </c>
      <c r="K32" s="666">
        <f t="shared" ref="K32" si="56">T32+AB32+AJ32+AR32</f>
        <v>69734682.99000001</v>
      </c>
      <c r="L32" s="666">
        <f>SUM(E32:K32)</f>
        <v>10850702436.702749</v>
      </c>
      <c r="M32" s="665"/>
      <c r="N32" s="666">
        <f>'HOMOLOGACION 2020'!B10</f>
        <v>450000000</v>
      </c>
      <c r="O32" s="666">
        <f>'HOMOLOGACION 2020'!C10+'HOMOLOGACION 2020'!D10+36328120.57</f>
        <v>530778120.56999999</v>
      </c>
      <c r="P32" s="666"/>
      <c r="Q32" s="666"/>
      <c r="R32" s="666">
        <v>1000000000</v>
      </c>
      <c r="S32" s="666"/>
      <c r="T32" s="666"/>
      <c r="U32" s="666">
        <f t="shared" si="11"/>
        <v>1980778120.5699999</v>
      </c>
      <c r="V32" s="666">
        <f>'RESUMEN PLAN FINANCIERO'!E11*0.03</f>
        <v>232007450.5113</v>
      </c>
      <c r="W32" s="666">
        <f>ICLD!H52+ESTAMPILLAS!U37</f>
        <v>511641100</v>
      </c>
      <c r="X32" s="666"/>
      <c r="Y32" s="666"/>
      <c r="Z32" s="666">
        <f>'RESUMEN PLAN FINANCIERO'!E15*0.03</f>
        <v>2225019198.1199999</v>
      </c>
      <c r="AA32" s="666"/>
      <c r="AB32" s="666">
        <f>'RESUMEN PLAN FINANCIERO'!E16*0.03</f>
        <v>31842321</v>
      </c>
      <c r="AC32" s="666">
        <f>SUM(V32:AB32)</f>
        <v>3000510069.6313</v>
      </c>
      <c r="AD32" s="666">
        <f>'RESUMEN PLAN FINANCIERO'!$F$11*0.03</f>
        <v>240911936.69999999</v>
      </c>
      <c r="AE32" s="666">
        <f>ICLD!H101+ESTAMPILLAS!U59</f>
        <v>513734257</v>
      </c>
      <c r="AF32" s="666"/>
      <c r="AG32" s="666"/>
      <c r="AH32" s="685">
        <f>'RESUMEN PLAN FINANCIERO'!$F$15*0.03</f>
        <v>2139025225.02</v>
      </c>
      <c r="AI32" s="666"/>
      <c r="AJ32" s="685">
        <f>'RESUMEN PLAN FINANCIERO'!$F$16*0.03</f>
        <v>22289624.699999999</v>
      </c>
      <c r="AK32" s="666">
        <f>SUBTOTAL(9,AD32:AJ32)</f>
        <v>2915961043.4200001</v>
      </c>
      <c r="AL32" s="666">
        <f>'RESUMEN PLAN FINANCIERO'!$G$11*0.03</f>
        <v>250009932.30144897</v>
      </c>
      <c r="AM32" s="666">
        <f>ICLD!H76+ESTAMPILLAS!U82</f>
        <v>516939548.38999999</v>
      </c>
      <c r="AN32" s="666"/>
      <c r="AO32" s="666"/>
      <c r="AP32" s="685">
        <f>'RESUMEN PLAN FINANCIERO'!$G$15*0.03</f>
        <v>2170900985.0999999</v>
      </c>
      <c r="AQ32" s="666"/>
      <c r="AR32" s="685">
        <f>'RESUMEN PLAN FINANCIERO'!$G$16*0.03</f>
        <v>15602737.289999999</v>
      </c>
      <c r="AS32" s="666">
        <f>SUM(AL32:AR32)</f>
        <v>2953453203.0814486</v>
      </c>
      <c r="AT32" s="665"/>
      <c r="AU32" s="665"/>
      <c r="AV32" s="652"/>
      <c r="AW32" s="652"/>
      <c r="AX32" s="652"/>
      <c r="AY32" s="652"/>
    </row>
    <row r="33" spans="1:53" ht="147" customHeight="1">
      <c r="A33" s="645" t="s">
        <v>128</v>
      </c>
      <c r="B33" s="63" t="s">
        <v>130</v>
      </c>
      <c r="C33" s="75" t="s">
        <v>651</v>
      </c>
      <c r="D33" s="872"/>
      <c r="E33" s="564"/>
      <c r="F33" s="564"/>
      <c r="G33" s="564"/>
      <c r="H33" s="564"/>
      <c r="I33" s="564"/>
      <c r="J33" s="564"/>
      <c r="K33" s="564"/>
      <c r="L33" s="565"/>
      <c r="M33" s="64">
        <v>3</v>
      </c>
      <c r="N33" s="564"/>
      <c r="O33" s="564"/>
      <c r="P33" s="564"/>
      <c r="Q33" s="564"/>
      <c r="R33" s="564"/>
      <c r="S33" s="564"/>
      <c r="T33" s="564"/>
      <c r="U33" s="564">
        <f t="shared" si="11"/>
        <v>0</v>
      </c>
      <c r="V33" s="564"/>
      <c r="W33" s="564"/>
      <c r="X33" s="564"/>
      <c r="Y33" s="564"/>
      <c r="Z33" s="564"/>
      <c r="AA33" s="564"/>
      <c r="AB33" s="564"/>
      <c r="AC33" s="565"/>
      <c r="AD33" s="564"/>
      <c r="AE33" s="564"/>
      <c r="AF33" s="564"/>
      <c r="AG33" s="564"/>
      <c r="AH33" s="564"/>
      <c r="AI33" s="564"/>
      <c r="AJ33" s="564"/>
      <c r="AK33" s="565"/>
      <c r="AL33" s="564"/>
      <c r="AM33" s="564"/>
      <c r="AN33" s="564"/>
      <c r="AO33" s="564"/>
      <c r="AP33" s="564"/>
      <c r="AQ33" s="564"/>
      <c r="AR33" s="564"/>
      <c r="AS33" s="565"/>
      <c r="AT33" s="64">
        <f t="shared" si="12"/>
        <v>3.4482758620689653</v>
      </c>
      <c r="AU33" s="64">
        <f t="shared" si="12"/>
        <v>3.4482758620689653</v>
      </c>
    </row>
    <row r="34" spans="1:53" ht="147" customHeight="1">
      <c r="A34" s="645" t="s">
        <v>128</v>
      </c>
      <c r="B34" s="63" t="s">
        <v>130</v>
      </c>
      <c r="C34" s="75" t="s">
        <v>703</v>
      </c>
      <c r="D34" s="872"/>
      <c r="E34" s="564"/>
      <c r="F34" s="564"/>
      <c r="G34" s="564"/>
      <c r="H34" s="564"/>
      <c r="I34" s="564"/>
      <c r="J34" s="564"/>
      <c r="K34" s="564"/>
      <c r="L34" s="565"/>
      <c r="M34" s="64">
        <v>3</v>
      </c>
      <c r="N34" s="564"/>
      <c r="O34" s="564"/>
      <c r="P34" s="564"/>
      <c r="Q34" s="564"/>
      <c r="R34" s="564"/>
      <c r="S34" s="564"/>
      <c r="T34" s="564"/>
      <c r="U34" s="564">
        <f t="shared" ref="U34" si="57">SUM(N34:T34)</f>
        <v>0</v>
      </c>
      <c r="V34" s="564"/>
      <c r="W34" s="564"/>
      <c r="X34" s="564"/>
      <c r="Y34" s="564"/>
      <c r="Z34" s="564"/>
      <c r="AA34" s="564"/>
      <c r="AB34" s="564"/>
      <c r="AC34" s="565"/>
      <c r="AD34" s="564"/>
      <c r="AE34" s="564"/>
      <c r="AF34" s="564"/>
      <c r="AG34" s="564"/>
      <c r="AH34" s="564"/>
      <c r="AI34" s="564"/>
      <c r="AJ34" s="564"/>
      <c r="AK34" s="565"/>
      <c r="AL34" s="564"/>
      <c r="AM34" s="564"/>
      <c r="AN34" s="564"/>
      <c r="AO34" s="564"/>
      <c r="AP34" s="564"/>
      <c r="AQ34" s="564"/>
      <c r="AR34" s="564"/>
      <c r="AS34" s="565"/>
      <c r="AT34" s="64">
        <f t="shared" si="12"/>
        <v>3.4482758620689653</v>
      </c>
      <c r="AU34" s="64">
        <f t="shared" si="12"/>
        <v>3.4482758620689653</v>
      </c>
    </row>
    <row r="35" spans="1:53" ht="147" customHeight="1">
      <c r="A35" s="645" t="s">
        <v>128</v>
      </c>
      <c r="B35" s="63" t="s">
        <v>130</v>
      </c>
      <c r="C35" s="75" t="s">
        <v>652</v>
      </c>
      <c r="D35" s="872"/>
      <c r="E35" s="564"/>
      <c r="F35" s="564"/>
      <c r="G35" s="564"/>
      <c r="H35" s="564"/>
      <c r="I35" s="564"/>
      <c r="J35" s="564"/>
      <c r="K35" s="564"/>
      <c r="L35" s="565"/>
      <c r="M35" s="64">
        <v>3</v>
      </c>
      <c r="N35" s="564"/>
      <c r="O35" s="564"/>
      <c r="P35" s="564"/>
      <c r="Q35" s="564"/>
      <c r="R35" s="564"/>
      <c r="S35" s="564"/>
      <c r="T35" s="564"/>
      <c r="U35" s="564">
        <f t="shared" ref="U35" si="58">SUM(N35:T35)</f>
        <v>0</v>
      </c>
      <c r="V35" s="564"/>
      <c r="W35" s="564"/>
      <c r="X35" s="564"/>
      <c r="Y35" s="564"/>
      <c r="Z35" s="564"/>
      <c r="AA35" s="564"/>
      <c r="AB35" s="564"/>
      <c r="AC35" s="565"/>
      <c r="AD35" s="564"/>
      <c r="AE35" s="564"/>
      <c r="AF35" s="564"/>
      <c r="AG35" s="564"/>
      <c r="AH35" s="564"/>
      <c r="AI35" s="564"/>
      <c r="AJ35" s="564"/>
      <c r="AK35" s="565"/>
      <c r="AL35" s="564"/>
      <c r="AM35" s="564"/>
      <c r="AN35" s="564"/>
      <c r="AO35" s="564"/>
      <c r="AP35" s="564"/>
      <c r="AQ35" s="564"/>
      <c r="AR35" s="564"/>
      <c r="AS35" s="565"/>
      <c r="AT35" s="64">
        <f t="shared" si="12"/>
        <v>3.4482758620689653</v>
      </c>
      <c r="AU35" s="64">
        <f t="shared" si="12"/>
        <v>3.4482758620689653</v>
      </c>
    </row>
    <row r="36" spans="1:53" ht="147" customHeight="1">
      <c r="A36" s="645" t="s">
        <v>128</v>
      </c>
      <c r="B36" s="63" t="s">
        <v>130</v>
      </c>
      <c r="C36" s="75" t="s">
        <v>653</v>
      </c>
      <c r="D36" s="872"/>
      <c r="E36" s="564"/>
      <c r="F36" s="564"/>
      <c r="G36" s="564"/>
      <c r="H36" s="564"/>
      <c r="I36" s="564"/>
      <c r="J36" s="564"/>
      <c r="K36" s="564"/>
      <c r="L36" s="565"/>
      <c r="M36" s="64">
        <v>3</v>
      </c>
      <c r="N36" s="564"/>
      <c r="O36" s="564"/>
      <c r="P36" s="564"/>
      <c r="Q36" s="564"/>
      <c r="R36" s="564"/>
      <c r="S36" s="564"/>
      <c r="T36" s="564"/>
      <c r="U36" s="564">
        <f t="shared" ref="U36" si="59">SUM(N36:T36)</f>
        <v>0</v>
      </c>
      <c r="V36" s="564"/>
      <c r="W36" s="564"/>
      <c r="X36" s="564"/>
      <c r="Y36" s="564"/>
      <c r="Z36" s="564"/>
      <c r="AA36" s="564"/>
      <c r="AB36" s="564"/>
      <c r="AC36" s="565"/>
      <c r="AD36" s="564"/>
      <c r="AE36" s="564"/>
      <c r="AF36" s="564"/>
      <c r="AG36" s="564"/>
      <c r="AH36" s="564"/>
      <c r="AI36" s="564"/>
      <c r="AJ36" s="564"/>
      <c r="AK36" s="565"/>
      <c r="AL36" s="564"/>
      <c r="AM36" s="564"/>
      <c r="AN36" s="564"/>
      <c r="AO36" s="564"/>
      <c r="AP36" s="564"/>
      <c r="AQ36" s="564"/>
      <c r="AR36" s="564"/>
      <c r="AS36" s="565"/>
      <c r="AT36" s="64">
        <f t="shared" si="12"/>
        <v>3.4482758620689653</v>
      </c>
      <c r="AU36" s="64">
        <f t="shared" si="12"/>
        <v>3.4482758620689653</v>
      </c>
    </row>
    <row r="37" spans="1:53" ht="147" customHeight="1">
      <c r="A37" s="645" t="s">
        <v>128</v>
      </c>
      <c r="B37" s="63" t="s">
        <v>130</v>
      </c>
      <c r="C37" s="75" t="s">
        <v>654</v>
      </c>
      <c r="D37" s="872"/>
      <c r="E37" s="564"/>
      <c r="F37" s="564"/>
      <c r="G37" s="564"/>
      <c r="H37" s="564"/>
      <c r="I37" s="564"/>
      <c r="J37" s="564"/>
      <c r="K37" s="564"/>
      <c r="L37" s="565"/>
      <c r="M37" s="64">
        <v>3</v>
      </c>
      <c r="N37" s="564"/>
      <c r="O37" s="564"/>
      <c r="P37" s="564"/>
      <c r="Q37" s="564"/>
      <c r="R37" s="564"/>
      <c r="S37" s="564"/>
      <c r="T37" s="564"/>
      <c r="U37" s="564">
        <f t="shared" ref="U37" si="60">SUM(N37:T37)</f>
        <v>0</v>
      </c>
      <c r="V37" s="564"/>
      <c r="W37" s="564"/>
      <c r="X37" s="564"/>
      <c r="Y37" s="564"/>
      <c r="Z37" s="564"/>
      <c r="AA37" s="564"/>
      <c r="AB37" s="564"/>
      <c r="AC37" s="565"/>
      <c r="AD37" s="564"/>
      <c r="AE37" s="564"/>
      <c r="AF37" s="564"/>
      <c r="AG37" s="564"/>
      <c r="AH37" s="564"/>
      <c r="AI37" s="564"/>
      <c r="AJ37" s="564"/>
      <c r="AK37" s="565"/>
      <c r="AL37" s="564"/>
      <c r="AM37" s="564"/>
      <c r="AN37" s="564"/>
      <c r="AO37" s="564"/>
      <c r="AP37" s="564"/>
      <c r="AQ37" s="564"/>
      <c r="AR37" s="564"/>
      <c r="AS37" s="565"/>
      <c r="AT37" s="64">
        <f t="shared" si="12"/>
        <v>3.4482758620689653</v>
      </c>
      <c r="AU37" s="64">
        <f t="shared" si="12"/>
        <v>3.4482758620689653</v>
      </c>
    </row>
    <row r="38" spans="1:53" s="653" customFormat="1" ht="147" customHeight="1">
      <c r="A38" s="663"/>
      <c r="B38" s="664"/>
      <c r="C38" s="661"/>
      <c r="D38" s="871">
        <f>(E38+I38+K38)/($E$5+$I$5+$K$5)</f>
        <v>3.1642131334660671E-2</v>
      </c>
      <c r="E38" s="666">
        <f t="shared" ref="E38" si="61">N38+V38+AD38+AL38</f>
        <v>2674256875.0727487</v>
      </c>
      <c r="F38" s="666">
        <f t="shared" ref="F38" si="62">O38+W38+AE38+AM38</f>
        <v>9106080833.0299988</v>
      </c>
      <c r="G38" s="666">
        <f t="shared" ref="G38" si="63">P38+X38+AF38+AN38</f>
        <v>0</v>
      </c>
      <c r="H38" s="666">
        <f t="shared" ref="H38" si="64">Q38+Y38+AG38+AO38</f>
        <v>0</v>
      </c>
      <c r="I38" s="666">
        <f t="shared" ref="I38" si="65">R38+Z38+AH38+AP38</f>
        <v>8034945408.2399998</v>
      </c>
      <c r="J38" s="666">
        <f t="shared" ref="J38" si="66">S38+AA38+AI38+AQ38</f>
        <v>0</v>
      </c>
      <c r="K38" s="666">
        <f t="shared" ref="K38" si="67">T38+AB38+AJ38+AR38</f>
        <v>81958276.379999995</v>
      </c>
      <c r="L38" s="666">
        <f>SUM(E38:K38)</f>
        <v>19897241392.722748</v>
      </c>
      <c r="M38" s="665"/>
      <c r="N38" s="666">
        <f>'HOMOLOGACION 2020'!B11+'PLAN FINANCIERO COMPLETO'!E35+246663066.68+148762741.32</f>
        <v>1951327555.5599999</v>
      </c>
      <c r="O38" s="666">
        <f>'HOMOLOGACION 2020'!C11+'PLAN FINANCIERO COMPLETO'!E73+'PLAN FINANCIERO COMPLETO'!E121+25481886.76+391956008+8973741+154156708.11</f>
        <v>6496138276.249999</v>
      </c>
      <c r="P38" s="666"/>
      <c r="Q38" s="666"/>
      <c r="R38" s="666">
        <v>1500000000</v>
      </c>
      <c r="S38" s="666"/>
      <c r="T38" s="666">
        <f>'HOMOLOGACION 2020'!I11+'PLAN FINANCIERO COMPLETO'!E153</f>
        <v>12223593.390000001</v>
      </c>
      <c r="U38" s="666">
        <f t="shared" si="11"/>
        <v>9959689425.1999989</v>
      </c>
      <c r="V38" s="666">
        <f>'RESUMEN PLAN FINANCIERO'!E11*0.03</f>
        <v>232007450.5113</v>
      </c>
      <c r="W38" s="666">
        <f>ICLD!I52+'PLAN FINANCIERO COMPLETO'!J112</f>
        <v>848422200</v>
      </c>
      <c r="X38" s="666"/>
      <c r="Y38" s="666"/>
      <c r="Z38" s="666">
        <f>'RESUMEN PLAN FINANCIERO'!E15*0.03</f>
        <v>2225019198.1199999</v>
      </c>
      <c r="AA38" s="666"/>
      <c r="AB38" s="666">
        <f>'RESUMEN PLAN FINANCIERO'!E16*0.03</f>
        <v>31842321</v>
      </c>
      <c r="AC38" s="666">
        <f>SUM(V38:AB38)</f>
        <v>3337291169.6313</v>
      </c>
      <c r="AD38" s="666">
        <f>'RESUMEN PLAN FINANCIERO'!$F$11*0.03</f>
        <v>240911936.69999999</v>
      </c>
      <c r="AE38" s="666">
        <f>ICLD!I101+'PLAN FINANCIERO COMPLETO'!K112</f>
        <v>869826714</v>
      </c>
      <c r="AF38" s="666"/>
      <c r="AG38" s="666"/>
      <c r="AH38" s="685">
        <f>'RESUMEN PLAN FINANCIERO'!$F$15*0.03</f>
        <v>2139025225.02</v>
      </c>
      <c r="AI38" s="666"/>
      <c r="AJ38" s="685">
        <f>'RESUMEN PLAN FINANCIERO'!$F$16*0.03</f>
        <v>22289624.699999999</v>
      </c>
      <c r="AK38" s="666">
        <f>SUBTOTAL(9,AD38:AJ38)</f>
        <v>3272053500.4200001</v>
      </c>
      <c r="AL38" s="666">
        <f>'RESUMEN PLAN FINANCIERO'!$G$11*0.03</f>
        <v>250009932.30144897</v>
      </c>
      <c r="AM38" s="666">
        <f>ICLD!I76+'PLAN FINANCIERO COMPLETO'!L112</f>
        <v>891693642.77999997</v>
      </c>
      <c r="AN38" s="666"/>
      <c r="AO38" s="666"/>
      <c r="AP38" s="685">
        <f>'RESUMEN PLAN FINANCIERO'!$G$15*0.03</f>
        <v>2170900985.0999999</v>
      </c>
      <c r="AQ38" s="666"/>
      <c r="AR38" s="685">
        <f>'RESUMEN PLAN FINANCIERO'!$G$16*0.03</f>
        <v>15602737.289999999</v>
      </c>
      <c r="AS38" s="666">
        <f>SUM(AL38:AR38)</f>
        <v>3328207297.4714489</v>
      </c>
      <c r="AT38" s="665"/>
      <c r="AU38" s="665"/>
      <c r="AV38" s="652"/>
      <c r="AW38" s="652"/>
      <c r="AX38" s="652"/>
      <c r="AY38" s="652"/>
    </row>
    <row r="39" spans="1:53" ht="147" customHeight="1">
      <c r="A39" s="645" t="s">
        <v>128</v>
      </c>
      <c r="B39" s="63" t="s">
        <v>131</v>
      </c>
      <c r="C39" s="75" t="s">
        <v>621</v>
      </c>
      <c r="D39" s="872"/>
      <c r="E39" s="564"/>
      <c r="F39" s="564"/>
      <c r="G39" s="564"/>
      <c r="H39" s="564"/>
      <c r="I39" s="564"/>
      <c r="J39" s="564"/>
      <c r="K39" s="564"/>
      <c r="L39" s="565"/>
      <c r="M39" s="64">
        <v>3</v>
      </c>
      <c r="N39" s="564"/>
      <c r="O39" s="564"/>
      <c r="P39" s="564"/>
      <c r="Q39" s="564"/>
      <c r="R39" s="564"/>
      <c r="S39" s="564"/>
      <c r="T39" s="564"/>
      <c r="U39" s="564">
        <f t="shared" si="11"/>
        <v>0</v>
      </c>
      <c r="V39" s="564"/>
      <c r="W39" s="564"/>
      <c r="X39" s="564"/>
      <c r="Y39" s="564"/>
      <c r="Z39" s="564"/>
      <c r="AA39" s="564"/>
      <c r="AB39" s="564"/>
      <c r="AC39" s="565"/>
      <c r="AD39" s="564"/>
      <c r="AE39" s="564"/>
      <c r="AF39" s="564"/>
      <c r="AG39" s="564"/>
      <c r="AH39" s="564"/>
      <c r="AI39" s="564"/>
      <c r="AJ39" s="564"/>
      <c r="AK39" s="565"/>
      <c r="AL39" s="564"/>
      <c r="AM39" s="564"/>
      <c r="AN39" s="564"/>
      <c r="AO39" s="564"/>
      <c r="AP39" s="564"/>
      <c r="AQ39" s="564"/>
      <c r="AR39" s="564"/>
      <c r="AS39" s="565"/>
      <c r="AT39" s="64">
        <f t="shared" si="12"/>
        <v>3.4482758620689653</v>
      </c>
      <c r="AU39" s="64">
        <f t="shared" si="12"/>
        <v>3.4482758620689653</v>
      </c>
    </row>
    <row r="40" spans="1:53" ht="147" customHeight="1">
      <c r="A40" s="645" t="s">
        <v>128</v>
      </c>
      <c r="B40" s="63" t="s">
        <v>131</v>
      </c>
      <c r="C40" s="641" t="s">
        <v>655</v>
      </c>
      <c r="D40" s="873"/>
      <c r="E40" s="565"/>
      <c r="F40" s="564"/>
      <c r="G40" s="565"/>
      <c r="H40" s="565"/>
      <c r="I40" s="565"/>
      <c r="J40" s="565"/>
      <c r="K40" s="565"/>
      <c r="L40" s="565"/>
      <c r="M40" s="642"/>
      <c r="N40" s="565"/>
      <c r="O40" s="565"/>
      <c r="P40" s="565"/>
      <c r="Q40" s="565"/>
      <c r="R40" s="565"/>
      <c r="S40" s="565"/>
      <c r="T40" s="565"/>
      <c r="U40" s="565">
        <f t="shared" si="11"/>
        <v>0</v>
      </c>
      <c r="V40" s="565"/>
      <c r="W40" s="565"/>
      <c r="X40" s="565"/>
      <c r="Y40" s="565"/>
      <c r="Z40" s="565"/>
      <c r="AA40" s="565"/>
      <c r="AB40" s="565"/>
      <c r="AC40" s="565"/>
      <c r="AD40" s="565"/>
      <c r="AE40" s="565"/>
      <c r="AF40" s="565"/>
      <c r="AG40" s="565"/>
      <c r="AH40" s="565"/>
      <c r="AI40" s="565"/>
      <c r="AJ40" s="565"/>
      <c r="AK40" s="565"/>
      <c r="AL40" s="565"/>
      <c r="AM40" s="565"/>
      <c r="AN40" s="565"/>
      <c r="AO40" s="565"/>
      <c r="AP40" s="565"/>
      <c r="AQ40" s="565"/>
      <c r="AR40" s="565"/>
      <c r="AS40" s="565"/>
      <c r="AT40" s="642"/>
      <c r="AU40" s="642"/>
    </row>
    <row r="41" spans="1:53" ht="147" customHeight="1">
      <c r="A41" s="645" t="s">
        <v>128</v>
      </c>
      <c r="B41" s="63" t="s">
        <v>131</v>
      </c>
      <c r="C41" s="641" t="s">
        <v>656</v>
      </c>
      <c r="D41" s="873"/>
      <c r="E41" s="565"/>
      <c r="F41" s="564"/>
      <c r="G41" s="565"/>
      <c r="H41" s="565"/>
      <c r="I41" s="565"/>
      <c r="J41" s="565"/>
      <c r="K41" s="565"/>
      <c r="L41" s="565"/>
      <c r="M41" s="642"/>
      <c r="N41" s="565"/>
      <c r="O41" s="565"/>
      <c r="P41" s="565"/>
      <c r="Q41" s="565"/>
      <c r="R41" s="565"/>
      <c r="S41" s="565"/>
      <c r="T41" s="565"/>
      <c r="U41" s="565">
        <f t="shared" ref="U41" si="68">SUM(N41:T41)</f>
        <v>0</v>
      </c>
      <c r="V41" s="565"/>
      <c r="W41" s="565"/>
      <c r="X41" s="565"/>
      <c r="Y41" s="565"/>
      <c r="Z41" s="565"/>
      <c r="AA41" s="565"/>
      <c r="AB41" s="565"/>
      <c r="AC41" s="565"/>
      <c r="AD41" s="565"/>
      <c r="AE41" s="565"/>
      <c r="AF41" s="565"/>
      <c r="AG41" s="565"/>
      <c r="AH41" s="565"/>
      <c r="AI41" s="565"/>
      <c r="AJ41" s="565"/>
      <c r="AK41" s="565"/>
      <c r="AL41" s="565"/>
      <c r="AM41" s="565"/>
      <c r="AN41" s="565"/>
      <c r="AO41" s="565"/>
      <c r="AP41" s="565"/>
      <c r="AQ41" s="565"/>
      <c r="AR41" s="565"/>
      <c r="AS41" s="565"/>
      <c r="AT41" s="642"/>
      <c r="AU41" s="642"/>
    </row>
    <row r="42" spans="1:53" s="673" customFormat="1" ht="147" customHeight="1">
      <c r="A42" s="668"/>
      <c r="B42" s="669"/>
      <c r="C42" s="658"/>
      <c r="D42" s="870"/>
      <c r="E42" s="671">
        <f t="shared" ref="E42" si="69">N42+V42+AD42+AL42</f>
        <v>8355887669.2378302</v>
      </c>
      <c r="F42" s="671">
        <f t="shared" ref="F42" si="70">O42+W42+AE42+AM42</f>
        <v>4044215467.4700003</v>
      </c>
      <c r="G42" s="671">
        <f t="shared" ref="G42" si="71">P42+X42+AF42+AN42</f>
        <v>0</v>
      </c>
      <c r="H42" s="671">
        <f t="shared" ref="H42" si="72">Q42+Y42+AG42+AO42</f>
        <v>0</v>
      </c>
      <c r="I42" s="671">
        <f t="shared" ref="I42" si="73">R42+Z42+AH42+AP42</f>
        <v>57207609853.410004</v>
      </c>
      <c r="J42" s="671">
        <f t="shared" ref="J42" si="74">S42+AA42+AI42+AQ42</f>
        <v>122900000000</v>
      </c>
      <c r="K42" s="671">
        <f t="shared" ref="K42" si="75">T42+AB42+AJ42+AR42</f>
        <v>14095788414.608999</v>
      </c>
      <c r="L42" s="671">
        <f>SUM(E42:K42)</f>
        <v>206603501404.72684</v>
      </c>
      <c r="M42" s="670"/>
      <c r="N42" s="671">
        <f>N43</f>
        <v>2982113060.8599997</v>
      </c>
      <c r="O42" s="671">
        <f t="shared" ref="O42:T42" si="76">O43</f>
        <v>3446876866.2200003</v>
      </c>
      <c r="P42" s="671">
        <f t="shared" si="76"/>
        <v>0</v>
      </c>
      <c r="Q42" s="671">
        <f t="shared" si="76"/>
        <v>0</v>
      </c>
      <c r="R42" s="671">
        <f t="shared" si="76"/>
        <v>8631182318.8299999</v>
      </c>
      <c r="S42" s="671">
        <f t="shared" si="76"/>
        <v>36100000000</v>
      </c>
      <c r="T42" s="671">
        <f t="shared" si="76"/>
        <v>13577427271.049999</v>
      </c>
      <c r="U42" s="671">
        <f t="shared" si="11"/>
        <v>64737599516.960007</v>
      </c>
      <c r="V42" s="671">
        <f>V43</f>
        <v>1724588715.467</v>
      </c>
      <c r="W42" s="671">
        <f t="shared" ref="W42:AB42" si="77">W43</f>
        <v>219862500</v>
      </c>
      <c r="X42" s="671">
        <f t="shared" si="77"/>
        <v>0</v>
      </c>
      <c r="Y42" s="671">
        <f t="shared" si="77"/>
        <v>0</v>
      </c>
      <c r="Z42" s="671">
        <f t="shared" si="77"/>
        <v>16539309372.690002</v>
      </c>
      <c r="AA42" s="671">
        <f t="shared" si="77"/>
        <v>34400000000</v>
      </c>
      <c r="AB42" s="671">
        <f t="shared" si="77"/>
        <v>236694586.09999999</v>
      </c>
      <c r="AC42" s="671">
        <f t="shared" ref="AC42" si="78">AC43</f>
        <v>53120455174.256996</v>
      </c>
      <c r="AD42" s="671">
        <f t="shared" ref="AD42" si="79">AD43</f>
        <v>1790778729.47</v>
      </c>
      <c r="AE42" s="671">
        <f t="shared" ref="AE42" si="80">AE43</f>
        <v>198378375</v>
      </c>
      <c r="AF42" s="671">
        <f t="shared" ref="AF42" si="81">AF43</f>
        <v>0</v>
      </c>
      <c r="AG42" s="671">
        <f t="shared" ref="AG42" si="82">AG43</f>
        <v>0</v>
      </c>
      <c r="AH42" s="671">
        <f t="shared" ref="AH42" si="83">AH43</f>
        <v>15900087505.98</v>
      </c>
      <c r="AI42" s="671">
        <f t="shared" ref="AI42" si="84">AI43</f>
        <v>28000000000</v>
      </c>
      <c r="AJ42" s="671">
        <f t="shared" ref="AJ42" si="85">AJ43</f>
        <v>165686210.26999998</v>
      </c>
      <c r="AK42" s="671">
        <f t="shared" ref="AK42" si="86">AK43</f>
        <v>46054930820.719994</v>
      </c>
      <c r="AL42" s="671">
        <f t="shared" ref="AL42" si="87">AL43</f>
        <v>1858407163.44083</v>
      </c>
      <c r="AM42" s="671">
        <f t="shared" ref="AM42" si="88">AM43</f>
        <v>179097726.25</v>
      </c>
      <c r="AN42" s="671">
        <f t="shared" ref="AN42" si="89">AN43</f>
        <v>0</v>
      </c>
      <c r="AO42" s="671">
        <f t="shared" ref="AO42" si="90">AO43</f>
        <v>0</v>
      </c>
      <c r="AP42" s="671">
        <f t="shared" ref="AP42" si="91">AP43</f>
        <v>16137030655.91</v>
      </c>
      <c r="AQ42" s="671">
        <f t="shared" ref="AQ42" si="92">AQ43</f>
        <v>24400000000</v>
      </c>
      <c r="AR42" s="671">
        <f t="shared" ref="AR42" si="93">AR43</f>
        <v>115980347.18900001</v>
      </c>
      <c r="AS42" s="671">
        <f>SUM(AL42:AR42)</f>
        <v>42690515892.789833</v>
      </c>
      <c r="AT42" s="670"/>
      <c r="AU42" s="670"/>
      <c r="AV42" s="672"/>
      <c r="AW42" s="672"/>
      <c r="AX42" s="672"/>
      <c r="AY42" s="672"/>
    </row>
    <row r="43" spans="1:53" s="653" customFormat="1" ht="147" customHeight="1">
      <c r="A43" s="663"/>
      <c r="B43" s="664"/>
      <c r="C43" s="661"/>
      <c r="D43" s="871">
        <f>(E43+I43+K43)/($E$5+$I$5+$K$5)</f>
        <v>0.23357910149784078</v>
      </c>
      <c r="E43" s="666">
        <f t="shared" ref="E43" si="94">N43+V43+AD43+AL43</f>
        <v>8355887669.2378302</v>
      </c>
      <c r="F43" s="666">
        <f t="shared" ref="F43" si="95">O43+W43+AE43+AM43</f>
        <v>4044215467.4700003</v>
      </c>
      <c r="G43" s="666">
        <f t="shared" ref="G43" si="96">P43+X43+AF43+AN43</f>
        <v>0</v>
      </c>
      <c r="H43" s="666">
        <f t="shared" ref="H43" si="97">Q43+Y43+AG43+AO43</f>
        <v>0</v>
      </c>
      <c r="I43" s="666">
        <f t="shared" ref="I43" si="98">R43+Z43+AH43+AP43</f>
        <v>57207609853.410004</v>
      </c>
      <c r="J43" s="666">
        <f t="shared" ref="J43" si="99">S43+AA43+AI43+AQ43</f>
        <v>122900000000</v>
      </c>
      <c r="K43" s="666">
        <f t="shared" ref="K43" si="100">T43+AB43+AJ43+AR43</f>
        <v>14095788414.608999</v>
      </c>
      <c r="L43" s="666">
        <f>SUM(E43:K43)</f>
        <v>206603501404.72684</v>
      </c>
      <c r="M43" s="665"/>
      <c r="N43" s="666">
        <f>'HOMOLOGACION 2020'!B12+796872133.78+32157677.08</f>
        <v>2982113060.8599997</v>
      </c>
      <c r="O43" s="666">
        <f>'HOMOLOGACION 2020'!D12+1948124491.17+2051874508.83-796872133.78</f>
        <v>3446876866.2200003</v>
      </c>
      <c r="P43" s="666"/>
      <c r="Q43" s="666"/>
      <c r="R43" s="666">
        <v>8631182318.8299999</v>
      </c>
      <c r="S43" s="666">
        <v>36100000000</v>
      </c>
      <c r="T43" s="666">
        <f>'HOMOLOGACION 2020'!I12+3581575096.05</f>
        <v>13577427271.049999</v>
      </c>
      <c r="U43" s="666">
        <f t="shared" si="11"/>
        <v>64737599516.960007</v>
      </c>
      <c r="V43" s="666">
        <f>1724588715.471-0.004</f>
        <v>1724588715.467</v>
      </c>
      <c r="W43" s="666">
        <f>ESTAMPILLAS!P37</f>
        <v>219862500</v>
      </c>
      <c r="X43" s="666"/>
      <c r="Y43" s="666"/>
      <c r="Z43" s="666">
        <f>'RESUMEN PLAN FINANCIERO'!E15*0.1+9122578712.29</f>
        <v>16539309372.690002</v>
      </c>
      <c r="AA43" s="666">
        <v>34400000000</v>
      </c>
      <c r="AB43" s="666">
        <f>'RESUMEN PLAN FINANCIERO'!E16*0.1+130553516.1</f>
        <v>236694586.09999999</v>
      </c>
      <c r="AC43" s="666">
        <f>SUM(V43:AB43)</f>
        <v>53120455174.256996</v>
      </c>
      <c r="AD43" s="666">
        <f>'RESUMEN PLAN FINANCIERO'!$F$11*0.1+987738940.47</f>
        <v>1790778729.47</v>
      </c>
      <c r="AE43" s="666">
        <f>ESTAMPILLAS!P59</f>
        <v>198378375</v>
      </c>
      <c r="AF43" s="666"/>
      <c r="AG43" s="666"/>
      <c r="AH43" s="685">
        <f>'RESUMEN PLAN FINANCIERO'!$F$15*0.1+8770003422.58</f>
        <v>15900087505.98</v>
      </c>
      <c r="AI43" s="666">
        <v>28000000000</v>
      </c>
      <c r="AJ43" s="685">
        <f>'RESUMEN PLAN FINANCIERO'!$F$16*0.1+91387461.27</f>
        <v>165686210.26999998</v>
      </c>
      <c r="AK43" s="666">
        <f>SUBTOTAL(9,AD43:AJ43)</f>
        <v>46054930820.719994</v>
      </c>
      <c r="AL43" s="666">
        <f>'RESUMEN PLAN FINANCIERO'!$G$11*0.1+1025040722.44-0.004</f>
        <v>1858407163.44083</v>
      </c>
      <c r="AM43" s="666">
        <f>ESTAMPILLAS!P82</f>
        <v>179097726.25</v>
      </c>
      <c r="AN43" s="666"/>
      <c r="AO43" s="666"/>
      <c r="AP43" s="685">
        <f>'RESUMEN PLAN FINANCIERO'!$G$15*0.1+8900694038.91</f>
        <v>16137030655.91</v>
      </c>
      <c r="AQ43" s="666">
        <v>24400000000</v>
      </c>
      <c r="AR43" s="685">
        <f>'RESUMEN PLAN FINANCIERO'!$G$16*0.1+63971222.889</f>
        <v>115980347.18900001</v>
      </c>
      <c r="AS43" s="666">
        <f>SUM(AL43:AR43)</f>
        <v>42690515892.789833</v>
      </c>
      <c r="AT43" s="665"/>
      <c r="AU43" s="665"/>
      <c r="AV43" s="652"/>
      <c r="AW43" s="652"/>
      <c r="AX43" s="652"/>
      <c r="AY43" s="652"/>
    </row>
    <row r="44" spans="1:53" s="55" customFormat="1" ht="147" customHeight="1">
      <c r="A44" s="58" t="s">
        <v>132</v>
      </c>
      <c r="B44" s="59" t="s">
        <v>133</v>
      </c>
      <c r="C44" s="76" t="s">
        <v>657</v>
      </c>
      <c r="D44" s="874"/>
      <c r="E44" s="566"/>
      <c r="F44" s="566"/>
      <c r="G44" s="566"/>
      <c r="H44" s="566"/>
      <c r="I44" s="566"/>
      <c r="J44" s="566"/>
      <c r="K44" s="566"/>
      <c r="L44" s="567"/>
      <c r="M44" s="60">
        <v>10</v>
      </c>
      <c r="N44" s="566"/>
      <c r="O44" s="566"/>
      <c r="P44" s="566"/>
      <c r="Q44" s="566"/>
      <c r="R44" s="566"/>
      <c r="S44" s="566"/>
      <c r="T44" s="566"/>
      <c r="U44" s="566">
        <f t="shared" si="11"/>
        <v>0</v>
      </c>
      <c r="V44" s="566"/>
      <c r="W44" s="566"/>
      <c r="X44" s="566"/>
      <c r="Y44" s="566"/>
      <c r="Z44" s="566"/>
      <c r="AA44" s="566"/>
      <c r="AB44" s="566"/>
      <c r="AC44" s="567"/>
      <c r="AD44" s="566"/>
      <c r="AE44" s="566"/>
      <c r="AF44" s="566"/>
      <c r="AG44" s="566"/>
      <c r="AH44" s="566"/>
      <c r="AI44" s="566"/>
      <c r="AJ44" s="566"/>
      <c r="AK44" s="567"/>
      <c r="AL44" s="566"/>
      <c r="AM44" s="566"/>
      <c r="AN44" s="566"/>
      <c r="AO44" s="566"/>
      <c r="AP44" s="566"/>
      <c r="AQ44" s="566"/>
      <c r="AR44" s="847"/>
      <c r="AS44" s="567"/>
      <c r="AT44" s="60">
        <f t="shared" si="12"/>
        <v>3.4482758620689653</v>
      </c>
      <c r="AU44" s="60">
        <f t="shared" si="12"/>
        <v>3.4482758620689653</v>
      </c>
      <c r="AZ44" s="52"/>
      <c r="BA44" s="52"/>
    </row>
    <row r="45" spans="1:53" s="55" customFormat="1" ht="147" customHeight="1">
      <c r="A45" s="58" t="s">
        <v>132</v>
      </c>
      <c r="B45" s="59" t="s">
        <v>133</v>
      </c>
      <c r="C45" s="643" t="s">
        <v>658</v>
      </c>
      <c r="D45" s="875"/>
      <c r="E45" s="567"/>
      <c r="F45" s="566"/>
      <c r="G45" s="567"/>
      <c r="H45" s="567"/>
      <c r="I45" s="567"/>
      <c r="J45" s="567"/>
      <c r="K45" s="567"/>
      <c r="L45" s="567"/>
      <c r="M45" s="644"/>
      <c r="N45" s="567"/>
      <c r="O45" s="567"/>
      <c r="P45" s="567"/>
      <c r="Q45" s="567"/>
      <c r="R45" s="567"/>
      <c r="S45" s="567"/>
      <c r="T45" s="567"/>
      <c r="U45" s="567">
        <f t="shared" si="11"/>
        <v>0</v>
      </c>
      <c r="V45" s="567"/>
      <c r="W45" s="567"/>
      <c r="X45" s="567"/>
      <c r="Y45" s="567"/>
      <c r="Z45" s="567"/>
      <c r="AA45" s="567"/>
      <c r="AB45" s="567"/>
      <c r="AC45" s="567"/>
      <c r="AD45" s="567"/>
      <c r="AE45" s="567"/>
      <c r="AF45" s="567"/>
      <c r="AG45" s="567"/>
      <c r="AH45" s="567"/>
      <c r="AI45" s="567"/>
      <c r="AJ45" s="567"/>
      <c r="AK45" s="567"/>
      <c r="AL45" s="853"/>
      <c r="AM45" s="567"/>
      <c r="AN45" s="567"/>
      <c r="AO45" s="567"/>
      <c r="AP45" s="567"/>
      <c r="AQ45" s="567"/>
      <c r="AR45" s="567"/>
      <c r="AS45" s="567"/>
      <c r="AT45" s="644"/>
      <c r="AU45" s="644"/>
      <c r="AZ45" s="52"/>
      <c r="BA45" s="52"/>
    </row>
    <row r="46" spans="1:53" s="55" customFormat="1" ht="147" customHeight="1">
      <c r="A46" s="58" t="s">
        <v>132</v>
      </c>
      <c r="B46" s="59" t="s">
        <v>133</v>
      </c>
      <c r="C46" s="643" t="s">
        <v>659</v>
      </c>
      <c r="D46" s="875"/>
      <c r="E46" s="567"/>
      <c r="F46" s="566"/>
      <c r="G46" s="567"/>
      <c r="H46" s="567"/>
      <c r="I46" s="567"/>
      <c r="J46" s="567"/>
      <c r="K46" s="567"/>
      <c r="L46" s="567"/>
      <c r="M46" s="644"/>
      <c r="N46" s="567"/>
      <c r="O46" s="567"/>
      <c r="P46" s="567"/>
      <c r="Q46" s="567"/>
      <c r="R46" s="567"/>
      <c r="S46" s="567"/>
      <c r="T46" s="567"/>
      <c r="U46" s="567">
        <f t="shared" si="11"/>
        <v>0</v>
      </c>
      <c r="V46" s="567"/>
      <c r="W46" s="567"/>
      <c r="X46" s="567"/>
      <c r="Y46" s="567"/>
      <c r="Z46" s="567"/>
      <c r="AA46" s="567"/>
      <c r="AB46" s="567"/>
      <c r="AC46" s="567"/>
      <c r="AD46" s="567"/>
      <c r="AE46" s="567"/>
      <c r="AF46" s="567"/>
      <c r="AG46" s="567"/>
      <c r="AH46" s="567"/>
      <c r="AI46" s="567"/>
      <c r="AJ46" s="567"/>
      <c r="AK46" s="567"/>
      <c r="AL46" s="567"/>
      <c r="AM46" s="567"/>
      <c r="AN46" s="567"/>
      <c r="AO46" s="567"/>
      <c r="AP46" s="567"/>
      <c r="AQ46" s="567"/>
      <c r="AR46" s="567"/>
      <c r="AS46" s="567"/>
      <c r="AT46" s="644"/>
      <c r="AU46" s="644"/>
      <c r="AZ46" s="52"/>
      <c r="BA46" s="52"/>
    </row>
    <row r="47" spans="1:53" s="55" customFormat="1" ht="147" customHeight="1">
      <c r="A47" s="58" t="s">
        <v>132</v>
      </c>
      <c r="B47" s="59" t="s">
        <v>133</v>
      </c>
      <c r="C47" s="643" t="s">
        <v>660</v>
      </c>
      <c r="D47" s="875"/>
      <c r="E47" s="567"/>
      <c r="F47" s="566"/>
      <c r="G47" s="567"/>
      <c r="H47" s="567"/>
      <c r="I47" s="567"/>
      <c r="J47" s="567"/>
      <c r="K47" s="567"/>
      <c r="L47" s="567"/>
      <c r="M47" s="644"/>
      <c r="N47" s="567"/>
      <c r="O47" s="567"/>
      <c r="P47" s="567"/>
      <c r="Q47" s="567"/>
      <c r="R47" s="567"/>
      <c r="S47" s="567"/>
      <c r="T47" s="567"/>
      <c r="U47" s="567">
        <f t="shared" ref="U47" si="101">SUM(N47:T47)</f>
        <v>0</v>
      </c>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644"/>
      <c r="AU47" s="644"/>
      <c r="AZ47" s="52"/>
      <c r="BA47" s="52"/>
    </row>
    <row r="48" spans="1:53" s="657" customFormat="1" ht="147" customHeight="1">
      <c r="A48" s="658"/>
      <c r="B48" s="658"/>
      <c r="C48" s="658"/>
      <c r="D48" s="864"/>
      <c r="E48" s="660">
        <f t="shared" ref="E48" si="102">N48+V48+AD48+AL48</f>
        <v>11877045931.396614</v>
      </c>
      <c r="F48" s="660">
        <f t="shared" ref="F48" si="103">O48+W48+AE48+AM48</f>
        <v>72611829777.649994</v>
      </c>
      <c r="G48" s="660">
        <f t="shared" ref="G48" si="104">P48+X48+AF48+AN48</f>
        <v>752905601773.56787</v>
      </c>
      <c r="H48" s="660">
        <f t="shared" ref="H48" si="105">Q48+Y48+AG48+AO48</f>
        <v>0</v>
      </c>
      <c r="I48" s="660">
        <f t="shared" ref="I48" si="106">R48+Z48+AH48+AP48</f>
        <v>108672857768.95001</v>
      </c>
      <c r="J48" s="660">
        <f t="shared" ref="J48" si="107">S48+AA48+AI48+AQ48</f>
        <v>87116304145.928497</v>
      </c>
      <c r="K48" s="660">
        <f t="shared" ref="K48" si="108">T48+AB48+AJ48+AR48</f>
        <v>2101948854.3850002</v>
      </c>
      <c r="L48" s="660">
        <f>SUM(E48:K48)</f>
        <v>1035285588251.8779</v>
      </c>
      <c r="M48" s="659"/>
      <c r="N48" s="660">
        <f>N49+N51+N54+N57+N59+N61+N63+N65+N67+N72+N74+N76</f>
        <v>3563358757</v>
      </c>
      <c r="O48" s="660">
        <f t="shared" ref="O48:S48" si="109">O49+O51+O54+O57+O59+O61+O63+O65+O67+O72+O74+O76</f>
        <v>23418432366.400002</v>
      </c>
      <c r="P48" s="660">
        <f t="shared" si="109"/>
        <v>186152127921.75</v>
      </c>
      <c r="Q48" s="660">
        <f t="shared" si="109"/>
        <v>0</v>
      </c>
      <c r="R48" s="660">
        <f t="shared" si="109"/>
        <v>36520985574.190002</v>
      </c>
      <c r="S48" s="660">
        <f t="shared" si="109"/>
        <v>673071310.5553</v>
      </c>
      <c r="T48" s="660">
        <f>T49+T51+T54+T57+T59+T61+T63+T65+T67+T72+T74+T76</f>
        <v>1300000000</v>
      </c>
      <c r="U48" s="660">
        <f t="shared" si="11"/>
        <v>251627975929.89529</v>
      </c>
      <c r="V48" s="660">
        <f>V49+V51+V54+V57+V59+V61+V63+V65+V67+V72+V74+V76</f>
        <v>2668085680.8799505</v>
      </c>
      <c r="W48" s="660">
        <f>W49+W51+W54+W57+W59+W61+W63+W65+W67+W72+W74+W76</f>
        <v>19033692500</v>
      </c>
      <c r="X48" s="660">
        <f t="shared" ref="X48:AB48" si="110">X49+X51+X54+X57+X59+X61+X63+X65+X67+X72+X74+X76</f>
        <v>187041300600.41428</v>
      </c>
      <c r="Y48" s="660">
        <f t="shared" si="110"/>
        <v>0</v>
      </c>
      <c r="Z48" s="660">
        <f t="shared" si="110"/>
        <v>24587720778.379997</v>
      </c>
      <c r="AA48" s="660">
        <f t="shared" si="110"/>
        <v>27932511125.3232</v>
      </c>
      <c r="AB48" s="660">
        <f t="shared" si="110"/>
        <v>366186691.5</v>
      </c>
      <c r="AC48" s="660">
        <f>AC49+AC51+AC54+AC57+AC59+AC61+AC63+AC65+AC67+AC72+AC74+AC76</f>
        <v>261629497376.49744</v>
      </c>
      <c r="AD48" s="660">
        <f t="shared" ref="AD48" si="111">AD49+AD51+AD54+AD57+AD59+AD61+AD63+AD65+AD67+AD72+AD74+AD76</f>
        <v>2770487272.0500002</v>
      </c>
      <c r="AE48" s="660">
        <f t="shared" ref="AE48" si="112">AE49+AE51+AE54+AE57+AE59+AE61+AE63+AE65+AE67+AE72+AE74+AE76</f>
        <v>18666685375</v>
      </c>
      <c r="AF48" s="660">
        <f t="shared" ref="AF48" si="113">AF49+AF51+AF54+AF57+AF59+AF61+AF63+AF65+AF67+AF72+AF74+AF76</f>
        <v>188911583677.31885</v>
      </c>
      <c r="AG48" s="660">
        <f t="shared" ref="AG48" si="114">AG49+AG51+AG54+AG57+AG59+AG61+AG63+AG65+AG67+AG72+AG74+AG76</f>
        <v>0</v>
      </c>
      <c r="AH48" s="660">
        <f t="shared" ref="AH48" si="115">AH49+AH51+AH54+AH57+AH59+AH61+AH63+AH65+AH67+AH72+AH74+AH76</f>
        <v>23598790087.730003</v>
      </c>
      <c r="AI48" s="660">
        <f t="shared" ref="AI48" si="116">AI49+AI51+AI54+AI57+AI59+AI61+AI63+AI65+AI67+AI72+AI74+AI76</f>
        <v>26029832216.93</v>
      </c>
      <c r="AJ48" s="660">
        <f t="shared" ref="AJ48" si="117">AJ49+AJ51+AJ54+AJ57+AJ59+AJ61+AJ63+AJ65+AJ67+AJ72+AJ74+AJ76</f>
        <v>256330684.05000007</v>
      </c>
      <c r="AK48" s="660">
        <f t="shared" ref="AK48" si="118">AK49+AK51+AK54+AK57+AK59+AK61+AK63+AK65+AK67+AK72+AK74+AK76</f>
        <v>260233709313.07892</v>
      </c>
      <c r="AL48" s="660">
        <f t="shared" ref="AL48" si="119">AL49+AL51+AL54+AL57+AL59+AL61+AL63+AL65+AL67+AL72+AL74+AL76</f>
        <v>2875114221.4666629</v>
      </c>
      <c r="AM48" s="660">
        <f t="shared" ref="AM48" si="120">AM49+AM51+AM54+AM57+AM59+AM61+AM63+AM65+AM67+AM72+AM74+AM76</f>
        <v>11493019536.25</v>
      </c>
      <c r="AN48" s="660">
        <f t="shared" ref="AN48" si="121">AN49+AN51+AN54+AN57+AN59+AN61+AN63+AN65+AN67+AN72+AN74+AN76</f>
        <v>190800589574.08466</v>
      </c>
      <c r="AO48" s="660">
        <f t="shared" ref="AO48" si="122">AO49+AO51+AO54+AO57+AO59+AO61+AO63+AO65+AO67+AO72+AO74+AO76</f>
        <v>0</v>
      </c>
      <c r="AP48" s="660">
        <f t="shared" ref="AP48" si="123">AP49+AP51+AP54+AP57+AP59+AP61+AP63+AP65+AP67+AP72+AP74+AP76</f>
        <v>23965361328.650002</v>
      </c>
      <c r="AQ48" s="660">
        <f t="shared" ref="AQ48" si="124">AQ49+AQ51+AQ54+AQ57+AQ59+AQ61+AQ63+AQ65+AQ67+AQ72+AQ74+AQ76</f>
        <v>32480889493.119999</v>
      </c>
      <c r="AR48" s="660">
        <f t="shared" ref="AR48" si="125">AR49+AR51+AR54+AR57+AR59+AR61+AR63+AR65+AR67+AR72+AR74+AR76</f>
        <v>179431478.83499998</v>
      </c>
      <c r="AS48" s="660">
        <f>SUM(AL48:AR48)</f>
        <v>261794405632.40631</v>
      </c>
      <c r="AT48" s="658"/>
      <c r="AU48" s="658"/>
      <c r="AV48" s="656"/>
      <c r="AW48" s="656"/>
      <c r="AX48" s="656"/>
      <c r="AY48" s="656"/>
    </row>
    <row r="49" spans="1:53" s="653" customFormat="1" ht="147" customHeight="1">
      <c r="A49" s="663"/>
      <c r="B49" s="664"/>
      <c r="C49" s="661"/>
      <c r="D49" s="871">
        <f>(E49+I49+K49)/($E$5+$I$5+$K$5)</f>
        <v>0.10923063191098001</v>
      </c>
      <c r="E49" s="666">
        <f t="shared" ref="E49" si="126">N49+V49+AD49+AL49</f>
        <v>1927811518.700664</v>
      </c>
      <c r="F49" s="666">
        <f t="shared" ref="F49" si="127">O49+W49+AE49+AM49</f>
        <v>48505021079.989998</v>
      </c>
      <c r="G49" s="666">
        <f t="shared" ref="G49" si="128">P49+X49+AF49+AN49</f>
        <v>752905601773.56787</v>
      </c>
      <c r="H49" s="666">
        <f t="shared" ref="H49" si="129">Q49+Y49+AG49+AO49</f>
        <v>0</v>
      </c>
      <c r="I49" s="666">
        <f t="shared" ref="I49" si="130">R49+Z49+AH49+AP49</f>
        <v>35137995793.380005</v>
      </c>
      <c r="J49" s="666">
        <f t="shared" ref="J49" si="131">S49+AA49+AI49+AQ49</f>
        <v>70882037540.743195</v>
      </c>
      <c r="K49" s="666">
        <f t="shared" ref="K49" si="132">T49+AB49+AJ49+AR49</f>
        <v>185959154.63999999</v>
      </c>
      <c r="L49" s="666">
        <f>SUM(E49:K49)</f>
        <v>909544426861.02173</v>
      </c>
      <c r="M49" s="665"/>
      <c r="N49" s="666">
        <f>'HOMOLOGACION 2020'!B13-246663066.68-688762741.32</f>
        <v>0</v>
      </c>
      <c r="O49" s="854">
        <f>'HOMOLOGACION 2020'!C13+'HOMOLOGACION 2020'!D13-3547226160-584434.87+361819597.11</f>
        <v>16597841891.24</v>
      </c>
      <c r="P49" s="666">
        <f>'HOMOLOGACION 2020'!E13+962747542.75</f>
        <v>186152127921.75</v>
      </c>
      <c r="Q49" s="666"/>
      <c r="R49" s="854">
        <f>21955080654.93+6000000000-1446894338.19-1500000000</f>
        <v>25008186316.740002</v>
      </c>
      <c r="S49" s="667"/>
      <c r="T49" s="666"/>
      <c r="U49" s="666">
        <f t="shared" si="11"/>
        <v>227758156129.72998</v>
      </c>
      <c r="V49" s="666">
        <f>'RESUMEN PLAN FINANCIERO'!E11*0.08</f>
        <v>618686534.69679999</v>
      </c>
      <c r="W49" s="854">
        <f>ESTAMPILLAS!M37+ESTAMPILLAS!R37+'PLAN FINANCIERO COMPLETO'!J101+'PLAN FINANCIERO COMPLETO'!J103+'PLAN FINANCIERO COMPLETO'!J111-3547226160</f>
        <v>13067611340</v>
      </c>
      <c r="X49" s="666">
        <f>'RESUMEN PLAN FINANCIERO'!E13</f>
        <v>187041300600.41428</v>
      </c>
      <c r="Y49" s="666"/>
      <c r="Z49" s="854">
        <f>'RESUMEN PLAN FINANCIERO'!E15*0.08-1932237204-300000000-200000000</f>
        <v>3501147324.3199997</v>
      </c>
      <c r="AA49" s="859">
        <v>22501345610.1432</v>
      </c>
      <c r="AB49" s="666">
        <f>'RESUMEN PLAN FINANCIERO'!E16*0.08</f>
        <v>84912856</v>
      </c>
      <c r="AC49" s="666">
        <f>SUM(V49:AB49)</f>
        <v>226815004265.57428</v>
      </c>
      <c r="AD49" s="666">
        <f>'RESUMEN PLAN FINANCIERO'!$F$11*0.08</f>
        <v>642431831.20000005</v>
      </c>
      <c r="AE49" s="854">
        <f>'PLAN FINANCIERO COMPLETO'!K101+'PLAN FINANCIERO COMPLETO'!K103+'PLAN FINANCIERO COMPLETO'!K111+ESTAMPILLAS!M59+ESTAMPILLAS!R59-3547226160</f>
        <v>12912164465</v>
      </c>
      <c r="AF49" s="666">
        <f>'RESUMEN PLAN FINANCIERO'!F13</f>
        <v>188911583677.31885</v>
      </c>
      <c r="AG49" s="666"/>
      <c r="AH49" s="857">
        <f>'RESUMEN PLAN FINANCIERO'!$F$15*0.08-1932237204-300000000-200000000</f>
        <v>3271830062.7200003</v>
      </c>
      <c r="AI49" s="859">
        <v>21001345610.139999</v>
      </c>
      <c r="AJ49" s="685">
        <f>'RESUMEN PLAN FINANCIERO'!$F$16*0.08</f>
        <v>59438999.200000003</v>
      </c>
      <c r="AK49" s="666">
        <f>SUBTOTAL(9,AD49:AJ49)</f>
        <v>226798794645.57886</v>
      </c>
      <c r="AL49" s="666">
        <f>'RESUMEN PLAN FINANCIERO'!$G$11*0.08</f>
        <v>666693152.803864</v>
      </c>
      <c r="AM49" s="854">
        <f>'PLAN FINANCIERO COMPLETO'!L101+'PLAN FINANCIERO COMPLETO'!L103+'PLAN FINANCIERO COMPLETO'!L111+ESTAMPILLAS!M82+ESTAMPILLAS!R82-3547226160</f>
        <v>5927403383.75</v>
      </c>
      <c r="AN49" s="666">
        <f>'RESUMEN PLAN FINANCIERO'!G13</f>
        <v>190800589574.08466</v>
      </c>
      <c r="AO49" s="666"/>
      <c r="AP49" s="857">
        <f>'RESUMEN PLAN FINANCIERO'!$G$15*0.08-1932237204-300000000-200000000</f>
        <v>3356832089.6000004</v>
      </c>
      <c r="AQ49" s="666">
        <v>27379346320.459999</v>
      </c>
      <c r="AR49" s="685">
        <f>'RESUMEN PLAN FINANCIERO'!$G$16*0.08</f>
        <v>41607299.439999998</v>
      </c>
      <c r="AS49" s="666">
        <f>SUM(AL49:AR49)</f>
        <v>228172471820.13852</v>
      </c>
      <c r="AT49" s="665"/>
      <c r="AU49" s="665"/>
      <c r="AV49" s="652"/>
      <c r="AW49" s="652"/>
      <c r="AX49" s="652"/>
      <c r="AY49" s="652"/>
    </row>
    <row r="50" spans="1:53" s="55" customFormat="1" ht="147" customHeight="1">
      <c r="A50" s="648" t="s">
        <v>134</v>
      </c>
      <c r="B50" s="61" t="s">
        <v>135</v>
      </c>
      <c r="C50" s="77" t="s">
        <v>661</v>
      </c>
      <c r="D50" s="876"/>
      <c r="E50" s="568"/>
      <c r="F50" s="568"/>
      <c r="G50" s="568"/>
      <c r="H50" s="568"/>
      <c r="I50" s="568"/>
      <c r="J50" s="568"/>
      <c r="K50" s="568"/>
      <c r="L50" s="569"/>
      <c r="M50" s="62">
        <v>8</v>
      </c>
      <c r="N50" s="568"/>
      <c r="O50" s="568"/>
      <c r="P50" s="568"/>
      <c r="Q50" s="568"/>
      <c r="R50" s="568"/>
      <c r="S50" s="568"/>
      <c r="T50" s="568"/>
      <c r="U50" s="568">
        <f t="shared" si="11"/>
        <v>0</v>
      </c>
      <c r="V50" s="568"/>
      <c r="W50" s="568"/>
      <c r="X50" s="568"/>
      <c r="Y50" s="568"/>
      <c r="Z50" s="568"/>
      <c r="AA50" s="568"/>
      <c r="AB50" s="568"/>
      <c r="AC50" s="569"/>
      <c r="AD50" s="568"/>
      <c r="AE50" s="568"/>
      <c r="AF50" s="568"/>
      <c r="AG50" s="568"/>
      <c r="AH50" s="568"/>
      <c r="AI50" s="568"/>
      <c r="AJ50" s="568"/>
      <c r="AK50" s="569"/>
      <c r="AL50" s="568"/>
      <c r="AM50" s="568"/>
      <c r="AN50" s="568"/>
      <c r="AO50" s="568"/>
      <c r="AP50" s="568"/>
      <c r="AQ50" s="568"/>
      <c r="AR50" s="568"/>
      <c r="AS50" s="569"/>
      <c r="AT50" s="62">
        <f t="shared" si="12"/>
        <v>3.4482758620689653</v>
      </c>
      <c r="AU50" s="62">
        <f t="shared" si="12"/>
        <v>3.4482758620689653</v>
      </c>
      <c r="AZ50" s="52"/>
      <c r="BA50" s="52"/>
    </row>
    <row r="51" spans="1:53" s="653" customFormat="1" ht="147" customHeight="1">
      <c r="A51" s="663"/>
      <c r="B51" s="664"/>
      <c r="C51" s="661"/>
      <c r="D51" s="871">
        <f>(E51+I51+K51)/($E$5+$I$5+$K$5)</f>
        <v>2.6470999206490719E-2</v>
      </c>
      <c r="E51" s="666">
        <f t="shared" ref="E51" si="133">N51+V51+AD51+AL51</f>
        <v>922929319.51274884</v>
      </c>
      <c r="F51" s="666">
        <f t="shared" ref="F51" si="134">O51+W51+AE51+AM51</f>
        <v>1939625517.6600001</v>
      </c>
      <c r="G51" s="666">
        <f t="shared" ref="G51" si="135">P51+X51+AF51+AN51</f>
        <v>0</v>
      </c>
      <c r="H51" s="666">
        <f t="shared" ref="H51" si="136">Q51+Y51+AG51+AO51</f>
        <v>0</v>
      </c>
      <c r="I51" s="666">
        <f t="shared" ref="I51" si="137">R51+Z51+AH51+AP51</f>
        <v>8034945408.2399998</v>
      </c>
      <c r="J51" s="666">
        <f t="shared" ref="J51" si="138">S51+AA51+AI51+AQ51</f>
        <v>0</v>
      </c>
      <c r="K51" s="666">
        <f t="shared" ref="K51" si="139">T51+AB51+AJ51+AR51</f>
        <v>69734682.99000001</v>
      </c>
      <c r="L51" s="666">
        <f>SUM(E51:K51)</f>
        <v>10967234928.402748</v>
      </c>
      <c r="M51" s="665"/>
      <c r="N51" s="666">
        <f>'HOMOLOGACION 2020'!B14</f>
        <v>200000000</v>
      </c>
      <c r="O51" s="666">
        <f>'HOMOLOGACION 2020'!C14+'HOMOLOGACION 2020'!D14-515919922.84+56178238</f>
        <v>198758315.16000003</v>
      </c>
      <c r="P51" s="666"/>
      <c r="Q51" s="666"/>
      <c r="R51" s="666">
        <f>1000000000+500000000</f>
        <v>1500000000</v>
      </c>
      <c r="S51" s="666"/>
      <c r="T51" s="666"/>
      <c r="U51" s="666">
        <f t="shared" si="11"/>
        <v>1898758315.1600001</v>
      </c>
      <c r="V51" s="666">
        <f>'RESUMEN PLAN FINANCIERO'!E11*0.03</f>
        <v>232007450.5113</v>
      </c>
      <c r="W51" s="666">
        <f>ICLD!L52+ESTAMPILLAS!O37+'PLAN FINANCIERO COMPLETO'!J98+'PLAN FINANCIERO COMPLETO'!J99</f>
        <v>628255000</v>
      </c>
      <c r="X51" s="666"/>
      <c r="Y51" s="666"/>
      <c r="Z51" s="666">
        <f>'RESUMEN PLAN FINANCIERO'!E15*0.03</f>
        <v>2225019198.1199999</v>
      </c>
      <c r="AA51" s="666"/>
      <c r="AB51" s="666">
        <f>'RESUMEN PLAN FINANCIERO'!E16*0.03</f>
        <v>31842321</v>
      </c>
      <c r="AC51" s="666">
        <f>SUM(V51:AB51)</f>
        <v>3117123969.6313</v>
      </c>
      <c r="AD51" s="666">
        <f>'RESUMEN PLAN FINANCIERO'!$F$11*0.03</f>
        <v>240911936.69999999</v>
      </c>
      <c r="AE51" s="666">
        <f>ICLD!L101+'PLAN FINANCIERO COMPLETO'!K98+'PLAN FINANCIERO COMPLETO'!K99+ESTAMPILLAS!O59</f>
        <v>578076750</v>
      </c>
      <c r="AF51" s="666"/>
      <c r="AG51" s="666"/>
      <c r="AH51" s="685">
        <f>'RESUMEN PLAN FINANCIERO'!$F$15*0.03</f>
        <v>2139025225.02</v>
      </c>
      <c r="AI51" s="666"/>
      <c r="AJ51" s="685">
        <f>'RESUMEN PLAN FINANCIERO'!$F$16*0.03</f>
        <v>22289624.699999999</v>
      </c>
      <c r="AK51" s="666">
        <f>SUBTOTAL(9,AD51:AJ51)</f>
        <v>2980303536.4200001</v>
      </c>
      <c r="AL51" s="666">
        <f>'RESUMEN PLAN FINANCIERO'!$G$11*0.03</f>
        <v>250009932.30144897</v>
      </c>
      <c r="AM51" s="666">
        <f>ICLD!L76+'PLAN FINANCIERO COMPLETO'!L98+'PLAN FINANCIERO COMPLETO'!L99+ESTAMPILLAS!O82</f>
        <v>534535452.5</v>
      </c>
      <c r="AN51" s="666"/>
      <c r="AO51" s="666"/>
      <c r="AP51" s="685">
        <f>'RESUMEN PLAN FINANCIERO'!$G$15*0.03</f>
        <v>2170900985.0999999</v>
      </c>
      <c r="AQ51" s="666"/>
      <c r="AR51" s="685">
        <f>'RESUMEN PLAN FINANCIERO'!$G$16*0.03</f>
        <v>15602737.289999999</v>
      </c>
      <c r="AS51" s="666">
        <f>SUM(AL51:AR51)</f>
        <v>2971049107.1914487</v>
      </c>
      <c r="AT51" s="665"/>
      <c r="AU51" s="665"/>
      <c r="AV51" s="652"/>
      <c r="AW51" s="652"/>
      <c r="AX51" s="652"/>
      <c r="AY51" s="652"/>
    </row>
    <row r="52" spans="1:53" s="55" customFormat="1" ht="147" customHeight="1">
      <c r="A52" s="648" t="s">
        <v>134</v>
      </c>
      <c r="B52" s="61" t="s">
        <v>136</v>
      </c>
      <c r="C52" s="77" t="s">
        <v>622</v>
      </c>
      <c r="D52" s="876"/>
      <c r="E52" s="568"/>
      <c r="F52" s="568"/>
      <c r="G52" s="568"/>
      <c r="H52" s="568"/>
      <c r="I52" s="568"/>
      <c r="J52" s="568"/>
      <c r="K52" s="568"/>
      <c r="L52" s="569"/>
      <c r="M52" s="62">
        <v>3</v>
      </c>
      <c r="N52" s="568"/>
      <c r="O52" s="568"/>
      <c r="P52" s="568"/>
      <c r="Q52" s="568"/>
      <c r="R52" s="568"/>
      <c r="S52" s="568"/>
      <c r="T52" s="568"/>
      <c r="U52" s="568">
        <f t="shared" si="11"/>
        <v>0</v>
      </c>
      <c r="V52" s="568"/>
      <c r="W52" s="568"/>
      <c r="X52" s="568"/>
      <c r="Y52" s="568"/>
      <c r="Z52" s="568"/>
      <c r="AA52" s="568"/>
      <c r="AB52" s="568"/>
      <c r="AC52" s="569"/>
      <c r="AD52" s="568"/>
      <c r="AE52" s="568"/>
      <c r="AF52" s="568"/>
      <c r="AG52" s="568"/>
      <c r="AH52" s="568"/>
      <c r="AI52" s="568"/>
      <c r="AJ52" s="568"/>
      <c r="AK52" s="569"/>
      <c r="AL52" s="568"/>
      <c r="AM52" s="568"/>
      <c r="AN52" s="568"/>
      <c r="AO52" s="568"/>
      <c r="AP52" s="568"/>
      <c r="AQ52" s="568"/>
      <c r="AR52" s="568"/>
      <c r="AS52" s="569"/>
      <c r="AT52" s="62">
        <f t="shared" si="12"/>
        <v>3.4482758620689653</v>
      </c>
      <c r="AU52" s="62">
        <f t="shared" si="12"/>
        <v>3.4482758620689653</v>
      </c>
      <c r="AZ52" s="52"/>
      <c r="BA52" s="52"/>
    </row>
    <row r="53" spans="1:53" s="55" customFormat="1" ht="147" customHeight="1">
      <c r="A53" s="648" t="s">
        <v>134</v>
      </c>
      <c r="B53" s="61" t="s">
        <v>136</v>
      </c>
      <c r="C53" s="646" t="s">
        <v>623</v>
      </c>
      <c r="D53" s="877"/>
      <c r="E53" s="568"/>
      <c r="F53" s="569"/>
      <c r="G53" s="569"/>
      <c r="H53" s="569"/>
      <c r="I53" s="569"/>
      <c r="J53" s="569"/>
      <c r="K53" s="569"/>
      <c r="L53" s="569"/>
      <c r="M53" s="647"/>
      <c r="N53" s="569"/>
      <c r="O53" s="569"/>
      <c r="P53" s="569"/>
      <c r="Q53" s="569"/>
      <c r="R53" s="569"/>
      <c r="S53" s="569"/>
      <c r="T53" s="569"/>
      <c r="U53" s="569">
        <f t="shared" si="11"/>
        <v>0</v>
      </c>
      <c r="V53" s="569"/>
      <c r="W53" s="569"/>
      <c r="X53" s="569"/>
      <c r="Y53" s="569"/>
      <c r="Z53" s="569"/>
      <c r="AA53" s="569"/>
      <c r="AB53" s="569"/>
      <c r="AC53" s="569"/>
      <c r="AD53" s="569"/>
      <c r="AE53" s="569"/>
      <c r="AF53" s="569"/>
      <c r="AG53" s="569"/>
      <c r="AH53" s="569"/>
      <c r="AI53" s="569"/>
      <c r="AJ53" s="569"/>
      <c r="AK53" s="569"/>
      <c r="AL53" s="569"/>
      <c r="AM53" s="569"/>
      <c r="AN53" s="569"/>
      <c r="AO53" s="569"/>
      <c r="AP53" s="569"/>
      <c r="AQ53" s="569"/>
      <c r="AR53" s="569"/>
      <c r="AS53" s="569"/>
      <c r="AT53" s="647"/>
      <c r="AU53" s="647"/>
      <c r="AZ53" s="52"/>
      <c r="BA53" s="52"/>
    </row>
    <row r="54" spans="1:53" s="653" customFormat="1" ht="147" customHeight="1">
      <c r="A54" s="663"/>
      <c r="B54" s="664"/>
      <c r="C54" s="661"/>
      <c r="D54" s="871">
        <f>(E54+I54+K54)/($E$5+$I$5+$K$5)</f>
        <v>2.5562008865786891E-2</v>
      </c>
      <c r="E54" s="666">
        <f t="shared" ref="E54" si="140">N54+V54+AD54+AL54</f>
        <v>1112929319.512749</v>
      </c>
      <c r="F54" s="666">
        <f t="shared" ref="F54" si="141">O54+W54+AE54+AM54</f>
        <v>0</v>
      </c>
      <c r="G54" s="666">
        <f t="shared" ref="G54" si="142">P54+X54+AF54+AN54</f>
        <v>0</v>
      </c>
      <c r="H54" s="666">
        <f t="shared" ref="H54" si="143">Q54+Y54+AG54+AO54</f>
        <v>0</v>
      </c>
      <c r="I54" s="666">
        <f t="shared" ref="I54" si="144">R54+Z54+AH54+AP54</f>
        <v>7534945408.2399998</v>
      </c>
      <c r="J54" s="666">
        <f t="shared" ref="J54" si="145">S54+AA54+AI54+AQ54</f>
        <v>0</v>
      </c>
      <c r="K54" s="666">
        <f t="shared" ref="K54" si="146">T54+AB54+AJ54+AR54</f>
        <v>69734682.99000001</v>
      </c>
      <c r="L54" s="666">
        <f>SUM(E54:K54)</f>
        <v>8717609410.7427483</v>
      </c>
      <c r="M54" s="665"/>
      <c r="N54" s="666">
        <f>'HOMOLOGACION 2020'!B15</f>
        <v>390000000</v>
      </c>
      <c r="O54" s="666"/>
      <c r="P54" s="666"/>
      <c r="Q54" s="666"/>
      <c r="R54" s="666">
        <f>500000000+500000000</f>
        <v>1000000000</v>
      </c>
      <c r="S54" s="666"/>
      <c r="T54" s="666"/>
      <c r="U54" s="666">
        <f t="shared" si="11"/>
        <v>1390000000</v>
      </c>
      <c r="V54" s="666">
        <f>'RESUMEN PLAN FINANCIERO'!E11*0.03</f>
        <v>232007450.5113</v>
      </c>
      <c r="W54" s="666"/>
      <c r="X54" s="666"/>
      <c r="Y54" s="666"/>
      <c r="Z54" s="666">
        <f>'RESUMEN PLAN FINANCIERO'!E15*0.03</f>
        <v>2225019198.1199999</v>
      </c>
      <c r="AA54" s="666"/>
      <c r="AB54" s="666">
        <f>'RESUMEN PLAN FINANCIERO'!E16*0.03</f>
        <v>31842321</v>
      </c>
      <c r="AC54" s="666">
        <f>SUM(V54:AB54)</f>
        <v>2488868969.6313</v>
      </c>
      <c r="AD54" s="666">
        <f>'RESUMEN PLAN FINANCIERO'!$F$11*0.03</f>
        <v>240911936.69999999</v>
      </c>
      <c r="AE54" s="666"/>
      <c r="AF54" s="666"/>
      <c r="AG54" s="666"/>
      <c r="AH54" s="685">
        <f>'RESUMEN PLAN FINANCIERO'!$F$15*0.03</f>
        <v>2139025225.02</v>
      </c>
      <c r="AI54" s="666"/>
      <c r="AJ54" s="685">
        <f>'RESUMEN PLAN FINANCIERO'!$F$16*0.03</f>
        <v>22289624.699999999</v>
      </c>
      <c r="AK54" s="666">
        <f>SUBTOTAL(9,AD54:AJ54)</f>
        <v>2402226786.4199996</v>
      </c>
      <c r="AL54" s="666">
        <f>'RESUMEN PLAN FINANCIERO'!$G$11*0.03</f>
        <v>250009932.30144897</v>
      </c>
      <c r="AM54" s="666"/>
      <c r="AN54" s="666"/>
      <c r="AO54" s="666"/>
      <c r="AP54" s="685">
        <f>'RESUMEN PLAN FINANCIERO'!$G$15*0.03</f>
        <v>2170900985.0999999</v>
      </c>
      <c r="AQ54" s="666"/>
      <c r="AR54" s="685">
        <f>'RESUMEN PLAN FINANCIERO'!$G$16*0.03</f>
        <v>15602737.289999999</v>
      </c>
      <c r="AS54" s="666">
        <f>SUM(AL54:AR54)</f>
        <v>2436513654.6914487</v>
      </c>
      <c r="AT54" s="665"/>
      <c r="AU54" s="665"/>
      <c r="AV54" s="652"/>
      <c r="AW54" s="652"/>
      <c r="AX54" s="652"/>
      <c r="AY54" s="652"/>
    </row>
    <row r="55" spans="1:53" s="55" customFormat="1" ht="147" customHeight="1">
      <c r="A55" s="648" t="s">
        <v>134</v>
      </c>
      <c r="B55" s="61" t="s">
        <v>137</v>
      </c>
      <c r="C55" s="77" t="s">
        <v>662</v>
      </c>
      <c r="D55" s="876"/>
      <c r="E55" s="568"/>
      <c r="F55" s="568"/>
      <c r="G55" s="568"/>
      <c r="H55" s="568"/>
      <c r="I55" s="568"/>
      <c r="J55" s="568"/>
      <c r="K55" s="568"/>
      <c r="L55" s="569"/>
      <c r="M55" s="62">
        <v>3</v>
      </c>
      <c r="N55" s="568"/>
      <c r="O55" s="568"/>
      <c r="P55" s="568"/>
      <c r="Q55" s="568"/>
      <c r="R55" s="568"/>
      <c r="S55" s="568"/>
      <c r="T55" s="568"/>
      <c r="U55" s="568">
        <f t="shared" si="11"/>
        <v>0</v>
      </c>
      <c r="V55" s="568"/>
      <c r="W55" s="568"/>
      <c r="X55" s="568"/>
      <c r="Y55" s="568"/>
      <c r="Z55" s="568"/>
      <c r="AA55" s="568"/>
      <c r="AB55" s="568"/>
      <c r="AC55" s="569"/>
      <c r="AD55" s="568"/>
      <c r="AE55" s="568"/>
      <c r="AF55" s="568"/>
      <c r="AG55" s="568"/>
      <c r="AH55" s="568"/>
      <c r="AI55" s="568"/>
      <c r="AJ55" s="568"/>
      <c r="AK55" s="569"/>
      <c r="AL55" s="568"/>
      <c r="AM55" s="568"/>
      <c r="AN55" s="568"/>
      <c r="AO55" s="568"/>
      <c r="AP55" s="568"/>
      <c r="AQ55" s="568"/>
      <c r="AR55" s="568"/>
      <c r="AS55" s="569"/>
      <c r="AT55" s="62">
        <f t="shared" si="12"/>
        <v>3.4482758620689653</v>
      </c>
      <c r="AU55" s="62">
        <f t="shared" si="12"/>
        <v>3.4482758620689653</v>
      </c>
      <c r="AZ55" s="52"/>
      <c r="BA55" s="52"/>
    </row>
    <row r="56" spans="1:53" s="55" customFormat="1" ht="147" customHeight="1">
      <c r="A56" s="648" t="s">
        <v>134</v>
      </c>
      <c r="B56" s="61" t="s">
        <v>137</v>
      </c>
      <c r="C56" s="77" t="s">
        <v>663</v>
      </c>
      <c r="D56" s="876"/>
      <c r="E56" s="568"/>
      <c r="F56" s="568"/>
      <c r="G56" s="568"/>
      <c r="H56" s="568"/>
      <c r="I56" s="568"/>
      <c r="J56" s="568"/>
      <c r="K56" s="568"/>
      <c r="L56" s="569"/>
      <c r="M56" s="62">
        <v>3</v>
      </c>
      <c r="N56" s="568"/>
      <c r="O56" s="568"/>
      <c r="P56" s="568"/>
      <c r="Q56" s="568"/>
      <c r="R56" s="568"/>
      <c r="S56" s="568"/>
      <c r="T56" s="568"/>
      <c r="U56" s="568">
        <f t="shared" ref="U56" si="147">SUM(N56:T56)</f>
        <v>0</v>
      </c>
      <c r="V56" s="568"/>
      <c r="W56" s="568"/>
      <c r="X56" s="568"/>
      <c r="Y56" s="568"/>
      <c r="Z56" s="568"/>
      <c r="AA56" s="568"/>
      <c r="AB56" s="568"/>
      <c r="AC56" s="569"/>
      <c r="AD56" s="568"/>
      <c r="AE56" s="568"/>
      <c r="AF56" s="568"/>
      <c r="AG56" s="568"/>
      <c r="AH56" s="568"/>
      <c r="AI56" s="568"/>
      <c r="AJ56" s="568"/>
      <c r="AK56" s="569"/>
      <c r="AL56" s="568"/>
      <c r="AM56" s="568"/>
      <c r="AN56" s="568"/>
      <c r="AO56" s="568"/>
      <c r="AP56" s="568"/>
      <c r="AQ56" s="568"/>
      <c r="AR56" s="568"/>
      <c r="AS56" s="569"/>
      <c r="AT56" s="62">
        <f t="shared" si="12"/>
        <v>3.4482758620689653</v>
      </c>
      <c r="AU56" s="62">
        <f t="shared" si="12"/>
        <v>3.4482758620689653</v>
      </c>
      <c r="AZ56" s="52"/>
      <c r="BA56" s="52"/>
    </row>
    <row r="57" spans="1:53" s="653" customFormat="1" ht="147" customHeight="1">
      <c r="A57" s="663"/>
      <c r="B57" s="664"/>
      <c r="C57" s="661"/>
      <c r="D57" s="871">
        <f>(E57+I57+K57)/($E$5+$I$5+$K$5)</f>
        <v>8.3349619179142048E-3</v>
      </c>
      <c r="E57" s="666">
        <f t="shared" ref="E57" si="148">N57+V57+AD57+AL57</f>
        <v>340976439.83758301</v>
      </c>
      <c r="F57" s="666">
        <f t="shared" ref="F57" si="149">O57+W57+AE57+AM57</f>
        <v>0</v>
      </c>
      <c r="G57" s="666">
        <f t="shared" ref="G57" si="150">P57+X57+AF57+AN57</f>
        <v>0</v>
      </c>
      <c r="H57" s="666">
        <f t="shared" ref="H57" si="151">Q57+Y57+AG57+AO57</f>
        <v>0</v>
      </c>
      <c r="I57" s="666">
        <f t="shared" ref="I57" si="152">R57+Z57+AH57+AP57</f>
        <v>2478315136.0799999</v>
      </c>
      <c r="J57" s="666">
        <f t="shared" ref="J57" si="153">S57+AA57+AI57+AQ57</f>
        <v>0</v>
      </c>
      <c r="K57" s="666">
        <f t="shared" ref="K57" si="154">T57+AB57+AJ57+AR57</f>
        <v>23244894.329999998</v>
      </c>
      <c r="L57" s="666">
        <f>SUM(E57:K57)</f>
        <v>2842536470.2475829</v>
      </c>
      <c r="M57" s="665"/>
      <c r="N57" s="666">
        <f>'HOMOLOGACION 2020'!B16</f>
        <v>100000000</v>
      </c>
      <c r="O57" s="666"/>
      <c r="P57" s="666"/>
      <c r="Q57" s="666"/>
      <c r="R57" s="666">
        <v>300000000</v>
      </c>
      <c r="S57" s="666"/>
      <c r="T57" s="666"/>
      <c r="U57" s="666">
        <f t="shared" si="11"/>
        <v>400000000</v>
      </c>
      <c r="V57" s="666">
        <f>'RESUMEN PLAN FINANCIERO'!E11*0.01</f>
        <v>77335816.837099999</v>
      </c>
      <c r="W57" s="666"/>
      <c r="X57" s="666"/>
      <c r="Y57" s="666"/>
      <c r="Z57" s="666">
        <f>'RESUMEN PLAN FINANCIERO'!E15*0.01</f>
        <v>741673066.03999996</v>
      </c>
      <c r="AA57" s="666"/>
      <c r="AB57" s="666">
        <f>'RESUMEN PLAN FINANCIERO'!E16*0.01</f>
        <v>10614107</v>
      </c>
      <c r="AC57" s="666">
        <f>SUM(V57:AB57)</f>
        <v>829622989.87709999</v>
      </c>
      <c r="AD57" s="666">
        <f>'RESUMEN PLAN FINANCIERO'!$F$11*0.01</f>
        <v>80303978.900000006</v>
      </c>
      <c r="AE57" s="666"/>
      <c r="AF57" s="666"/>
      <c r="AG57" s="666"/>
      <c r="AH57" s="685">
        <f>'RESUMEN PLAN FINANCIERO'!$F$15*0.01</f>
        <v>713008408.34000003</v>
      </c>
      <c r="AI57" s="666"/>
      <c r="AJ57" s="685">
        <f>'RESUMEN PLAN FINANCIERO'!$F$16*0.01</f>
        <v>7429874.9000000004</v>
      </c>
      <c r="AK57" s="666">
        <f>SUBTOTAL(9,AD57:AJ57)</f>
        <v>800742262.13999999</v>
      </c>
      <c r="AL57" s="666">
        <f>'RESUMEN PLAN FINANCIERO'!$G$11*0.01</f>
        <v>83336644.100483</v>
      </c>
      <c r="AM57" s="666"/>
      <c r="AN57" s="666"/>
      <c r="AO57" s="666"/>
      <c r="AP57" s="685">
        <f>'RESUMEN PLAN FINANCIERO'!$G$15*0.01</f>
        <v>723633661.70000005</v>
      </c>
      <c r="AQ57" s="666"/>
      <c r="AR57" s="685">
        <f>'RESUMEN PLAN FINANCIERO'!$G$16*0.01</f>
        <v>5200912.43</v>
      </c>
      <c r="AS57" s="666">
        <f>SUM(AL57:AR57)</f>
        <v>812171218.23048294</v>
      </c>
      <c r="AT57" s="665"/>
      <c r="AU57" s="665"/>
      <c r="AV57" s="652"/>
      <c r="AW57" s="652"/>
      <c r="AX57" s="652"/>
      <c r="AY57" s="652"/>
    </row>
    <row r="58" spans="1:53" s="55" customFormat="1" ht="147" customHeight="1">
      <c r="A58" s="648" t="s">
        <v>134</v>
      </c>
      <c r="B58" s="61" t="s">
        <v>138</v>
      </c>
      <c r="C58" s="77" t="s">
        <v>664</v>
      </c>
      <c r="D58" s="876"/>
      <c r="E58" s="568"/>
      <c r="F58" s="568"/>
      <c r="G58" s="568"/>
      <c r="H58" s="568"/>
      <c r="I58" s="568"/>
      <c r="J58" s="568"/>
      <c r="K58" s="568"/>
      <c r="L58" s="569"/>
      <c r="M58" s="62">
        <v>1</v>
      </c>
      <c r="N58" s="568"/>
      <c r="O58" s="568"/>
      <c r="P58" s="568"/>
      <c r="Q58" s="568"/>
      <c r="R58" s="568"/>
      <c r="S58" s="568"/>
      <c r="T58" s="568"/>
      <c r="U58" s="568">
        <f t="shared" si="11"/>
        <v>0</v>
      </c>
      <c r="V58" s="568"/>
      <c r="W58" s="568"/>
      <c r="X58" s="568"/>
      <c r="Y58" s="568"/>
      <c r="Z58" s="568"/>
      <c r="AA58" s="568"/>
      <c r="AB58" s="568"/>
      <c r="AC58" s="569"/>
      <c r="AD58" s="568"/>
      <c r="AE58" s="568"/>
      <c r="AF58" s="568"/>
      <c r="AG58" s="568"/>
      <c r="AH58" s="568"/>
      <c r="AI58" s="568"/>
      <c r="AJ58" s="568"/>
      <c r="AK58" s="569"/>
      <c r="AL58" s="568"/>
      <c r="AM58" s="568"/>
      <c r="AN58" s="568"/>
      <c r="AO58" s="568"/>
      <c r="AP58" s="568"/>
      <c r="AQ58" s="568"/>
      <c r="AR58" s="568"/>
      <c r="AS58" s="569"/>
      <c r="AT58" s="62">
        <f t="shared" si="12"/>
        <v>3.4482758620689653</v>
      </c>
      <c r="AU58" s="62">
        <f t="shared" si="12"/>
        <v>3.4482758620689653</v>
      </c>
      <c r="AZ58" s="52"/>
      <c r="BA58" s="52"/>
    </row>
    <row r="59" spans="1:53" s="653" customFormat="1" ht="147" customHeight="1">
      <c r="A59" s="663"/>
      <c r="B59" s="664"/>
      <c r="C59" s="661"/>
      <c r="D59" s="871">
        <f>(E59+I59+K59)/($E$5+$I$5+$K$5)</f>
        <v>1.5643644418904732E-2</v>
      </c>
      <c r="E59" s="666">
        <f t="shared" ref="E59" si="155">N59+V59+AD59+AL59</f>
        <v>631952879.67516601</v>
      </c>
      <c r="F59" s="666">
        <f t="shared" ref="F59" si="156">O59+W59+AE59+AM59</f>
        <v>0</v>
      </c>
      <c r="G59" s="666">
        <f t="shared" ref="G59" si="157">P59+X59+AF59+AN59</f>
        <v>0</v>
      </c>
      <c r="H59" s="666">
        <f t="shared" ref="H59" si="158">Q59+Y59+AG59+AO59</f>
        <v>0</v>
      </c>
      <c r="I59" s="666">
        <f t="shared" ref="I59" si="159">R59+Z59+AH59+AP59</f>
        <v>4656630272.1599998</v>
      </c>
      <c r="J59" s="666">
        <f t="shared" ref="J59" si="160">S59+AA59+AI59+AQ59</f>
        <v>0</v>
      </c>
      <c r="K59" s="666">
        <f t="shared" ref="K59" si="161">T59+AB59+AJ59+AR59</f>
        <v>46489788.659999996</v>
      </c>
      <c r="L59" s="666">
        <f>SUM(E59:K59)</f>
        <v>5335072940.4951658</v>
      </c>
      <c r="M59" s="665"/>
      <c r="N59" s="666">
        <f>'HOMOLOGACION 2020'!B17</f>
        <v>150000000</v>
      </c>
      <c r="O59" s="666"/>
      <c r="P59" s="666"/>
      <c r="Q59" s="666"/>
      <c r="R59" s="666">
        <v>300000000</v>
      </c>
      <c r="S59" s="666"/>
      <c r="T59" s="666"/>
      <c r="U59" s="666">
        <f t="shared" si="11"/>
        <v>450000000</v>
      </c>
      <c r="V59" s="666">
        <f>'RESUMEN PLAN FINANCIERO'!E11*0.02</f>
        <v>154671633.6742</v>
      </c>
      <c r="W59" s="666"/>
      <c r="X59" s="666"/>
      <c r="Y59" s="666"/>
      <c r="Z59" s="666">
        <f>'RESUMEN PLAN FINANCIERO'!E15*0.02</f>
        <v>1483346132.0799999</v>
      </c>
      <c r="AA59" s="666"/>
      <c r="AB59" s="666">
        <f>'RESUMEN PLAN FINANCIERO'!E16*0.02</f>
        <v>21228214</v>
      </c>
      <c r="AC59" s="666">
        <f>SUM(V59:AB59)</f>
        <v>1659245979.7542</v>
      </c>
      <c r="AD59" s="666">
        <f>'RESUMEN PLAN FINANCIERO'!$F$11*0.02</f>
        <v>160607957.80000001</v>
      </c>
      <c r="AE59" s="666"/>
      <c r="AF59" s="666"/>
      <c r="AG59" s="666"/>
      <c r="AH59" s="685">
        <f>'RESUMEN PLAN FINANCIERO'!$F$15*0.02</f>
        <v>1426016816.6800001</v>
      </c>
      <c r="AI59" s="666"/>
      <c r="AJ59" s="685">
        <f>'RESUMEN PLAN FINANCIERO'!$F$16*0.02</f>
        <v>14859749.800000001</v>
      </c>
      <c r="AK59" s="666">
        <f>SUBTOTAL(9,AD59:AJ59)</f>
        <v>1601484524.28</v>
      </c>
      <c r="AL59" s="666">
        <f>'RESUMEN PLAN FINANCIERO'!$G$11*0.02</f>
        <v>166673288.200966</v>
      </c>
      <c r="AM59" s="666"/>
      <c r="AN59" s="666"/>
      <c r="AO59" s="666"/>
      <c r="AP59" s="685">
        <f>'RESUMEN PLAN FINANCIERO'!$G$15*0.02</f>
        <v>1447267323.4000001</v>
      </c>
      <c r="AQ59" s="666"/>
      <c r="AR59" s="685">
        <f>'RESUMEN PLAN FINANCIERO'!$G$16*0.02</f>
        <v>10401824.859999999</v>
      </c>
      <c r="AS59" s="666">
        <f>SUM(AL59:AR59)</f>
        <v>1624342436.4609659</v>
      </c>
      <c r="AT59" s="665"/>
      <c r="AU59" s="665"/>
      <c r="AV59" s="652"/>
      <c r="AW59" s="652"/>
      <c r="AX59" s="652"/>
      <c r="AY59" s="652"/>
    </row>
    <row r="60" spans="1:53" s="55" customFormat="1" ht="147" customHeight="1">
      <c r="A60" s="648" t="s">
        <v>134</v>
      </c>
      <c r="B60" s="61" t="s">
        <v>139</v>
      </c>
      <c r="C60" s="77" t="s">
        <v>665</v>
      </c>
      <c r="D60" s="876"/>
      <c r="E60" s="568"/>
      <c r="F60" s="568"/>
      <c r="G60" s="568"/>
      <c r="H60" s="568"/>
      <c r="I60" s="568"/>
      <c r="J60" s="568"/>
      <c r="K60" s="568"/>
      <c r="L60" s="569"/>
      <c r="M60" s="62">
        <v>2</v>
      </c>
      <c r="N60" s="568"/>
      <c r="O60" s="568"/>
      <c r="P60" s="568"/>
      <c r="Q60" s="568"/>
      <c r="R60" s="568"/>
      <c r="S60" s="568"/>
      <c r="T60" s="568"/>
      <c r="U60" s="568">
        <f t="shared" si="11"/>
        <v>0</v>
      </c>
      <c r="V60" s="568"/>
      <c r="W60" s="568"/>
      <c r="X60" s="568"/>
      <c r="Y60" s="568"/>
      <c r="Z60" s="568"/>
      <c r="AA60" s="568"/>
      <c r="AB60" s="568"/>
      <c r="AC60" s="569"/>
      <c r="AD60" s="568"/>
      <c r="AE60" s="568"/>
      <c r="AF60" s="568"/>
      <c r="AG60" s="568"/>
      <c r="AH60" s="568"/>
      <c r="AI60" s="568"/>
      <c r="AJ60" s="568"/>
      <c r="AK60" s="569"/>
      <c r="AL60" s="568"/>
      <c r="AM60" s="568"/>
      <c r="AN60" s="568"/>
      <c r="AO60" s="568"/>
      <c r="AP60" s="568"/>
      <c r="AQ60" s="568"/>
      <c r="AR60" s="568"/>
      <c r="AS60" s="569"/>
      <c r="AT60" s="62">
        <f t="shared" si="12"/>
        <v>3.4482758620689653</v>
      </c>
      <c r="AU60" s="62">
        <f t="shared" si="12"/>
        <v>3.4482758620689653</v>
      </c>
      <c r="AZ60" s="52"/>
      <c r="BA60" s="52"/>
    </row>
    <row r="61" spans="1:53" s="653" customFormat="1" ht="147" customHeight="1">
      <c r="A61" s="663"/>
      <c r="B61" s="664"/>
      <c r="C61" s="661"/>
      <c r="D61" s="871">
        <f>(E61+I61+K61)/($E$5+$I$5+$K$5)</f>
        <v>8.3056396488592425E-3</v>
      </c>
      <c r="E61" s="666">
        <f t="shared" ref="E61" si="162">N61+V61+AD61+AL61</f>
        <v>330976439.83758301</v>
      </c>
      <c r="F61" s="666">
        <f t="shared" ref="F61" si="163">O61+W61+AE61+AM61</f>
        <v>0</v>
      </c>
      <c r="G61" s="666">
        <f t="shared" ref="G61" si="164">P61+X61+AF61+AN61</f>
        <v>0</v>
      </c>
      <c r="H61" s="666">
        <f t="shared" ref="H61" si="165">Q61+Y61+AG61+AO61</f>
        <v>0</v>
      </c>
      <c r="I61" s="666">
        <f t="shared" ref="I61" si="166">R61+Z61+AH61+AP61</f>
        <v>2478315136.0799999</v>
      </c>
      <c r="J61" s="666">
        <f t="shared" ref="J61" si="167">S61+AA61+AI61+AQ61</f>
        <v>0</v>
      </c>
      <c r="K61" s="666">
        <f t="shared" ref="K61" si="168">T61+AB61+AJ61+AR61</f>
        <v>23244894.329999998</v>
      </c>
      <c r="L61" s="666">
        <f>SUM(E61:K61)</f>
        <v>2832536470.2475829</v>
      </c>
      <c r="M61" s="665"/>
      <c r="N61" s="666">
        <f>'HOMOLOGACION 2020'!B18</f>
        <v>90000000</v>
      </c>
      <c r="O61" s="666"/>
      <c r="P61" s="666"/>
      <c r="Q61" s="666"/>
      <c r="R61" s="666">
        <v>300000000</v>
      </c>
      <c r="S61" s="666"/>
      <c r="T61" s="666"/>
      <c r="U61" s="666">
        <f t="shared" si="11"/>
        <v>390000000</v>
      </c>
      <c r="V61" s="666">
        <f>'RESUMEN PLAN FINANCIERO'!E11*0.01</f>
        <v>77335816.837099999</v>
      </c>
      <c r="W61" s="666"/>
      <c r="X61" s="666"/>
      <c r="Y61" s="666"/>
      <c r="Z61" s="666">
        <f>'RESUMEN PLAN FINANCIERO'!E15*0.01</f>
        <v>741673066.03999996</v>
      </c>
      <c r="AA61" s="666"/>
      <c r="AB61" s="666">
        <f>'RESUMEN PLAN FINANCIERO'!E16*0.01</f>
        <v>10614107</v>
      </c>
      <c r="AC61" s="666">
        <f>SUM(V61:AB61)</f>
        <v>829622989.87709999</v>
      </c>
      <c r="AD61" s="666">
        <f>'RESUMEN PLAN FINANCIERO'!$F$11*0.01</f>
        <v>80303978.900000006</v>
      </c>
      <c r="AE61" s="666"/>
      <c r="AF61" s="666"/>
      <c r="AG61" s="666"/>
      <c r="AH61" s="685">
        <f>'RESUMEN PLAN FINANCIERO'!$F$15*0.01</f>
        <v>713008408.34000003</v>
      </c>
      <c r="AI61" s="666"/>
      <c r="AJ61" s="685">
        <f>'RESUMEN PLAN FINANCIERO'!$F$16*0.01</f>
        <v>7429874.9000000004</v>
      </c>
      <c r="AK61" s="666">
        <f>SUBTOTAL(9,AD61:AJ61)</f>
        <v>800742262.13999999</v>
      </c>
      <c r="AL61" s="666">
        <f>'RESUMEN PLAN FINANCIERO'!$G$11*0.01</f>
        <v>83336644.100483</v>
      </c>
      <c r="AM61" s="666"/>
      <c r="AN61" s="666"/>
      <c r="AO61" s="666"/>
      <c r="AP61" s="685">
        <f>'RESUMEN PLAN FINANCIERO'!$G$15*0.01</f>
        <v>723633661.70000005</v>
      </c>
      <c r="AQ61" s="666"/>
      <c r="AR61" s="685">
        <f>'RESUMEN PLAN FINANCIERO'!$G$16*0.01</f>
        <v>5200912.43</v>
      </c>
      <c r="AS61" s="666">
        <f>SUM(AL61:AR61)</f>
        <v>812171218.23048294</v>
      </c>
      <c r="AT61" s="665"/>
      <c r="AU61" s="665"/>
      <c r="AV61" s="652"/>
      <c r="AW61" s="652"/>
      <c r="AX61" s="652"/>
      <c r="AY61" s="652"/>
    </row>
    <row r="62" spans="1:53" s="55" customFormat="1" ht="147" customHeight="1">
      <c r="A62" s="648" t="s">
        <v>134</v>
      </c>
      <c r="B62" s="61" t="s">
        <v>140</v>
      </c>
      <c r="C62" s="77" t="s">
        <v>666</v>
      </c>
      <c r="D62" s="876"/>
      <c r="E62" s="568"/>
      <c r="F62" s="568"/>
      <c r="G62" s="568"/>
      <c r="H62" s="568"/>
      <c r="I62" s="568"/>
      <c r="J62" s="568"/>
      <c r="K62" s="568"/>
      <c r="L62" s="569"/>
      <c r="M62" s="62">
        <v>1</v>
      </c>
      <c r="N62" s="568"/>
      <c r="O62" s="568"/>
      <c r="P62" s="568"/>
      <c r="Q62" s="568"/>
      <c r="R62" s="568"/>
      <c r="S62" s="568"/>
      <c r="T62" s="568"/>
      <c r="U62" s="568">
        <f t="shared" si="11"/>
        <v>0</v>
      </c>
      <c r="V62" s="568"/>
      <c r="W62" s="568"/>
      <c r="X62" s="568"/>
      <c r="Y62" s="568"/>
      <c r="Z62" s="568"/>
      <c r="AA62" s="568"/>
      <c r="AB62" s="568"/>
      <c r="AC62" s="569"/>
      <c r="AD62" s="568"/>
      <c r="AE62" s="568"/>
      <c r="AF62" s="568"/>
      <c r="AG62" s="568"/>
      <c r="AH62" s="568"/>
      <c r="AI62" s="568"/>
      <c r="AJ62" s="568"/>
      <c r="AK62" s="569"/>
      <c r="AL62" s="568"/>
      <c r="AM62" s="568"/>
      <c r="AN62" s="568"/>
      <c r="AO62" s="568"/>
      <c r="AP62" s="568"/>
      <c r="AQ62" s="568"/>
      <c r="AR62" s="568"/>
      <c r="AS62" s="569"/>
      <c r="AT62" s="62">
        <f t="shared" si="12"/>
        <v>3.4482758620689653</v>
      </c>
      <c r="AU62" s="62">
        <f t="shared" si="12"/>
        <v>3.4482758620689653</v>
      </c>
      <c r="AZ62" s="52"/>
      <c r="BA62" s="52"/>
    </row>
    <row r="63" spans="1:53" s="653" customFormat="1" ht="147" customHeight="1">
      <c r="A63" s="663"/>
      <c r="B63" s="664"/>
      <c r="C63" s="661"/>
      <c r="D63" s="871">
        <f>(E63+I63+K63)/($E$5+$I$5+$K$5)</f>
        <v>1.5174488114025339E-2</v>
      </c>
      <c r="E63" s="666">
        <f t="shared" ref="E63" si="169">N63+V63+AD63+AL63</f>
        <v>571952879.67516601</v>
      </c>
      <c r="F63" s="666">
        <f t="shared" ref="F63" si="170">O63+W63+AE63+AM63</f>
        <v>0</v>
      </c>
      <c r="G63" s="666">
        <f t="shared" ref="G63" si="171">P63+X63+AF63+AN63</f>
        <v>0</v>
      </c>
      <c r="H63" s="666">
        <f t="shared" ref="H63" si="172">Q63+Y63+AG63+AO63</f>
        <v>0</v>
      </c>
      <c r="I63" s="666">
        <f t="shared" ref="I63" si="173">R63+Z63+AH63+AP63</f>
        <v>4556630272.1599998</v>
      </c>
      <c r="J63" s="666">
        <f t="shared" ref="J63" si="174">S63+AA63+AI63+AQ63</f>
        <v>0</v>
      </c>
      <c r="K63" s="666">
        <f t="shared" ref="K63" si="175">T63+AB63+AJ63+AR63</f>
        <v>46489788.659999996</v>
      </c>
      <c r="L63" s="666">
        <f>SUM(E63:K63)</f>
        <v>5175072940.4951658</v>
      </c>
      <c r="M63" s="665"/>
      <c r="N63" s="666">
        <f>'HOMOLOGACION 2020'!B19</f>
        <v>90000000</v>
      </c>
      <c r="O63" s="666"/>
      <c r="P63" s="666"/>
      <c r="Q63" s="666"/>
      <c r="R63" s="666">
        <v>200000000</v>
      </c>
      <c r="S63" s="666"/>
      <c r="T63" s="666"/>
      <c r="U63" s="666">
        <f t="shared" si="11"/>
        <v>290000000</v>
      </c>
      <c r="V63" s="666">
        <f>'RESUMEN PLAN FINANCIERO'!E11*0.02</f>
        <v>154671633.6742</v>
      </c>
      <c r="W63" s="666"/>
      <c r="X63" s="666"/>
      <c r="Y63" s="666"/>
      <c r="Z63" s="666">
        <f>'RESUMEN PLAN FINANCIERO'!E15*0.02</f>
        <v>1483346132.0799999</v>
      </c>
      <c r="AA63" s="666"/>
      <c r="AB63" s="666">
        <f>'RESUMEN PLAN FINANCIERO'!E16*0.02</f>
        <v>21228214</v>
      </c>
      <c r="AC63" s="666">
        <f>SUM(V63:AB63)</f>
        <v>1659245979.7542</v>
      </c>
      <c r="AD63" s="666">
        <f>'RESUMEN PLAN FINANCIERO'!$F$11*0.02</f>
        <v>160607957.80000001</v>
      </c>
      <c r="AE63" s="666"/>
      <c r="AF63" s="666"/>
      <c r="AG63" s="666"/>
      <c r="AH63" s="685">
        <f>'RESUMEN PLAN FINANCIERO'!$F$15*0.02</f>
        <v>1426016816.6800001</v>
      </c>
      <c r="AI63" s="666"/>
      <c r="AJ63" s="685">
        <f>'RESUMEN PLAN FINANCIERO'!$F$16*0.02</f>
        <v>14859749.800000001</v>
      </c>
      <c r="AK63" s="666">
        <f>SUBTOTAL(9,AD63:AJ63)</f>
        <v>1601484524.28</v>
      </c>
      <c r="AL63" s="666">
        <f>'RESUMEN PLAN FINANCIERO'!$G$11*0.02</f>
        <v>166673288.200966</v>
      </c>
      <c r="AM63" s="666"/>
      <c r="AN63" s="666"/>
      <c r="AO63" s="666"/>
      <c r="AP63" s="685">
        <f>'RESUMEN PLAN FINANCIERO'!$G$15*0.02</f>
        <v>1447267323.4000001</v>
      </c>
      <c r="AQ63" s="666"/>
      <c r="AR63" s="685">
        <f>'RESUMEN PLAN FINANCIERO'!$G$16*0.02</f>
        <v>10401824.859999999</v>
      </c>
      <c r="AS63" s="666">
        <f>SUM(AL63:AR63)</f>
        <v>1624342436.4609659</v>
      </c>
      <c r="AT63" s="665"/>
      <c r="AU63" s="665"/>
      <c r="AV63" s="652"/>
      <c r="AW63" s="652"/>
      <c r="AX63" s="652"/>
      <c r="AY63" s="652"/>
    </row>
    <row r="64" spans="1:53" s="55" customFormat="1" ht="147" customHeight="1">
      <c r="A64" s="648" t="s">
        <v>134</v>
      </c>
      <c r="B64" s="61" t="s">
        <v>141</v>
      </c>
      <c r="C64" s="77" t="s">
        <v>667</v>
      </c>
      <c r="D64" s="876"/>
      <c r="E64" s="568"/>
      <c r="F64" s="568"/>
      <c r="G64" s="568"/>
      <c r="H64" s="568"/>
      <c r="I64" s="568"/>
      <c r="J64" s="568"/>
      <c r="K64" s="568"/>
      <c r="L64" s="569"/>
      <c r="M64" s="62">
        <v>2</v>
      </c>
      <c r="N64" s="568"/>
      <c r="O64" s="568"/>
      <c r="P64" s="568"/>
      <c r="Q64" s="568"/>
      <c r="R64" s="568"/>
      <c r="S64" s="568"/>
      <c r="T64" s="568"/>
      <c r="U64" s="568">
        <f t="shared" si="11"/>
        <v>0</v>
      </c>
      <c r="V64" s="568"/>
      <c r="W64" s="568"/>
      <c r="X64" s="568"/>
      <c r="Y64" s="568"/>
      <c r="Z64" s="568"/>
      <c r="AA64" s="568"/>
      <c r="AB64" s="568"/>
      <c r="AC64" s="569"/>
      <c r="AD64" s="568"/>
      <c r="AE64" s="568"/>
      <c r="AF64" s="568"/>
      <c r="AG64" s="568"/>
      <c r="AH64" s="568"/>
      <c r="AI64" s="568"/>
      <c r="AJ64" s="568"/>
      <c r="AK64" s="569"/>
      <c r="AL64" s="568"/>
      <c r="AM64" s="568"/>
      <c r="AN64" s="568"/>
      <c r="AO64" s="568"/>
      <c r="AP64" s="568"/>
      <c r="AQ64" s="568"/>
      <c r="AR64" s="568"/>
      <c r="AS64" s="569"/>
      <c r="AT64" s="62">
        <f t="shared" si="12"/>
        <v>3.4482758620689653</v>
      </c>
      <c r="AU64" s="62">
        <f t="shared" si="12"/>
        <v>3.4482758620689653</v>
      </c>
      <c r="AZ64" s="52"/>
      <c r="BA64" s="52"/>
    </row>
    <row r="65" spans="1:53" s="653" customFormat="1" ht="147" customHeight="1">
      <c r="A65" s="663"/>
      <c r="B65" s="664"/>
      <c r="C65" s="661"/>
      <c r="D65" s="871">
        <f>(E65+I65+K65)/($E$5+$I$5+$K$5)</f>
        <v>7.162071155715718E-3</v>
      </c>
      <c r="E65" s="666">
        <f t="shared" ref="E65" si="176">N65+V65+AD65+AL65</f>
        <v>240976439.83758301</v>
      </c>
      <c r="F65" s="666">
        <f t="shared" ref="F65" si="177">O65+W65+AE65+AM65</f>
        <v>7378278540</v>
      </c>
      <c r="G65" s="666">
        <f t="shared" ref="G65" si="178">P65+X65+AF65+AN65</f>
        <v>0</v>
      </c>
      <c r="H65" s="666">
        <f t="shared" ref="H65" si="179">Q65+Y65+AG65+AO65</f>
        <v>0</v>
      </c>
      <c r="I65" s="666">
        <f t="shared" ref="I65" si="180">R65+Z65+AH65+AP65</f>
        <v>2178315136.0799999</v>
      </c>
      <c r="J65" s="666">
        <f t="shared" ref="J65" si="181">S65+AA65+AI65+AQ65</f>
        <v>0</v>
      </c>
      <c r="K65" s="666">
        <f t="shared" ref="K65" si="182">T65+AB65+AJ65+AR65</f>
        <v>23244894.329999998</v>
      </c>
      <c r="L65" s="666">
        <f>SUM(E65:K65)</f>
        <v>9820815010.2475834</v>
      </c>
      <c r="M65" s="665"/>
      <c r="N65" s="666"/>
      <c r="O65" s="666">
        <f>'HOMOLOGACION 2020'!D20+1104606000</f>
        <v>2924606000</v>
      </c>
      <c r="P65" s="666"/>
      <c r="Q65" s="666"/>
      <c r="R65" s="666"/>
      <c r="S65" s="666"/>
      <c r="T65" s="666"/>
      <c r="U65" s="666">
        <f t="shared" si="11"/>
        <v>2924606000</v>
      </c>
      <c r="V65" s="666">
        <f>'RESUMEN PLAN FINANCIERO'!E11*0.01</f>
        <v>77335816.837099999</v>
      </c>
      <c r="W65" s="666">
        <f>ESTAMPILLAS!W37+ESTAMPILLAS!X37</f>
        <v>1640600000</v>
      </c>
      <c r="X65" s="666"/>
      <c r="Y65" s="666"/>
      <c r="Z65" s="666">
        <f>'RESUMEN PLAN FINANCIERO'!E15*0.01</f>
        <v>741673066.03999996</v>
      </c>
      <c r="AA65" s="666"/>
      <c r="AB65" s="666">
        <f>'RESUMEN PLAN FINANCIERO'!E16*0.01</f>
        <v>10614107</v>
      </c>
      <c r="AC65" s="666">
        <f>SUM(V65:AB65)</f>
        <v>2470222989.8771</v>
      </c>
      <c r="AD65" s="666">
        <f>'RESUMEN PLAN FINANCIERO'!$F$11*0.01</f>
        <v>80303978.900000006</v>
      </c>
      <c r="AE65" s="666">
        <f>ESTAMPILLAS!W59+ESTAMPILLAS!X59</f>
        <v>1479218000</v>
      </c>
      <c r="AF65" s="666"/>
      <c r="AG65" s="666"/>
      <c r="AH65" s="685">
        <f>'RESUMEN PLAN FINANCIERO'!$F$15*0.01</f>
        <v>713008408.34000003</v>
      </c>
      <c r="AI65" s="666"/>
      <c r="AJ65" s="685">
        <f>'RESUMEN PLAN FINANCIERO'!$F$16*0.01</f>
        <v>7429874.9000000004</v>
      </c>
      <c r="AK65" s="666">
        <f>SUBTOTAL(9,AD65:AJ65)</f>
        <v>2279960262.1400003</v>
      </c>
      <c r="AL65" s="666">
        <f>'RESUMEN PLAN FINANCIERO'!$G$11*0.01</f>
        <v>83336644.100483</v>
      </c>
      <c r="AM65" s="666">
        <f>ESTAMPILLAS!W82+ESTAMPILLAS!X82</f>
        <v>1333854540</v>
      </c>
      <c r="AN65" s="666"/>
      <c r="AO65" s="666"/>
      <c r="AP65" s="685">
        <f>'RESUMEN PLAN FINANCIERO'!$G$15*0.01</f>
        <v>723633661.70000005</v>
      </c>
      <c r="AQ65" s="666"/>
      <c r="AR65" s="685">
        <f>'RESUMEN PLAN FINANCIERO'!$G$16*0.01</f>
        <v>5200912.43</v>
      </c>
      <c r="AS65" s="666">
        <f>SUM(AL65:AR65)</f>
        <v>2146025758.2304831</v>
      </c>
      <c r="AT65" s="665"/>
      <c r="AU65" s="665"/>
      <c r="AV65" s="652"/>
      <c r="AW65" s="652"/>
      <c r="AX65" s="652"/>
      <c r="AY65" s="652"/>
    </row>
    <row r="66" spans="1:53" s="55" customFormat="1" ht="147" customHeight="1">
      <c r="A66" s="648" t="s">
        <v>134</v>
      </c>
      <c r="B66" s="61" t="s">
        <v>142</v>
      </c>
      <c r="C66" s="77" t="s">
        <v>668</v>
      </c>
      <c r="D66" s="876"/>
      <c r="E66" s="568"/>
      <c r="F66" s="568"/>
      <c r="G66" s="568"/>
      <c r="H66" s="568"/>
      <c r="I66" s="568"/>
      <c r="J66" s="568"/>
      <c r="K66" s="568"/>
      <c r="L66" s="569"/>
      <c r="M66" s="62">
        <v>1</v>
      </c>
      <c r="N66" s="568"/>
      <c r="O66" s="568"/>
      <c r="P66" s="568"/>
      <c r="Q66" s="568"/>
      <c r="R66" s="568"/>
      <c r="S66" s="568"/>
      <c r="T66" s="568"/>
      <c r="U66" s="568">
        <f t="shared" si="11"/>
        <v>0</v>
      </c>
      <c r="V66" s="568"/>
      <c r="W66" s="568"/>
      <c r="X66" s="568"/>
      <c r="Y66" s="568"/>
      <c r="Z66" s="568"/>
      <c r="AA66" s="568"/>
      <c r="AB66" s="568"/>
      <c r="AC66" s="569"/>
      <c r="AD66" s="568"/>
      <c r="AE66" s="568"/>
      <c r="AF66" s="568"/>
      <c r="AG66" s="568"/>
      <c r="AH66" s="568"/>
      <c r="AI66" s="568"/>
      <c r="AJ66" s="568"/>
      <c r="AK66" s="569"/>
      <c r="AL66" s="568"/>
      <c r="AM66" s="568"/>
      <c r="AN66" s="568"/>
      <c r="AO66" s="568"/>
      <c r="AP66" s="568"/>
      <c r="AQ66" s="568"/>
      <c r="AR66" s="568"/>
      <c r="AS66" s="569"/>
      <c r="AT66" s="62">
        <f t="shared" si="12"/>
        <v>3.4482758620689653</v>
      </c>
      <c r="AU66" s="62">
        <f t="shared" si="12"/>
        <v>3.4482758620689653</v>
      </c>
      <c r="AZ66" s="52"/>
      <c r="BA66" s="52"/>
    </row>
    <row r="67" spans="1:53" s="653" customFormat="1" ht="147" customHeight="1">
      <c r="A67" s="663"/>
      <c r="B67" s="664"/>
      <c r="C67" s="661"/>
      <c r="D67" s="871">
        <f>(E67+I67+K67)/($E$5+$I$5+$K$5)</f>
        <v>1.4144489943949186E-2</v>
      </c>
      <c r="E67" s="666">
        <f t="shared" ref="E67" si="183">N67+V67+AD67+AL67</f>
        <v>451464659.75637442</v>
      </c>
      <c r="F67" s="666">
        <f t="shared" ref="F67" si="184">O67+W67+AE67+AM67</f>
        <v>400000000</v>
      </c>
      <c r="G67" s="666">
        <f t="shared" ref="G67" si="185">P67+X67+AF67+AN67</f>
        <v>0</v>
      </c>
      <c r="H67" s="666">
        <f t="shared" ref="H67" si="186">Q67+Y67+AG67+AO67</f>
        <v>0</v>
      </c>
      <c r="I67" s="666">
        <f t="shared" ref="I67" si="187">R67+Z67+AH67+AP67</f>
        <v>4337472704.1199999</v>
      </c>
      <c r="J67" s="666">
        <f t="shared" ref="J67" si="188">S67+AA67+AI67+AQ67</f>
        <v>5529266605.1852999</v>
      </c>
      <c r="K67" s="666">
        <f t="shared" ref="K67" si="189">T67+AB67+AJ67+AR67</f>
        <v>34867341.495000005</v>
      </c>
      <c r="L67" s="666">
        <f>SUM(E67:K67)</f>
        <v>10753071310.556675</v>
      </c>
      <c r="M67" s="665"/>
      <c r="N67" s="666">
        <f>'HOMOLOGACION 2020'!B21</f>
        <v>90000000</v>
      </c>
      <c r="O67" s="666">
        <v>100000000</v>
      </c>
      <c r="P67" s="666"/>
      <c r="Q67" s="666"/>
      <c r="R67" s="854">
        <v>1070000000</v>
      </c>
      <c r="S67" s="666">
        <v>543071310.5553</v>
      </c>
      <c r="T67" s="666"/>
      <c r="U67" s="666">
        <f t="shared" si="11"/>
        <v>1803071310.5553</v>
      </c>
      <c r="V67" s="666">
        <f>'RESUMEN PLAN FINANCIERO'!E11*0.015</f>
        <v>116003725.25565</v>
      </c>
      <c r="W67" s="682">
        <v>100000000</v>
      </c>
      <c r="X67" s="666"/>
      <c r="Y67" s="666"/>
      <c r="Z67" s="666">
        <f>'RESUMEN PLAN FINANCIERO'!E15*0.015</f>
        <v>1112509599.0599999</v>
      </c>
      <c r="AA67" s="666">
        <v>1705565515.1800001</v>
      </c>
      <c r="AB67" s="666">
        <f>'RESUMEN PLAN FINANCIERO'!E16*0.015</f>
        <v>15921160.5</v>
      </c>
      <c r="AC67" s="666">
        <f>SUM(V67:AB67)</f>
        <v>3049999999.9956503</v>
      </c>
      <c r="AD67" s="666">
        <f>'RESUMEN PLAN FINANCIERO'!$F$11*0.015</f>
        <v>120455968.34999999</v>
      </c>
      <c r="AE67" s="666">
        <v>100000000</v>
      </c>
      <c r="AF67" s="666"/>
      <c r="AG67" s="666"/>
      <c r="AH67" s="685">
        <f>'RESUMEN PLAN FINANCIERO'!$F$15*0.015</f>
        <v>1069512612.51</v>
      </c>
      <c r="AI67" s="666">
        <v>1598886606.79</v>
      </c>
      <c r="AJ67" s="685">
        <f>'RESUMEN PLAN FINANCIERO'!$F$16*0.015</f>
        <v>11144812.35</v>
      </c>
      <c r="AK67" s="666">
        <f>SUBTOTAL(9,AD67:AJ67)</f>
        <v>2899999999.9999995</v>
      </c>
      <c r="AL67" s="666">
        <f>'RESUMEN PLAN FINANCIERO'!$G$11*0.015</f>
        <v>125004966.15072449</v>
      </c>
      <c r="AM67" s="666">
        <v>100000000</v>
      </c>
      <c r="AN67" s="666"/>
      <c r="AO67" s="666"/>
      <c r="AP67" s="685">
        <f>'RESUMEN PLAN FINANCIERO'!$G$15*0.015</f>
        <v>1085450492.55</v>
      </c>
      <c r="AQ67" s="666">
        <f>1681743172.75-0.09</f>
        <v>1681743172.6600001</v>
      </c>
      <c r="AR67" s="856">
        <f>'RESUMEN PLAN FINANCIERO'!$G$16*0.015</f>
        <v>7801368.6449999996</v>
      </c>
      <c r="AS67" s="666">
        <f>SUM(AL67:AR67)</f>
        <v>3000000000.0057244</v>
      </c>
      <c r="AT67" s="665"/>
      <c r="AU67" s="665"/>
      <c r="AV67" s="652"/>
      <c r="AW67" s="652"/>
      <c r="AX67" s="652"/>
      <c r="AY67" s="652"/>
    </row>
    <row r="68" spans="1:53" s="55" customFormat="1" ht="147" customHeight="1">
      <c r="A68" s="648" t="s">
        <v>134</v>
      </c>
      <c r="B68" s="61" t="s">
        <v>143</v>
      </c>
      <c r="C68" s="725" t="s">
        <v>669</v>
      </c>
      <c r="D68" s="876"/>
      <c r="E68" s="568"/>
      <c r="F68" s="568"/>
      <c r="G68" s="568"/>
      <c r="H68" s="568"/>
      <c r="I68" s="568"/>
      <c r="J68" s="568"/>
      <c r="K68" s="568"/>
      <c r="L68" s="569"/>
      <c r="M68" s="62">
        <v>1.5</v>
      </c>
      <c r="N68" s="568"/>
      <c r="O68" s="568"/>
      <c r="P68" s="568"/>
      <c r="Q68" s="568"/>
      <c r="R68" s="568"/>
      <c r="S68" s="568"/>
      <c r="T68" s="568"/>
      <c r="U68" s="568">
        <f t="shared" si="11"/>
        <v>0</v>
      </c>
      <c r="V68" s="568"/>
      <c r="W68" s="568"/>
      <c r="X68" s="568"/>
      <c r="Y68" s="568"/>
      <c r="Z68" s="568"/>
      <c r="AA68" s="568"/>
      <c r="AB68" s="568"/>
      <c r="AC68" s="569"/>
      <c r="AD68" s="568"/>
      <c r="AE68" s="568"/>
      <c r="AF68" s="568"/>
      <c r="AG68" s="568"/>
      <c r="AH68" s="568"/>
      <c r="AI68" s="568"/>
      <c r="AJ68" s="568"/>
      <c r="AK68" s="569"/>
      <c r="AL68" s="568"/>
      <c r="AM68" s="568"/>
      <c r="AN68" s="568"/>
      <c r="AO68" s="568"/>
      <c r="AP68" s="568"/>
      <c r="AQ68" s="568"/>
      <c r="AR68" s="568"/>
      <c r="AS68" s="569"/>
      <c r="AT68" s="62">
        <f t="shared" si="12"/>
        <v>3.4482758620689653</v>
      </c>
      <c r="AU68" s="62">
        <f t="shared" si="12"/>
        <v>3.4482758620689653</v>
      </c>
      <c r="AZ68" s="52"/>
      <c r="BA68" s="52"/>
    </row>
    <row r="69" spans="1:53" s="55" customFormat="1" ht="147" customHeight="1">
      <c r="A69" s="648" t="s">
        <v>134</v>
      </c>
      <c r="B69" s="61" t="s">
        <v>143</v>
      </c>
      <c r="C69" s="725" t="s">
        <v>674</v>
      </c>
      <c r="D69" s="876"/>
      <c r="E69" s="568"/>
      <c r="F69" s="568"/>
      <c r="G69" s="568"/>
      <c r="H69" s="568"/>
      <c r="I69" s="568"/>
      <c r="J69" s="568"/>
      <c r="K69" s="568"/>
      <c r="L69" s="569"/>
      <c r="M69" s="62">
        <v>1.5</v>
      </c>
      <c r="N69" s="568"/>
      <c r="O69" s="568"/>
      <c r="P69" s="568"/>
      <c r="Q69" s="568"/>
      <c r="R69" s="568"/>
      <c r="S69" s="568"/>
      <c r="T69" s="568"/>
      <c r="U69" s="568">
        <f t="shared" ref="U69" si="190">SUM(N69:T69)</f>
        <v>0</v>
      </c>
      <c r="V69" s="568"/>
      <c r="W69" s="568"/>
      <c r="X69" s="568"/>
      <c r="Y69" s="568"/>
      <c r="Z69" s="568"/>
      <c r="AA69" s="568"/>
      <c r="AB69" s="568"/>
      <c r="AC69" s="569"/>
      <c r="AD69" s="568"/>
      <c r="AE69" s="568"/>
      <c r="AF69" s="568"/>
      <c r="AG69" s="568"/>
      <c r="AH69" s="568"/>
      <c r="AI69" s="568"/>
      <c r="AJ69" s="568"/>
      <c r="AK69" s="569"/>
      <c r="AL69" s="568"/>
      <c r="AM69" s="568"/>
      <c r="AN69" s="568"/>
      <c r="AO69" s="568"/>
      <c r="AP69" s="568"/>
      <c r="AQ69" s="568"/>
      <c r="AR69" s="568"/>
      <c r="AS69" s="569"/>
      <c r="AT69" s="62">
        <f t="shared" si="12"/>
        <v>3.4482758620689653</v>
      </c>
      <c r="AU69" s="62">
        <f t="shared" si="12"/>
        <v>3.4482758620689653</v>
      </c>
      <c r="AZ69" s="52"/>
      <c r="BA69" s="52"/>
    </row>
    <row r="70" spans="1:53" s="55" customFormat="1" ht="147" customHeight="1">
      <c r="A70" s="648" t="s">
        <v>134</v>
      </c>
      <c r="B70" s="61" t="s">
        <v>143</v>
      </c>
      <c r="C70" s="725" t="s">
        <v>670</v>
      </c>
      <c r="D70" s="876"/>
      <c r="E70" s="568"/>
      <c r="F70" s="568"/>
      <c r="G70" s="568"/>
      <c r="H70" s="568"/>
      <c r="I70" s="568"/>
      <c r="J70" s="568"/>
      <c r="K70" s="568"/>
      <c r="L70" s="569"/>
      <c r="M70" s="62">
        <v>1.5</v>
      </c>
      <c r="N70" s="568"/>
      <c r="O70" s="568"/>
      <c r="P70" s="568"/>
      <c r="Q70" s="568"/>
      <c r="R70" s="568"/>
      <c r="S70" s="568"/>
      <c r="T70" s="568"/>
      <c r="U70" s="568">
        <f t="shared" ref="U70" si="191">SUM(N70:T70)</f>
        <v>0</v>
      </c>
      <c r="V70" s="568"/>
      <c r="W70" s="568"/>
      <c r="X70" s="568"/>
      <c r="Y70" s="568"/>
      <c r="Z70" s="568"/>
      <c r="AA70" s="568"/>
      <c r="AB70" s="568"/>
      <c r="AC70" s="569"/>
      <c r="AD70" s="568"/>
      <c r="AE70" s="568"/>
      <c r="AF70" s="568"/>
      <c r="AG70" s="568"/>
      <c r="AH70" s="568"/>
      <c r="AI70" s="568"/>
      <c r="AJ70" s="568"/>
      <c r="AK70" s="569"/>
      <c r="AL70" s="568"/>
      <c r="AM70" s="568"/>
      <c r="AN70" s="568"/>
      <c r="AO70" s="568"/>
      <c r="AP70" s="568"/>
      <c r="AQ70" s="568"/>
      <c r="AR70" s="568"/>
      <c r="AS70" s="569"/>
      <c r="AT70" s="62">
        <f t="shared" si="12"/>
        <v>3.4482758620689653</v>
      </c>
      <c r="AU70" s="62">
        <f t="shared" si="12"/>
        <v>3.4482758620689653</v>
      </c>
      <c r="AZ70" s="52"/>
      <c r="BA70" s="52"/>
    </row>
    <row r="71" spans="1:53" s="55" customFormat="1" ht="147" customHeight="1">
      <c r="A71" s="648" t="s">
        <v>134</v>
      </c>
      <c r="B71" s="61" t="s">
        <v>143</v>
      </c>
      <c r="C71" s="725" t="s">
        <v>671</v>
      </c>
      <c r="D71" s="876"/>
      <c r="E71" s="568"/>
      <c r="F71" s="568"/>
      <c r="G71" s="568"/>
      <c r="H71" s="568"/>
      <c r="I71" s="568"/>
      <c r="J71" s="568"/>
      <c r="K71" s="568"/>
      <c r="L71" s="569"/>
      <c r="M71" s="62">
        <v>1.5</v>
      </c>
      <c r="N71" s="568"/>
      <c r="O71" s="568"/>
      <c r="P71" s="568"/>
      <c r="Q71" s="568"/>
      <c r="R71" s="568"/>
      <c r="S71" s="568"/>
      <c r="T71" s="568"/>
      <c r="U71" s="568">
        <f t="shared" ref="U71" si="192">SUM(N71:T71)</f>
        <v>0</v>
      </c>
      <c r="V71" s="568"/>
      <c r="W71" s="568"/>
      <c r="X71" s="568"/>
      <c r="Y71" s="568"/>
      <c r="Z71" s="568"/>
      <c r="AA71" s="568"/>
      <c r="AB71" s="568"/>
      <c r="AC71" s="569"/>
      <c r="AD71" s="568"/>
      <c r="AE71" s="568"/>
      <c r="AF71" s="568"/>
      <c r="AG71" s="568"/>
      <c r="AH71" s="568"/>
      <c r="AI71" s="568"/>
      <c r="AJ71" s="568"/>
      <c r="AK71" s="569"/>
      <c r="AL71" s="568"/>
      <c r="AM71" s="568"/>
      <c r="AN71" s="568"/>
      <c r="AO71" s="568"/>
      <c r="AP71" s="568"/>
      <c r="AQ71" s="568"/>
      <c r="AR71" s="568"/>
      <c r="AS71" s="569"/>
      <c r="AT71" s="62">
        <f t="shared" si="12"/>
        <v>3.4482758620689653</v>
      </c>
      <c r="AU71" s="62">
        <f t="shared" si="12"/>
        <v>3.4482758620689653</v>
      </c>
      <c r="AZ71" s="52"/>
      <c r="BA71" s="52"/>
    </row>
    <row r="72" spans="1:53" s="653" customFormat="1" ht="147" customHeight="1">
      <c r="A72" s="663"/>
      <c r="B72" s="664"/>
      <c r="C72" s="661"/>
      <c r="D72" s="871">
        <f>(E72+I72+K72)/($E$5+$I$5+$K$5)</f>
        <v>4.0448849797643696E-2</v>
      </c>
      <c r="E72" s="666">
        <f t="shared" ref="E72" si="193">N72+V72+AD72+AL72</f>
        <v>751952879.67516601</v>
      </c>
      <c r="F72" s="666">
        <f t="shared" ref="F72" si="194">O72+W72+AE72+AM72</f>
        <v>14388904640</v>
      </c>
      <c r="G72" s="666">
        <f t="shared" ref="G72" si="195">P72+X72+AF72+AN72</f>
        <v>0</v>
      </c>
      <c r="H72" s="666">
        <f t="shared" ref="H72" si="196">Q72+Y72+AG72+AO72</f>
        <v>0</v>
      </c>
      <c r="I72" s="666">
        <f t="shared" ref="I72" si="197">R72+Z72+AH72+AP72</f>
        <v>12996141141.609999</v>
      </c>
      <c r="J72" s="666">
        <f t="shared" ref="J72" si="198">S72+AA72+AI72+AQ72</f>
        <v>4705000000</v>
      </c>
      <c r="K72" s="666">
        <f t="shared" ref="K72" si="199">T72+AB72+AJ72+AR72</f>
        <v>46489788.659999996</v>
      </c>
      <c r="L72" s="666">
        <f>SUM(E72:K72)</f>
        <v>32888488449.945164</v>
      </c>
      <c r="M72" s="665"/>
      <c r="N72" s="666">
        <f>'HOMOLOGACION 2020'!B22</f>
        <v>270000000</v>
      </c>
      <c r="O72" s="854">
        <f>50000000+3547226160</f>
        <v>3597226160</v>
      </c>
      <c r="P72" s="666"/>
      <c r="Q72" s="666"/>
      <c r="R72" s="854">
        <v>2842799257.4499998</v>
      </c>
      <c r="S72" s="666">
        <v>130000000</v>
      </c>
      <c r="T72" s="666"/>
      <c r="U72" s="666">
        <f t="shared" si="11"/>
        <v>6840025417.4499998</v>
      </c>
      <c r="V72" s="666">
        <f>'RESUMEN PLAN FINANCIERO'!E11*0.02</f>
        <v>154671633.6742</v>
      </c>
      <c r="W72" s="854">
        <f>50000000+3547226160</f>
        <v>3597226160</v>
      </c>
      <c r="X72" s="666"/>
      <c r="Y72" s="666"/>
      <c r="Z72" s="854">
        <f>'RESUMEN PLAN FINANCIERO'!E15*0.02+1932237204</f>
        <v>3415583336.0799999</v>
      </c>
      <c r="AA72" s="854">
        <v>1725600000</v>
      </c>
      <c r="AB72" s="666">
        <f>'RESUMEN PLAN FINANCIERO'!E16*0.02</f>
        <v>21228214</v>
      </c>
      <c r="AC72" s="666">
        <f>SUM(V72:AB72)</f>
        <v>8914309343.7542</v>
      </c>
      <c r="AD72" s="666">
        <f>'RESUMEN PLAN FINANCIERO'!$F$11*0.02</f>
        <v>160607957.80000001</v>
      </c>
      <c r="AE72" s="854">
        <f>50000000+3547226160</f>
        <v>3597226160</v>
      </c>
      <c r="AF72" s="666"/>
      <c r="AG72" s="666"/>
      <c r="AH72" s="857">
        <f>'RESUMEN PLAN FINANCIERO'!$F$15*0.02+1932237204</f>
        <v>3358254020.6800003</v>
      </c>
      <c r="AI72" s="666">
        <v>1429599999.9999995</v>
      </c>
      <c r="AJ72" s="685">
        <f>'RESUMEN PLAN FINANCIERO'!$F$16*0.02</f>
        <v>14859749.800000001</v>
      </c>
      <c r="AK72" s="666">
        <f>SUBTOTAL(9,AD72:AJ72)</f>
        <v>8560547888.2799997</v>
      </c>
      <c r="AL72" s="666">
        <f>'RESUMEN PLAN FINANCIERO'!$G$11*0.02</f>
        <v>166673288.200966</v>
      </c>
      <c r="AM72" s="854">
        <f>50000000+3547226160</f>
        <v>3597226160</v>
      </c>
      <c r="AN72" s="666"/>
      <c r="AO72" s="666"/>
      <c r="AP72" s="857">
        <f>'RESUMEN PLAN FINANCIERO'!$G$15*0.02+1932237204</f>
        <v>3379504527.4000001</v>
      </c>
      <c r="AQ72" s="666">
        <v>1419800000</v>
      </c>
      <c r="AR72" s="685">
        <f>'RESUMEN PLAN FINANCIERO'!$G$16*0.02</f>
        <v>10401824.859999999</v>
      </c>
      <c r="AS72" s="666">
        <f>SUM(AL72:AR72)</f>
        <v>8573605800.4609652</v>
      </c>
      <c r="AT72" s="665"/>
      <c r="AU72" s="665"/>
      <c r="AV72" s="652"/>
      <c r="AW72" s="652"/>
      <c r="AX72" s="652"/>
      <c r="AY72" s="652"/>
    </row>
    <row r="73" spans="1:53" s="55" customFormat="1" ht="147" customHeight="1">
      <c r="A73" s="648" t="s">
        <v>134</v>
      </c>
      <c r="B73" s="61" t="s">
        <v>144</v>
      </c>
      <c r="C73" s="77" t="s">
        <v>673</v>
      </c>
      <c r="D73" s="876"/>
      <c r="E73" s="568"/>
      <c r="F73" s="568"/>
      <c r="G73" s="568"/>
      <c r="H73" s="568"/>
      <c r="I73" s="568"/>
      <c r="J73" s="568"/>
      <c r="K73" s="568"/>
      <c r="L73" s="569"/>
      <c r="M73" s="62">
        <v>1.5</v>
      </c>
      <c r="N73" s="568"/>
      <c r="O73" s="568"/>
      <c r="P73" s="568"/>
      <c r="Q73" s="568"/>
      <c r="R73" s="568"/>
      <c r="S73" s="568"/>
      <c r="T73" s="568"/>
      <c r="U73" s="568">
        <f t="shared" si="11"/>
        <v>0</v>
      </c>
      <c r="V73" s="568"/>
      <c r="W73" s="568"/>
      <c r="X73" s="568"/>
      <c r="Y73" s="568"/>
      <c r="Z73" s="568"/>
      <c r="AA73" s="568"/>
      <c r="AB73" s="568"/>
      <c r="AC73" s="569"/>
      <c r="AD73" s="568"/>
      <c r="AE73" s="568"/>
      <c r="AF73" s="568"/>
      <c r="AG73" s="568"/>
      <c r="AH73" s="568"/>
      <c r="AI73" s="568"/>
      <c r="AJ73" s="568"/>
      <c r="AK73" s="569"/>
      <c r="AL73" s="568"/>
      <c r="AM73" s="568"/>
      <c r="AN73" s="568"/>
      <c r="AO73" s="568"/>
      <c r="AP73" s="568"/>
      <c r="AQ73" s="568"/>
      <c r="AR73" s="568"/>
      <c r="AS73" s="569"/>
      <c r="AT73" s="62">
        <f t="shared" si="12"/>
        <v>3.4482758620689653</v>
      </c>
      <c r="AU73" s="62">
        <f t="shared" si="12"/>
        <v>3.4482758620689653</v>
      </c>
      <c r="AZ73" s="52"/>
      <c r="BA73" s="52"/>
    </row>
    <row r="74" spans="1:53" s="653" customFormat="1" ht="147" customHeight="1">
      <c r="A74" s="663"/>
      <c r="B74" s="664"/>
      <c r="C74" s="661"/>
      <c r="D74" s="871">
        <f>(E74+I74+K74)/($E$5+$I$5+$K$5)</f>
        <v>1.8087241388111016E-2</v>
      </c>
      <c r="E74" s="666">
        <f t="shared" ref="E74" si="200">N74+V74+AD74+AL74</f>
        <v>765311636.67516601</v>
      </c>
      <c r="F74" s="666">
        <f t="shared" ref="F74" si="201">O74+W74+AE74+AM74</f>
        <v>0</v>
      </c>
      <c r="G74" s="666">
        <f t="shared" ref="G74" si="202">P74+X74+AF74+AN74</f>
        <v>0</v>
      </c>
      <c r="H74" s="666">
        <f t="shared" ref="H74" si="203">Q74+Y74+AG74+AO74</f>
        <v>0</v>
      </c>
      <c r="I74" s="666">
        <f t="shared" ref="I74" si="204">R74+Z74+AH74+AP74</f>
        <v>5356630272.1599998</v>
      </c>
      <c r="J74" s="666">
        <f t="shared" ref="J74" si="205">S74+AA74+AI74+AQ74</f>
        <v>3000000000</v>
      </c>
      <c r="K74" s="666">
        <f t="shared" ref="K74" si="206">T74+AB74+AJ74+AR74</f>
        <v>46489788.659999996</v>
      </c>
      <c r="L74" s="666">
        <f>SUM(E74:K74)</f>
        <v>9168431697.4951668</v>
      </c>
      <c r="M74" s="665"/>
      <c r="N74" s="666">
        <f>'HOMOLOGACION 2020'!B23</f>
        <v>283358757</v>
      </c>
      <c r="O74" s="666"/>
      <c r="P74" s="666"/>
      <c r="Q74" s="666"/>
      <c r="R74" s="666">
        <v>1000000000</v>
      </c>
      <c r="S74" s="666"/>
      <c r="T74" s="666"/>
      <c r="U74" s="666">
        <f t="shared" si="11"/>
        <v>1283358757</v>
      </c>
      <c r="V74" s="666">
        <f>'RESUMEN PLAN FINANCIERO'!E11*0.02</f>
        <v>154671633.6742</v>
      </c>
      <c r="W74" s="666"/>
      <c r="X74" s="666"/>
      <c r="Y74" s="666"/>
      <c r="Z74" s="666">
        <f>'RESUMEN PLAN FINANCIERO'!E15*0.02</f>
        <v>1483346132.0799999</v>
      </c>
      <c r="AA74" s="666">
        <v>1000000000</v>
      </c>
      <c r="AB74" s="666">
        <f>'RESUMEN PLAN FINANCIERO'!E16*0.02</f>
        <v>21228214</v>
      </c>
      <c r="AC74" s="666">
        <f>SUM(V74:AB74)</f>
        <v>2659245979.7542</v>
      </c>
      <c r="AD74" s="666">
        <f>'RESUMEN PLAN FINANCIERO'!$F$11*0.02</f>
        <v>160607957.80000001</v>
      </c>
      <c r="AE74" s="666"/>
      <c r="AF74" s="666"/>
      <c r="AG74" s="666"/>
      <c r="AH74" s="685">
        <f>'RESUMEN PLAN FINANCIERO'!$F$15*0.02</f>
        <v>1426016816.6800001</v>
      </c>
      <c r="AI74" s="666">
        <v>1000000000</v>
      </c>
      <c r="AJ74" s="685">
        <f>'RESUMEN PLAN FINANCIERO'!$F$16*0.02</f>
        <v>14859749.800000001</v>
      </c>
      <c r="AK74" s="666">
        <f>SUBTOTAL(9,AD74:AJ74)</f>
        <v>2601484524.2800002</v>
      </c>
      <c r="AL74" s="666">
        <f>'RESUMEN PLAN FINANCIERO'!$G$11*0.02</f>
        <v>166673288.200966</v>
      </c>
      <c r="AM74" s="666"/>
      <c r="AN74" s="666"/>
      <c r="AO74" s="666"/>
      <c r="AP74" s="685">
        <f>'RESUMEN PLAN FINANCIERO'!$G$15*0.02</f>
        <v>1447267323.4000001</v>
      </c>
      <c r="AQ74" s="666">
        <v>1000000000</v>
      </c>
      <c r="AR74" s="685">
        <f>'RESUMEN PLAN FINANCIERO'!$G$16*0.02</f>
        <v>10401824.859999999</v>
      </c>
      <c r="AS74" s="666">
        <f>SUM(AL74:AR74)</f>
        <v>2624342436.4609661</v>
      </c>
      <c r="AT74" s="665"/>
      <c r="AU74" s="665"/>
      <c r="AV74" s="652"/>
      <c r="AW74" s="652"/>
      <c r="AX74" s="652"/>
      <c r="AY74" s="652"/>
    </row>
    <row r="75" spans="1:53" s="55" customFormat="1" ht="147" customHeight="1">
      <c r="A75" s="648" t="s">
        <v>134</v>
      </c>
      <c r="B75" s="61" t="s">
        <v>145</v>
      </c>
      <c r="C75" s="77" t="s">
        <v>672</v>
      </c>
      <c r="D75" s="876"/>
      <c r="E75" s="568"/>
      <c r="F75" s="568"/>
      <c r="G75" s="568"/>
      <c r="H75" s="568"/>
      <c r="I75" s="568"/>
      <c r="J75" s="568"/>
      <c r="K75" s="568"/>
      <c r="L75" s="569"/>
      <c r="M75" s="62">
        <v>2</v>
      </c>
      <c r="N75" s="568"/>
      <c r="O75" s="568"/>
      <c r="P75" s="568"/>
      <c r="Q75" s="568"/>
      <c r="R75" s="568"/>
      <c r="S75" s="568"/>
      <c r="T75" s="568"/>
      <c r="U75" s="568">
        <f t="shared" si="11"/>
        <v>0</v>
      </c>
      <c r="V75" s="568"/>
      <c r="W75" s="568"/>
      <c r="X75" s="568"/>
      <c r="Y75" s="568"/>
      <c r="Z75" s="568"/>
      <c r="AA75" s="568"/>
      <c r="AB75" s="568"/>
      <c r="AC75" s="569"/>
      <c r="AD75" s="568"/>
      <c r="AE75" s="568"/>
      <c r="AF75" s="568"/>
      <c r="AG75" s="568"/>
      <c r="AH75" s="568"/>
      <c r="AI75" s="568"/>
      <c r="AJ75" s="568"/>
      <c r="AK75" s="569"/>
      <c r="AL75" s="568"/>
      <c r="AM75" s="568"/>
      <c r="AN75" s="568"/>
      <c r="AO75" s="568"/>
      <c r="AP75" s="568"/>
      <c r="AQ75" s="568"/>
      <c r="AR75" s="568"/>
      <c r="AS75" s="569"/>
      <c r="AT75" s="62">
        <f t="shared" si="12"/>
        <v>3.4482758620689653</v>
      </c>
      <c r="AU75" s="62">
        <f t="shared" si="12"/>
        <v>3.4482758620689653</v>
      </c>
      <c r="AZ75" s="52"/>
      <c r="BA75" s="52"/>
    </row>
    <row r="76" spans="1:53" s="653" customFormat="1" ht="147" customHeight="1">
      <c r="A76" s="663"/>
      <c r="B76" s="664"/>
      <c r="C76" s="661"/>
      <c r="D76" s="871">
        <f>(E76+I76+K76)/($E$5+$I$5+$K$5)</f>
        <v>7.1078035701557962E-2</v>
      </c>
      <c r="E76" s="666">
        <f t="shared" ref="E76" si="207">N76+V76+AD76+AL76</f>
        <v>3827811518.700664</v>
      </c>
      <c r="F76" s="666">
        <f t="shared" ref="F76" si="208">O76+W76+AE76+AM76</f>
        <v>0</v>
      </c>
      <c r="G76" s="666">
        <f t="shared" ref="G76" si="209">P76+X76+AF76+AN76</f>
        <v>0</v>
      </c>
      <c r="H76" s="666">
        <f t="shared" ref="H76" si="210">Q76+Y76+AG76+AO76</f>
        <v>0</v>
      </c>
      <c r="I76" s="666">
        <f t="shared" ref="I76" si="211">R76+Z76+AH76+AP76</f>
        <v>18926521088.639999</v>
      </c>
      <c r="J76" s="666">
        <f t="shared" ref="J76" si="212">S76+AA76+AI76+AQ76</f>
        <v>3000000000</v>
      </c>
      <c r="K76" s="666">
        <f t="shared" ref="K76" si="213">T76+AB76+AJ76+AR76</f>
        <v>1485959154.6400001</v>
      </c>
      <c r="L76" s="666">
        <f>SUM(E76:K76)</f>
        <v>27240291761.980663</v>
      </c>
      <c r="M76" s="665"/>
      <c r="N76" s="666">
        <f>'HOMOLOGACION 2020'!B24</f>
        <v>1900000000</v>
      </c>
      <c r="O76" s="666"/>
      <c r="P76" s="666"/>
      <c r="Q76" s="666"/>
      <c r="R76" s="666">
        <v>3000000000</v>
      </c>
      <c r="S76" s="666"/>
      <c r="T76" s="666">
        <f>'HOMOLOGACION 2020'!I24</f>
        <v>1300000000</v>
      </c>
      <c r="U76" s="666">
        <f t="shared" si="11"/>
        <v>6200000000</v>
      </c>
      <c r="V76" s="666">
        <f>'RESUMEN PLAN FINANCIERO'!E11*0.08</f>
        <v>618686534.69679999</v>
      </c>
      <c r="W76" s="666"/>
      <c r="X76" s="666"/>
      <c r="Y76" s="666"/>
      <c r="Z76" s="666">
        <f>'RESUMEN PLAN FINANCIERO'!E15*0.08-300000000-200000000</f>
        <v>5433384528.3199997</v>
      </c>
      <c r="AA76" s="666">
        <v>1000000000</v>
      </c>
      <c r="AB76" s="666">
        <f>'RESUMEN PLAN FINANCIERO'!E16*0.08</f>
        <v>84912856</v>
      </c>
      <c r="AC76" s="666">
        <f>SUM(V76:AB76)</f>
        <v>7136983919.0167999</v>
      </c>
      <c r="AD76" s="666">
        <f>'RESUMEN PLAN FINANCIERO'!$F$11*0.08</f>
        <v>642431831.20000005</v>
      </c>
      <c r="AE76" s="666"/>
      <c r="AF76" s="666"/>
      <c r="AG76" s="666"/>
      <c r="AH76" s="685">
        <f>'RESUMEN PLAN FINANCIERO'!$F$15*0.08-300000000-200000000</f>
        <v>5204067266.7200003</v>
      </c>
      <c r="AI76" s="666">
        <v>1000000000</v>
      </c>
      <c r="AJ76" s="685">
        <f>'RESUMEN PLAN FINANCIERO'!$F$16*0.08</f>
        <v>59438999.200000003</v>
      </c>
      <c r="AK76" s="666">
        <f>SUBTOTAL(9,AD76:AJ76)</f>
        <v>6905938097.1199999</v>
      </c>
      <c r="AL76" s="666">
        <f>'RESUMEN PLAN FINANCIERO'!$G$11*0.08</f>
        <v>666693152.803864</v>
      </c>
      <c r="AM76" s="666"/>
      <c r="AN76" s="666"/>
      <c r="AO76" s="666"/>
      <c r="AP76" s="685">
        <f>'RESUMEN PLAN FINANCIERO'!$G$15*0.08-300000000-200000000</f>
        <v>5289069293.6000004</v>
      </c>
      <c r="AQ76" s="666">
        <v>1000000000</v>
      </c>
      <c r="AR76" s="685">
        <f>'RESUMEN PLAN FINANCIERO'!$G$16*0.08</f>
        <v>41607299.439999998</v>
      </c>
      <c r="AS76" s="666">
        <f>SUM(AL76:AR76)</f>
        <v>6997369745.8438635</v>
      </c>
      <c r="AT76" s="665"/>
      <c r="AU76" s="665"/>
      <c r="AV76" s="652"/>
      <c r="AW76" s="652"/>
      <c r="AX76" s="652"/>
      <c r="AY76" s="652"/>
    </row>
    <row r="77" spans="1:53" s="55" customFormat="1" ht="147" customHeight="1">
      <c r="A77" s="648" t="s">
        <v>134</v>
      </c>
      <c r="B77" s="61" t="s">
        <v>146</v>
      </c>
      <c r="C77" s="77" t="s">
        <v>675</v>
      </c>
      <c r="D77" s="876"/>
      <c r="E77" s="568"/>
      <c r="F77" s="568"/>
      <c r="G77" s="568"/>
      <c r="H77" s="568"/>
      <c r="I77" s="568"/>
      <c r="J77" s="568"/>
      <c r="K77" s="568"/>
      <c r="L77" s="569"/>
      <c r="M77" s="62">
        <v>8</v>
      </c>
      <c r="N77" s="568"/>
      <c r="O77" s="568"/>
      <c r="P77" s="568"/>
      <c r="Q77" s="568"/>
      <c r="R77" s="568"/>
      <c r="S77" s="568"/>
      <c r="T77" s="568"/>
      <c r="U77" s="568">
        <f t="shared" si="11"/>
        <v>0</v>
      </c>
      <c r="V77" s="568"/>
      <c r="W77" s="568"/>
      <c r="X77" s="568"/>
      <c r="Y77" s="568"/>
      <c r="Z77" s="568"/>
      <c r="AA77" s="568"/>
      <c r="AB77" s="568"/>
      <c r="AC77" s="569"/>
      <c r="AD77" s="568"/>
      <c r="AE77" s="568"/>
      <c r="AF77" s="568"/>
      <c r="AG77" s="568"/>
      <c r="AH77" s="568"/>
      <c r="AI77" s="568"/>
      <c r="AJ77" s="568"/>
      <c r="AK77" s="569"/>
      <c r="AL77" s="568"/>
      <c r="AM77" s="568"/>
      <c r="AN77" s="568"/>
      <c r="AO77" s="568"/>
      <c r="AP77" s="568"/>
      <c r="AQ77" s="568"/>
      <c r="AR77" s="568"/>
      <c r="AS77" s="569"/>
      <c r="AT77" s="62">
        <f t="shared" si="12"/>
        <v>3.4482758620689653</v>
      </c>
      <c r="AU77" s="62">
        <f t="shared" si="12"/>
        <v>3.4482758620689653</v>
      </c>
      <c r="AZ77" s="52"/>
      <c r="BA77" s="52"/>
    </row>
    <row r="78" spans="1:53" s="680" customFormat="1" ht="147" customHeight="1">
      <c r="A78" s="674"/>
      <c r="B78" s="675"/>
      <c r="C78" s="676"/>
      <c r="D78" s="878"/>
      <c r="E78" s="678">
        <f t="shared" ref="E78" si="214">N78+V78+AD78+AL78</f>
        <v>4612790885.5312614</v>
      </c>
      <c r="F78" s="678">
        <f t="shared" ref="F78" si="215">O78+W78+AE78+AM78</f>
        <v>5726771777.1599998</v>
      </c>
      <c r="G78" s="678">
        <f t="shared" ref="G78" si="216">P78+X78+AF78+AN78</f>
        <v>0</v>
      </c>
      <c r="H78" s="678">
        <f t="shared" ref="H78" si="217">Q78+Y78+AG78+AO78</f>
        <v>12628567563</v>
      </c>
      <c r="I78" s="678">
        <f t="shared" ref="I78" si="218">R78+Z78+AH78+AP78</f>
        <v>43853468138.376007</v>
      </c>
      <c r="J78" s="678">
        <f t="shared" ref="J78" si="219">S78+AA78+AI78+AQ78</f>
        <v>400000000</v>
      </c>
      <c r="K78" s="678">
        <f t="shared" ref="K78" si="220">T78+AB78+AJ78+AR78</f>
        <v>549623393.81599998</v>
      </c>
      <c r="L78" s="678">
        <f>SUM(E78:K78)</f>
        <v>67771221757.88327</v>
      </c>
      <c r="M78" s="677"/>
      <c r="N78" s="678">
        <f>N79+N82+N84+N87</f>
        <v>949949000</v>
      </c>
      <c r="O78" s="678">
        <f t="shared" ref="O78:T78" si="221">O79+O82+O84+O87</f>
        <v>846204729.15999997</v>
      </c>
      <c r="P78" s="678">
        <f t="shared" si="221"/>
        <v>0</v>
      </c>
      <c r="Q78" s="678">
        <f t="shared" si="221"/>
        <v>3644567563</v>
      </c>
      <c r="R78" s="678">
        <f t="shared" si="221"/>
        <v>13443078069.960011</v>
      </c>
      <c r="S78" s="678">
        <f t="shared" si="221"/>
        <v>100000000</v>
      </c>
      <c r="T78" s="678">
        <f t="shared" si="221"/>
        <v>196301000</v>
      </c>
      <c r="U78" s="678">
        <f t="shared" si="11"/>
        <v>19180100362.12001</v>
      </c>
      <c r="V78" s="678">
        <f>V79+V82+V84+V87</f>
        <v>1175504415.9239202</v>
      </c>
      <c r="W78" s="678">
        <f>W79+W82+W84+W87</f>
        <v>1660320000</v>
      </c>
      <c r="X78" s="678">
        <f t="shared" ref="X78:AB78" si="222">X79+X82+X84+X87</f>
        <v>0</v>
      </c>
      <c r="Y78" s="678">
        <f t="shared" si="222"/>
        <v>2921000000</v>
      </c>
      <c r="Z78" s="678">
        <f t="shared" si="222"/>
        <v>10373430603.808001</v>
      </c>
      <c r="AA78" s="678">
        <f t="shared" si="222"/>
        <v>100000000</v>
      </c>
      <c r="AB78" s="678">
        <f t="shared" si="222"/>
        <v>161334426.40000001</v>
      </c>
      <c r="AC78" s="678">
        <f>AC79+AC82+AC84+AC87</f>
        <v>16391589446.13192</v>
      </c>
      <c r="AD78" s="678">
        <f t="shared" ref="AD78" si="223">AD79+AD82+AD84+AD87</f>
        <v>1220620479.28</v>
      </c>
      <c r="AE78" s="678">
        <f t="shared" ref="AE78" si="224">AE79+AE82+AE84+AE87</f>
        <v>1623421600</v>
      </c>
      <c r="AF78" s="678">
        <f t="shared" ref="AF78" si="225">AF79+AF82+AF84+AF87</f>
        <v>0</v>
      </c>
      <c r="AG78" s="678">
        <f t="shared" ref="AG78" si="226">AG79+AG82+AG84+AG87</f>
        <v>2994000000</v>
      </c>
      <c r="AH78" s="678">
        <f t="shared" ref="AH78" si="227">AH79+AH82+AH84+AH87</f>
        <v>9937727806.7679996</v>
      </c>
      <c r="AI78" s="678">
        <f t="shared" ref="AI78" si="228">AI79+AI82+AI84+AI87</f>
        <v>100000000</v>
      </c>
      <c r="AJ78" s="678">
        <f t="shared" ref="AJ78" si="229">AJ79+AJ82+AJ84+AJ87</f>
        <v>112934098.48</v>
      </c>
      <c r="AK78" s="678">
        <f t="shared" ref="AK78" si="230">AK79+AK82+AK84+AK87</f>
        <v>15988703984.528002</v>
      </c>
      <c r="AL78" s="678">
        <f t="shared" ref="AL78" si="231">AL79+AL82+AL84+AL87</f>
        <v>1266716990.3273416</v>
      </c>
      <c r="AM78" s="678">
        <f t="shared" ref="AM78" si="232">AM79+AM82+AM84+AM87</f>
        <v>1596825448</v>
      </c>
      <c r="AN78" s="678">
        <f t="shared" ref="AN78" si="233">AN79+AN82+AN84+AN87</f>
        <v>0</v>
      </c>
      <c r="AO78" s="678">
        <f t="shared" ref="AO78" si="234">AO79+AO82+AO84+AO87</f>
        <v>3069000000</v>
      </c>
      <c r="AP78" s="678">
        <f t="shared" ref="AP78" si="235">AP79+AP82+AP84+AP87</f>
        <v>10099231657.84</v>
      </c>
      <c r="AQ78" s="678">
        <f t="shared" ref="AQ78" si="236">AQ79+AQ82+AQ84+AQ87</f>
        <v>100000000</v>
      </c>
      <c r="AR78" s="678">
        <f t="shared" ref="AR78" si="237">AR79+AR82+AR84+AR87</f>
        <v>79053868.936000004</v>
      </c>
      <c r="AS78" s="678">
        <f>SUM(AL78:AR78)</f>
        <v>16210827965.103342</v>
      </c>
      <c r="AT78" s="677"/>
      <c r="AU78" s="677"/>
      <c r="AV78" s="679"/>
      <c r="AW78" s="679"/>
      <c r="AX78" s="679"/>
      <c r="AY78" s="679"/>
    </row>
    <row r="79" spans="1:53" s="653" customFormat="1" ht="147" customHeight="1">
      <c r="A79" s="663"/>
      <c r="B79" s="664"/>
      <c r="C79" s="661"/>
      <c r="D79" s="871">
        <f>(E79+I79+K79)/($E$5+$I$5+$K$5)</f>
        <v>8.127434884618992E-2</v>
      </c>
      <c r="E79" s="666">
        <f t="shared" ref="E79" si="238">N79+V79+AD79+AL79</f>
        <v>3166014398.3758302</v>
      </c>
      <c r="F79" s="666">
        <f t="shared" ref="F79" si="239">O79+W79+AE79+AM79</f>
        <v>3689995122.25</v>
      </c>
      <c r="G79" s="666">
        <f t="shared" ref="G79" si="240">P79+X79+AF79+AN79</f>
        <v>0</v>
      </c>
      <c r="H79" s="666">
        <f t="shared" ref="H79" si="241">Q79+Y79+AG79+AO79</f>
        <v>0</v>
      </c>
      <c r="I79" s="666">
        <f t="shared" ref="I79" si="242">R79+Z79+AH79+AP79</f>
        <v>24129155882.760014</v>
      </c>
      <c r="J79" s="666">
        <f t="shared" ref="J79" si="243">S79+AA79+AI79+AQ79</f>
        <v>0</v>
      </c>
      <c r="K79" s="666">
        <f t="shared" ref="K79" si="244">T79+AB79+AJ79+AR79</f>
        <v>422448943.30000001</v>
      </c>
      <c r="L79" s="666">
        <f>SUM(E79:K79)</f>
        <v>31407614346.685841</v>
      </c>
      <c r="M79" s="665"/>
      <c r="N79" s="666">
        <f>'HOMOLOGACION 2020'!B25</f>
        <v>756250000</v>
      </c>
      <c r="O79" s="666">
        <f>'HOMOLOGACION 2020'!C25+'HOMOLOGACION 2020'!D25-8973741-391956008-240000000</f>
        <v>412820251</v>
      </c>
      <c r="P79" s="666"/>
      <c r="Q79" s="666"/>
      <c r="R79" s="666">
        <f>3946004521.96001+1600000000-500000000</f>
        <v>5046004521.9600105</v>
      </c>
      <c r="S79" s="666"/>
      <c r="T79" s="666">
        <f>'HOMOLOGACION 2020'!I25</f>
        <v>190000000</v>
      </c>
      <c r="U79" s="666">
        <f t="shared" si="11"/>
        <v>6405074772.9600105</v>
      </c>
      <c r="V79" s="666">
        <f>'RESUMEN PLAN FINANCIERO'!E11*0.1</f>
        <v>773358168.37100005</v>
      </c>
      <c r="W79" s="666">
        <f>ESTAMPILLAS!Q37+'PLAN FINANCIERO COMPLETO'!J96+'PLAN FINANCIERO COMPLETO'!J114</f>
        <v>1070162500</v>
      </c>
      <c r="X79" s="666"/>
      <c r="Y79" s="666"/>
      <c r="Z79" s="666">
        <f>'RESUMEN PLAN FINANCIERO'!E15*0.1-700000000-200000000</f>
        <v>6516730660.4000006</v>
      </c>
      <c r="AA79" s="666"/>
      <c r="AB79" s="666">
        <f>'RESUMEN PLAN FINANCIERO'!E16*0.1</f>
        <v>106141070</v>
      </c>
      <c r="AC79" s="666">
        <f>SUM(V79:AB79)</f>
        <v>8466392398.7710009</v>
      </c>
      <c r="AD79" s="666">
        <f>'RESUMEN PLAN FINANCIERO'!$F$11*0.1</f>
        <v>803039789</v>
      </c>
      <c r="AE79" s="666">
        <f>'PLAN FINANCIERO COMPLETO'!K96+'PLAN FINANCIERO COMPLETO'!K114+ESTAMPILLAS!Q59</f>
        <v>1090987375</v>
      </c>
      <c r="AF79" s="666"/>
      <c r="AG79" s="666"/>
      <c r="AH79" s="685">
        <f>'RESUMEN PLAN FINANCIERO'!$F$15*0.1-700000000-200000000</f>
        <v>6230084083.4000006</v>
      </c>
      <c r="AI79" s="666"/>
      <c r="AJ79" s="685">
        <f>'RESUMEN PLAN FINANCIERO'!$F$16*0.1</f>
        <v>74298749</v>
      </c>
      <c r="AK79" s="666">
        <f>SUBTOTAL(9,AD79:AJ79)</f>
        <v>8198409996.4000006</v>
      </c>
      <c r="AL79" s="666">
        <f>'RESUMEN PLAN FINANCIERO'!$G$11*0.1</f>
        <v>833366441.00483</v>
      </c>
      <c r="AM79" s="666">
        <f>'PLAN FINANCIERO COMPLETO'!L96+'PLAN FINANCIERO COMPLETO'!L114+ESTAMPILLAS!Q82</f>
        <v>1116024996.25</v>
      </c>
      <c r="AN79" s="666"/>
      <c r="AO79" s="666"/>
      <c r="AP79" s="685">
        <f>'RESUMEN PLAN FINANCIERO'!$G$15*0.1-700000000-200000000</f>
        <v>6336336617</v>
      </c>
      <c r="AQ79" s="666"/>
      <c r="AR79" s="685">
        <f>'RESUMEN PLAN FINANCIERO'!$G$16*0.1</f>
        <v>52009124.300000004</v>
      </c>
      <c r="AS79" s="666">
        <f>SUM(AL79:AR79)</f>
        <v>8337737178.5548296</v>
      </c>
      <c r="AT79" s="665"/>
      <c r="AU79" s="665"/>
      <c r="AV79" s="652"/>
      <c r="AW79" s="652"/>
      <c r="AX79" s="652"/>
      <c r="AY79" s="652"/>
    </row>
    <row r="80" spans="1:53" s="55" customFormat="1" ht="147" customHeight="1">
      <c r="A80" s="649" t="s">
        <v>147</v>
      </c>
      <c r="B80" s="65" t="s">
        <v>148</v>
      </c>
      <c r="C80" s="78" t="s">
        <v>676</v>
      </c>
      <c r="D80" s="879"/>
      <c r="E80" s="570"/>
      <c r="F80" s="570"/>
      <c r="G80" s="570"/>
      <c r="H80" s="570"/>
      <c r="I80" s="570"/>
      <c r="J80" s="570"/>
      <c r="K80" s="570"/>
      <c r="L80" s="571"/>
      <c r="M80" s="66">
        <v>10</v>
      </c>
      <c r="N80" s="570"/>
      <c r="O80" s="570"/>
      <c r="P80" s="570"/>
      <c r="Q80" s="570"/>
      <c r="R80" s="570"/>
      <c r="S80" s="570"/>
      <c r="T80" s="570"/>
      <c r="U80" s="570">
        <f t="shared" si="11"/>
        <v>0</v>
      </c>
      <c r="V80" s="570"/>
      <c r="W80" s="570"/>
      <c r="X80" s="570"/>
      <c r="Y80" s="570"/>
      <c r="Z80" s="570"/>
      <c r="AA80" s="570"/>
      <c r="AB80" s="570"/>
      <c r="AC80" s="571"/>
      <c r="AD80" s="570"/>
      <c r="AE80" s="570"/>
      <c r="AF80" s="570"/>
      <c r="AG80" s="570"/>
      <c r="AH80" s="570"/>
      <c r="AI80" s="570"/>
      <c r="AJ80" s="570"/>
      <c r="AK80" s="571"/>
      <c r="AL80" s="570"/>
      <c r="AM80" s="570"/>
      <c r="AN80" s="570"/>
      <c r="AO80" s="570"/>
      <c r="AP80" s="570"/>
      <c r="AQ80" s="570"/>
      <c r="AR80" s="570"/>
      <c r="AS80" s="571"/>
      <c r="AT80" s="66">
        <f t="shared" si="12"/>
        <v>3.4482758620689653</v>
      </c>
      <c r="AU80" s="66">
        <f t="shared" si="12"/>
        <v>3.4482758620689653</v>
      </c>
      <c r="AZ80" s="52"/>
      <c r="BA80" s="52"/>
    </row>
    <row r="81" spans="1:53" s="55" customFormat="1" ht="147" customHeight="1">
      <c r="A81" s="649" t="s">
        <v>147</v>
      </c>
      <c r="B81" s="65" t="s">
        <v>148</v>
      </c>
      <c r="C81" s="78" t="s">
        <v>677</v>
      </c>
      <c r="D81" s="879"/>
      <c r="E81" s="570"/>
      <c r="F81" s="570"/>
      <c r="G81" s="570"/>
      <c r="H81" s="570"/>
      <c r="I81" s="570"/>
      <c r="J81" s="570"/>
      <c r="K81" s="570"/>
      <c r="L81" s="571"/>
      <c r="M81" s="66">
        <v>10</v>
      </c>
      <c r="N81" s="570"/>
      <c r="O81" s="570"/>
      <c r="P81" s="570"/>
      <c r="Q81" s="570"/>
      <c r="R81" s="570"/>
      <c r="S81" s="570"/>
      <c r="T81" s="570"/>
      <c r="U81" s="570">
        <f t="shared" ref="U81" si="245">SUM(N81:T81)</f>
        <v>0</v>
      </c>
      <c r="V81" s="570"/>
      <c r="W81" s="570"/>
      <c r="X81" s="570"/>
      <c r="Y81" s="570"/>
      <c r="Z81" s="570"/>
      <c r="AA81" s="570"/>
      <c r="AB81" s="570"/>
      <c r="AC81" s="571"/>
      <c r="AD81" s="570"/>
      <c r="AE81" s="570"/>
      <c r="AF81" s="570"/>
      <c r="AG81" s="570"/>
      <c r="AH81" s="570"/>
      <c r="AI81" s="570"/>
      <c r="AJ81" s="570"/>
      <c r="AK81" s="571"/>
      <c r="AL81" s="570"/>
      <c r="AM81" s="570"/>
      <c r="AN81" s="570"/>
      <c r="AO81" s="570"/>
      <c r="AP81" s="570"/>
      <c r="AQ81" s="570"/>
      <c r="AR81" s="570"/>
      <c r="AS81" s="571"/>
      <c r="AT81" s="66">
        <f t="shared" si="12"/>
        <v>3.4482758620689653</v>
      </c>
      <c r="AU81" s="66">
        <f t="shared" si="12"/>
        <v>3.4482758620689653</v>
      </c>
      <c r="AZ81" s="52"/>
      <c r="BA81" s="52"/>
    </row>
    <row r="82" spans="1:53" s="653" customFormat="1" ht="147" customHeight="1">
      <c r="A82" s="663"/>
      <c r="B82" s="664"/>
      <c r="C82" s="661"/>
      <c r="D82" s="871">
        <f>(E82+I82+K82)/($E$5+$I$5+$K$5)</f>
        <v>1.7593361432977292E-3</v>
      </c>
      <c r="E82" s="666">
        <f>N82+V82+AD82+AL82</f>
        <v>0</v>
      </c>
      <c r="F82" s="666">
        <f>O82+W82+AE82+AM82</f>
        <v>1383924041.75</v>
      </c>
      <c r="G82" s="666">
        <f t="shared" ref="G82" si="246">P82+X82+AF82+AN82</f>
        <v>0</v>
      </c>
      <c r="H82" s="666">
        <f t="shared" ref="H82" si="247">Q82+Y82+AG82+AO82</f>
        <v>12628567563</v>
      </c>
      <c r="I82" s="666">
        <f t="shared" ref="I82" si="248">R82+Z82+AH82+AP82</f>
        <v>600000000</v>
      </c>
      <c r="J82" s="666">
        <f t="shared" ref="J82" si="249">S82+AA82+AI82+AQ82</f>
        <v>0</v>
      </c>
      <c r="K82" s="666">
        <f t="shared" ref="K82" si="250">T82+AB82+AJ82+AR82</f>
        <v>0</v>
      </c>
      <c r="L82" s="666">
        <f>SUM(E82:K82)</f>
        <v>14612491604.75</v>
      </c>
      <c r="M82" s="665"/>
      <c r="N82" s="666"/>
      <c r="O82" s="666">
        <f>'HOMOLOGACION 2020'!D26</f>
        <v>401250000</v>
      </c>
      <c r="P82" s="666"/>
      <c r="Q82" s="666">
        <f>'HOMOLOGACION 2020'!F26+793567563</f>
        <v>3644567563</v>
      </c>
      <c r="R82" s="666">
        <v>600000000</v>
      </c>
      <c r="S82" s="666"/>
      <c r="T82" s="666"/>
      <c r="U82" s="666">
        <f t="shared" ref="U82:U109" si="251">SUM(N82:T82)</f>
        <v>4645817563</v>
      </c>
      <c r="V82" s="666"/>
      <c r="W82" s="666">
        <f>ESTAMPILLAS!N37+ESTAMPILLAS!S37</f>
        <v>361807500</v>
      </c>
      <c r="X82" s="666"/>
      <c r="Y82" s="666">
        <f>'PLAN FINANCIERO COMPLETO'!J94</f>
        <v>2921000000</v>
      </c>
      <c r="Z82" s="666"/>
      <c r="AA82" s="666"/>
      <c r="AB82" s="666"/>
      <c r="AC82" s="666">
        <f>SUM(V82:AB82)</f>
        <v>3282807500</v>
      </c>
      <c r="AD82" s="666"/>
      <c r="AE82" s="666">
        <f>ESTAMPILLAS!N59+ESTAMPILLAS!S59</f>
        <v>326329725</v>
      </c>
      <c r="AF82" s="666"/>
      <c r="AG82" s="666">
        <f>'RESUMEN PLAN FINANCIERO'!F14</f>
        <v>2994000000</v>
      </c>
      <c r="AH82" s="685"/>
      <c r="AI82" s="666"/>
      <c r="AJ82" s="685"/>
      <c r="AK82" s="666">
        <f>SUBTOTAL(9,AD82:AJ82)</f>
        <v>3320329725</v>
      </c>
      <c r="AL82" s="666"/>
      <c r="AM82" s="666">
        <f>ESTAMPILLAS!N82+ESTAMPILLAS!S82</f>
        <v>294536816.75</v>
      </c>
      <c r="AN82" s="666"/>
      <c r="AO82" s="666">
        <f>'RESUMEN PLAN FINANCIERO'!G14</f>
        <v>3069000000</v>
      </c>
      <c r="AP82" s="685"/>
      <c r="AQ82" s="666"/>
      <c r="AR82" s="685"/>
      <c r="AS82" s="666">
        <f>SUM(AL82:AR82)</f>
        <v>3363536816.75</v>
      </c>
      <c r="AT82" s="665"/>
      <c r="AU82" s="665"/>
      <c r="AV82" s="652"/>
      <c r="AW82" s="652"/>
      <c r="AX82" s="652"/>
      <c r="AY82" s="652"/>
    </row>
    <row r="83" spans="1:53" s="55" customFormat="1" ht="147" customHeight="1">
      <c r="A83" s="649" t="s">
        <v>147</v>
      </c>
      <c r="B83" s="65" t="s">
        <v>149</v>
      </c>
      <c r="C83" s="78" t="s">
        <v>678</v>
      </c>
      <c r="D83" s="879"/>
      <c r="E83" s="570"/>
      <c r="F83" s="570"/>
      <c r="G83" s="570"/>
      <c r="H83" s="570"/>
      <c r="I83" s="570"/>
      <c r="J83" s="570"/>
      <c r="K83" s="570"/>
      <c r="L83" s="571"/>
      <c r="M83" s="66">
        <v>5</v>
      </c>
      <c r="N83" s="570"/>
      <c r="O83" s="570"/>
      <c r="P83" s="570"/>
      <c r="Q83" s="570"/>
      <c r="R83" s="570"/>
      <c r="S83" s="570"/>
      <c r="T83" s="570"/>
      <c r="U83" s="570">
        <f t="shared" si="251"/>
        <v>0</v>
      </c>
      <c r="V83" s="570"/>
      <c r="W83" s="570"/>
      <c r="X83" s="570"/>
      <c r="Y83" s="570"/>
      <c r="Z83" s="570"/>
      <c r="AA83" s="570"/>
      <c r="AB83" s="570"/>
      <c r="AC83" s="571"/>
      <c r="AD83" s="570"/>
      <c r="AE83" s="570"/>
      <c r="AF83" s="570"/>
      <c r="AG83" s="570"/>
      <c r="AH83" s="570"/>
      <c r="AI83" s="570"/>
      <c r="AJ83" s="570"/>
      <c r="AK83" s="571"/>
      <c r="AL83" s="570"/>
      <c r="AM83" s="570"/>
      <c r="AN83" s="570"/>
      <c r="AO83" s="570"/>
      <c r="AP83" s="570"/>
      <c r="AQ83" s="570"/>
      <c r="AR83" s="570"/>
      <c r="AS83" s="571"/>
      <c r="AT83" s="66">
        <f t="shared" si="12"/>
        <v>3.4482758620689653</v>
      </c>
      <c r="AU83" s="66">
        <f t="shared" si="12"/>
        <v>3.4482758620689653</v>
      </c>
      <c r="AZ83" s="52"/>
      <c r="BA83" s="52"/>
    </row>
    <row r="84" spans="1:53" s="653" customFormat="1" ht="147" customHeight="1">
      <c r="A84" s="663"/>
      <c r="B84" s="664"/>
      <c r="C84" s="661"/>
      <c r="D84" s="871">
        <f>(E84+I84+K84)/($E$5+$I$5+$K$5)</f>
        <v>3.7153231931404906E-2</v>
      </c>
      <c r="E84" s="666">
        <f t="shared" ref="E84" si="252">N84+V84+AD84+AL84</f>
        <v>723847167.64268255</v>
      </c>
      <c r="F84" s="666">
        <f t="shared" ref="F84" si="253">O84+W84+AE84+AM84</f>
        <v>652852613.15999997</v>
      </c>
      <c r="G84" s="666">
        <f t="shared" ref="G84" si="254">P84+X84+AF84+AN84</f>
        <v>0</v>
      </c>
      <c r="H84" s="666">
        <f t="shared" ref="H84" si="255">Q84+Y84+AG84+AO84</f>
        <v>0</v>
      </c>
      <c r="I84" s="666">
        <f t="shared" ref="I84" si="256">R84+Z84+AH84+AP84</f>
        <v>11889366847.375999</v>
      </c>
      <c r="J84" s="666">
        <f t="shared" ref="J84" si="257">S84+AA84+AI84+AQ84</f>
        <v>400000000</v>
      </c>
      <c r="K84" s="666">
        <f t="shared" ref="K84" si="258">T84+AB84+AJ84+AR84</f>
        <v>57439767.526000001</v>
      </c>
      <c r="L84" s="666">
        <f>SUM(E84:K84)</f>
        <v>13723506395.704681</v>
      </c>
      <c r="M84" s="665"/>
      <c r="N84" s="666">
        <f>'HOMOLOGACION 2020'!B27</f>
        <v>193699000</v>
      </c>
      <c r="O84" s="666">
        <f>'HOMOLOGACION 2020'!D27-120000000-100865521.84</f>
        <v>32134478.159999996</v>
      </c>
      <c r="P84" s="666"/>
      <c r="Q84" s="666"/>
      <c r="R84" s="666">
        <v>7097073548</v>
      </c>
      <c r="S84" s="666">
        <v>100000000</v>
      </c>
      <c r="T84" s="666">
        <f>'HOMOLOGACION 2020'!I27</f>
        <v>6301000</v>
      </c>
      <c r="U84" s="666">
        <f t="shared" si="251"/>
        <v>7429208026.1599998</v>
      </c>
      <c r="V84" s="666">
        <f>'RESUMEN PLAN FINANCIERO'!E11*0.022</f>
        <v>170138797.04161999</v>
      </c>
      <c r="W84" s="666">
        <f>ESTAMPILLAS!J37+ESTAMPILLAS!K37+ESTAMPILLAS!L37</f>
        <v>228350000</v>
      </c>
      <c r="X84" s="666"/>
      <c r="Y84" s="666"/>
      <c r="Z84" s="666">
        <f>'RESUMEN PLAN FINANCIERO'!E15*0.022</f>
        <v>1631680745.2879999</v>
      </c>
      <c r="AA84" s="666">
        <v>100000000</v>
      </c>
      <c r="AB84" s="666">
        <f>'RESUMEN PLAN FINANCIERO'!E16*0.022</f>
        <v>23351035.399999999</v>
      </c>
      <c r="AC84" s="666">
        <f>SUM(V84:AB84)</f>
        <v>2153520577.72962</v>
      </c>
      <c r="AD84" s="666">
        <f>'RESUMEN PLAN FINANCIERO'!$F$11*0.022</f>
        <v>176668753.57999998</v>
      </c>
      <c r="AE84" s="666">
        <f>ESTAMPILLAS!J59+ESTAMPILLAS!K59+ESTAMPILLAS!L59</f>
        <v>206104500</v>
      </c>
      <c r="AF84" s="666"/>
      <c r="AG84" s="666"/>
      <c r="AH84" s="685">
        <f>'RESUMEN PLAN FINANCIERO'!$F$15*0.022</f>
        <v>1568618498.3479998</v>
      </c>
      <c r="AI84" s="666">
        <v>100000000</v>
      </c>
      <c r="AJ84" s="685">
        <f>'RESUMEN PLAN FINANCIERO'!$F$16*0.022</f>
        <v>16345724.779999999</v>
      </c>
      <c r="AK84" s="666">
        <f>SUBTOTAL(9,AD84:AJ84)</f>
        <v>2067737476.7079997</v>
      </c>
      <c r="AL84" s="666">
        <f>'RESUMEN PLAN FINANCIERO'!$G$11*0.022</f>
        <v>183340617.02106258</v>
      </c>
      <c r="AM84" s="666">
        <f>ESTAMPILLAS!J82+ESTAMPILLAS!K82+ESTAMPILLAS!L82</f>
        <v>186263635</v>
      </c>
      <c r="AN84" s="666"/>
      <c r="AO84" s="666"/>
      <c r="AP84" s="685">
        <f>'RESUMEN PLAN FINANCIERO'!$G$15*0.022</f>
        <v>1591994055.74</v>
      </c>
      <c r="AQ84" s="666">
        <v>100000000</v>
      </c>
      <c r="AR84" s="685">
        <f>'RESUMEN PLAN FINANCIERO'!$G$16*0.022</f>
        <v>11442007.345999999</v>
      </c>
      <c r="AS84" s="666">
        <f>SUM(AL84:AR84)</f>
        <v>2073040315.1070626</v>
      </c>
      <c r="AT84" s="665"/>
      <c r="AU84" s="665"/>
      <c r="AV84" s="652"/>
      <c r="AW84" s="652"/>
      <c r="AX84" s="652"/>
      <c r="AY84" s="652"/>
    </row>
    <row r="85" spans="1:53" s="55" customFormat="1" ht="147" customHeight="1">
      <c r="A85" s="649" t="s">
        <v>147</v>
      </c>
      <c r="B85" s="65" t="s">
        <v>150</v>
      </c>
      <c r="C85" s="78" t="s">
        <v>679</v>
      </c>
      <c r="D85" s="879"/>
      <c r="E85" s="570"/>
      <c r="F85" s="570"/>
      <c r="G85" s="570"/>
      <c r="H85" s="570"/>
      <c r="I85" s="570"/>
      <c r="J85" s="570"/>
      <c r="K85" s="570"/>
      <c r="L85" s="571"/>
      <c r="M85" s="66">
        <v>5</v>
      </c>
      <c r="N85" s="570"/>
      <c r="O85" s="570"/>
      <c r="P85" s="570"/>
      <c r="Q85" s="570"/>
      <c r="R85" s="570"/>
      <c r="S85" s="570"/>
      <c r="T85" s="570"/>
      <c r="U85" s="570">
        <f t="shared" si="251"/>
        <v>0</v>
      </c>
      <c r="V85" s="570"/>
      <c r="W85" s="570"/>
      <c r="X85" s="570"/>
      <c r="Y85" s="570"/>
      <c r="Z85" s="570"/>
      <c r="AA85" s="570"/>
      <c r="AB85" s="570"/>
      <c r="AC85" s="571"/>
      <c r="AD85" s="570"/>
      <c r="AE85" s="570"/>
      <c r="AF85" s="570"/>
      <c r="AG85" s="570"/>
      <c r="AH85" s="570"/>
      <c r="AI85" s="570"/>
      <c r="AJ85" s="570"/>
      <c r="AK85" s="571"/>
      <c r="AL85" s="570"/>
      <c r="AM85" s="570"/>
      <c r="AN85" s="570"/>
      <c r="AO85" s="570"/>
      <c r="AP85" s="570"/>
      <c r="AQ85" s="570"/>
      <c r="AR85" s="570"/>
      <c r="AS85" s="571"/>
      <c r="AT85" s="66">
        <f t="shared" si="12"/>
        <v>3.4482758620689653</v>
      </c>
      <c r="AU85" s="66">
        <f t="shared" si="12"/>
        <v>3.4482758620689653</v>
      </c>
      <c r="AZ85" s="52"/>
      <c r="BA85" s="52"/>
    </row>
    <row r="86" spans="1:53" s="55" customFormat="1" ht="147" customHeight="1">
      <c r="A86" s="649" t="s">
        <v>147</v>
      </c>
      <c r="B86" s="65" t="s">
        <v>150</v>
      </c>
      <c r="C86" s="78" t="s">
        <v>680</v>
      </c>
      <c r="D86" s="879"/>
      <c r="E86" s="570"/>
      <c r="F86" s="570"/>
      <c r="G86" s="570"/>
      <c r="H86" s="570"/>
      <c r="I86" s="570"/>
      <c r="J86" s="570"/>
      <c r="K86" s="570"/>
      <c r="L86" s="571"/>
      <c r="M86" s="66">
        <v>5</v>
      </c>
      <c r="N86" s="570"/>
      <c r="O86" s="570"/>
      <c r="P86" s="570"/>
      <c r="Q86" s="570"/>
      <c r="R86" s="570"/>
      <c r="S86" s="570"/>
      <c r="T86" s="570"/>
      <c r="U86" s="570">
        <f t="shared" ref="U86" si="259">SUM(N86:T86)</f>
        <v>0</v>
      </c>
      <c r="V86" s="570"/>
      <c r="W86" s="570"/>
      <c r="X86" s="570"/>
      <c r="Y86" s="570"/>
      <c r="Z86" s="570"/>
      <c r="AA86" s="570"/>
      <c r="AB86" s="570"/>
      <c r="AC86" s="571"/>
      <c r="AD86" s="570"/>
      <c r="AE86" s="570"/>
      <c r="AF86" s="570"/>
      <c r="AG86" s="570"/>
      <c r="AH86" s="570"/>
      <c r="AI86" s="570"/>
      <c r="AJ86" s="570"/>
      <c r="AK86" s="571"/>
      <c r="AL86" s="570"/>
      <c r="AM86" s="570"/>
      <c r="AN86" s="570"/>
      <c r="AO86" s="570"/>
      <c r="AP86" s="570"/>
      <c r="AQ86" s="570"/>
      <c r="AR86" s="570"/>
      <c r="AS86" s="571"/>
      <c r="AT86" s="66">
        <f t="shared" si="12"/>
        <v>3.4482758620689653</v>
      </c>
      <c r="AU86" s="66">
        <f t="shared" si="12"/>
        <v>3.4482758620689653</v>
      </c>
      <c r="AZ86" s="52"/>
      <c r="BA86" s="52"/>
    </row>
    <row r="87" spans="1:53" s="653" customFormat="1" ht="147" customHeight="1">
      <c r="A87" s="663"/>
      <c r="B87" s="664"/>
      <c r="C87" s="661"/>
      <c r="D87" s="871">
        <f>(E87+I87+K87)/($E$5+$I$5+$K$5)</f>
        <v>2.3538772300994503E-2</v>
      </c>
      <c r="E87" s="666">
        <f t="shared" ref="E87" si="260">N87+V87+AD87+AL87</f>
        <v>722929319.51274896</v>
      </c>
      <c r="F87" s="666">
        <f t="shared" ref="F87" si="261">O87+W87+AE87+AM87</f>
        <v>0</v>
      </c>
      <c r="G87" s="666">
        <f t="shared" ref="G87" si="262">P87+X87+AF87+AN87</f>
        <v>0</v>
      </c>
      <c r="H87" s="666">
        <f t="shared" ref="H87" si="263">Q87+Y87+AG87+AO87</f>
        <v>0</v>
      </c>
      <c r="I87" s="666">
        <f t="shared" ref="I87" si="264">R87+Z87+AH87+AP87</f>
        <v>7234945408.2399998</v>
      </c>
      <c r="J87" s="666">
        <f t="shared" ref="J87" si="265">S87+AA87+AI87+AQ87</f>
        <v>0</v>
      </c>
      <c r="K87" s="666">
        <f t="shared" ref="K87" si="266">T87+AB87+AJ87+AR87</f>
        <v>69734682.99000001</v>
      </c>
      <c r="L87" s="666">
        <f>SUM(E87:K87)</f>
        <v>8027609410.7427483</v>
      </c>
      <c r="M87" s="665"/>
      <c r="N87" s="666"/>
      <c r="O87" s="666"/>
      <c r="P87" s="666"/>
      <c r="Q87" s="666"/>
      <c r="R87" s="666">
        <v>700000000</v>
      </c>
      <c r="S87" s="666"/>
      <c r="T87" s="666"/>
      <c r="U87" s="666">
        <f t="shared" si="251"/>
        <v>700000000</v>
      </c>
      <c r="V87" s="666">
        <f>'RESUMEN PLAN FINANCIERO'!E11*0.03</f>
        <v>232007450.5113</v>
      </c>
      <c r="W87" s="666"/>
      <c r="X87" s="666"/>
      <c r="Y87" s="666"/>
      <c r="Z87" s="666">
        <f>'RESUMEN PLAN FINANCIERO'!E15*0.03</f>
        <v>2225019198.1199999</v>
      </c>
      <c r="AA87" s="666"/>
      <c r="AB87" s="666">
        <f>'RESUMEN PLAN FINANCIERO'!E16*0.03</f>
        <v>31842321</v>
      </c>
      <c r="AC87" s="666">
        <f>SUM(V87:AB87)</f>
        <v>2488868969.6313</v>
      </c>
      <c r="AD87" s="666">
        <f>'RESUMEN PLAN FINANCIERO'!$F$11*0.03</f>
        <v>240911936.69999999</v>
      </c>
      <c r="AE87" s="666"/>
      <c r="AF87" s="666"/>
      <c r="AG87" s="666"/>
      <c r="AH87" s="685">
        <f>'RESUMEN PLAN FINANCIERO'!$F$15*0.03</f>
        <v>2139025225.02</v>
      </c>
      <c r="AI87" s="666"/>
      <c r="AJ87" s="685">
        <f>'RESUMEN PLAN FINANCIERO'!$F$16*0.03</f>
        <v>22289624.699999999</v>
      </c>
      <c r="AK87" s="666">
        <f>SUBTOTAL(9,AD87:AJ87)</f>
        <v>2402226786.4199996</v>
      </c>
      <c r="AL87" s="666">
        <f>'RESUMEN PLAN FINANCIERO'!$G$11*0.03</f>
        <v>250009932.30144897</v>
      </c>
      <c r="AM87" s="666"/>
      <c r="AN87" s="666"/>
      <c r="AO87" s="666"/>
      <c r="AP87" s="685">
        <f>'RESUMEN PLAN FINANCIERO'!$G$15*0.03</f>
        <v>2170900985.0999999</v>
      </c>
      <c r="AQ87" s="666"/>
      <c r="AR87" s="685">
        <f>'RESUMEN PLAN FINANCIERO'!$G$16*0.03</f>
        <v>15602737.289999999</v>
      </c>
      <c r="AS87" s="666">
        <f>SUM(AL87:AR87)</f>
        <v>2436513654.6914487</v>
      </c>
      <c r="AT87" s="665"/>
      <c r="AU87" s="665"/>
      <c r="AV87" s="652"/>
      <c r="AW87" s="652"/>
      <c r="AX87" s="652"/>
      <c r="AY87" s="652"/>
    </row>
    <row r="88" spans="1:53" s="55" customFormat="1" ht="147" customHeight="1">
      <c r="A88" s="649" t="s">
        <v>147</v>
      </c>
      <c r="B88" s="65" t="s">
        <v>151</v>
      </c>
      <c r="C88" s="78" t="s">
        <v>681</v>
      </c>
      <c r="D88" s="879"/>
      <c r="E88" s="570"/>
      <c r="F88" s="570"/>
      <c r="G88" s="570"/>
      <c r="H88" s="570"/>
      <c r="I88" s="570"/>
      <c r="J88" s="570"/>
      <c r="K88" s="570"/>
      <c r="L88" s="571"/>
      <c r="M88" s="66">
        <v>3</v>
      </c>
      <c r="N88" s="570"/>
      <c r="O88" s="570"/>
      <c r="P88" s="570"/>
      <c r="Q88" s="570"/>
      <c r="R88" s="570"/>
      <c r="S88" s="570"/>
      <c r="T88" s="570"/>
      <c r="U88" s="570">
        <f t="shared" si="251"/>
        <v>0</v>
      </c>
      <c r="V88" s="570"/>
      <c r="W88" s="570"/>
      <c r="X88" s="570"/>
      <c r="Y88" s="570"/>
      <c r="Z88" s="570"/>
      <c r="AA88" s="570"/>
      <c r="AB88" s="570"/>
      <c r="AC88" s="571"/>
      <c r="AD88" s="570"/>
      <c r="AE88" s="570"/>
      <c r="AF88" s="570"/>
      <c r="AG88" s="570"/>
      <c r="AH88" s="570"/>
      <c r="AI88" s="570"/>
      <c r="AJ88" s="570"/>
      <c r="AK88" s="571"/>
      <c r="AL88" s="570"/>
      <c r="AM88" s="570"/>
      <c r="AN88" s="570"/>
      <c r="AO88" s="570"/>
      <c r="AP88" s="570"/>
      <c r="AQ88" s="570"/>
      <c r="AR88" s="570"/>
      <c r="AS88" s="571"/>
      <c r="AT88" s="66">
        <f t="shared" si="12"/>
        <v>3.4482758620689653</v>
      </c>
      <c r="AU88" s="66">
        <f t="shared" si="12"/>
        <v>3.4482758620689653</v>
      </c>
      <c r="AZ88" s="52"/>
      <c r="BA88" s="52"/>
    </row>
    <row r="89" spans="1:53" s="55" customFormat="1" ht="147" customHeight="1">
      <c r="A89" s="649" t="s">
        <v>147</v>
      </c>
      <c r="B89" s="65" t="s">
        <v>151</v>
      </c>
      <c r="C89" s="78" t="s">
        <v>682</v>
      </c>
      <c r="D89" s="879"/>
      <c r="E89" s="570"/>
      <c r="F89" s="570"/>
      <c r="G89" s="570"/>
      <c r="H89" s="570"/>
      <c r="I89" s="570"/>
      <c r="J89" s="570"/>
      <c r="K89" s="570"/>
      <c r="L89" s="571"/>
      <c r="M89" s="66">
        <v>3</v>
      </c>
      <c r="N89" s="570"/>
      <c r="O89" s="570"/>
      <c r="P89" s="570"/>
      <c r="Q89" s="570"/>
      <c r="R89" s="570"/>
      <c r="S89" s="570"/>
      <c r="T89" s="570"/>
      <c r="U89" s="570">
        <f t="shared" ref="U89" si="267">SUM(N89:T89)</f>
        <v>0</v>
      </c>
      <c r="V89" s="570"/>
      <c r="W89" s="570"/>
      <c r="X89" s="570"/>
      <c r="Y89" s="570"/>
      <c r="Z89" s="570"/>
      <c r="AA89" s="570"/>
      <c r="AB89" s="570"/>
      <c r="AC89" s="571"/>
      <c r="AD89" s="570"/>
      <c r="AE89" s="570"/>
      <c r="AF89" s="570"/>
      <c r="AG89" s="570"/>
      <c r="AH89" s="570"/>
      <c r="AI89" s="570"/>
      <c r="AJ89" s="570"/>
      <c r="AK89" s="571"/>
      <c r="AL89" s="570"/>
      <c r="AM89" s="570"/>
      <c r="AN89" s="570"/>
      <c r="AO89" s="570"/>
      <c r="AP89" s="570"/>
      <c r="AQ89" s="570"/>
      <c r="AR89" s="570"/>
      <c r="AS89" s="571"/>
      <c r="AT89" s="66">
        <f t="shared" si="12"/>
        <v>3.4482758620689653</v>
      </c>
      <c r="AU89" s="66">
        <f t="shared" si="12"/>
        <v>3.4482758620689653</v>
      </c>
      <c r="AZ89" s="52"/>
      <c r="BA89" s="52"/>
    </row>
    <row r="90" spans="1:53" s="680" customFormat="1" ht="147" customHeight="1">
      <c r="A90" s="674"/>
      <c r="B90" s="675"/>
      <c r="C90" s="676"/>
      <c r="D90" s="878"/>
      <c r="E90" s="678">
        <f>N90+V90+AD90+AL90</f>
        <v>1116405759.350332</v>
      </c>
      <c r="F90" s="678">
        <f t="shared" ref="F90" si="268">O90+W90+AE90+AM90</f>
        <v>22173593538.790001</v>
      </c>
      <c r="G90" s="678">
        <f t="shared" ref="G90" si="269">P90+X90+AF90+AN90</f>
        <v>0</v>
      </c>
      <c r="H90" s="678">
        <f t="shared" ref="H90" si="270">Q90+Y90+AG90+AO90</f>
        <v>0</v>
      </c>
      <c r="I90" s="678">
        <f t="shared" ref="I90" si="271">R90+Z90+AH90+AP90</f>
        <v>11913260544.32</v>
      </c>
      <c r="J90" s="678">
        <f t="shared" ref="J90" si="272">S90+AA90+AI90+AQ90</f>
        <v>0</v>
      </c>
      <c r="K90" s="678">
        <f t="shared" ref="K90" si="273">T90+AB90+AJ90+AR90</f>
        <v>92979577.319999993</v>
      </c>
      <c r="L90" s="678">
        <f>SUM(E90:K90)</f>
        <v>35296239419.780327</v>
      </c>
      <c r="M90" s="677"/>
      <c r="N90" s="678">
        <f>N91+N96+N100</f>
        <v>152500000</v>
      </c>
      <c r="O90" s="678">
        <f t="shared" ref="O90:T90" si="274">O91+O96+O100</f>
        <v>9545605238.2900009</v>
      </c>
      <c r="P90" s="678">
        <f t="shared" si="274"/>
        <v>0</v>
      </c>
      <c r="Q90" s="678">
        <f t="shared" si="274"/>
        <v>0</v>
      </c>
      <c r="R90" s="678">
        <f t="shared" si="274"/>
        <v>800000000</v>
      </c>
      <c r="S90" s="678">
        <f t="shared" si="274"/>
        <v>0</v>
      </c>
      <c r="T90" s="678">
        <f t="shared" si="274"/>
        <v>0</v>
      </c>
      <c r="U90" s="678">
        <f t="shared" si="251"/>
        <v>10498105238.290001</v>
      </c>
      <c r="V90" s="678">
        <f>V91+V96+V100</f>
        <v>309343267.3484</v>
      </c>
      <c r="W90" s="678">
        <f>W91+W96+W100</f>
        <v>5023345000</v>
      </c>
      <c r="X90" s="678">
        <f t="shared" ref="X90:AB90" si="275">X91+X96+X100</f>
        <v>0</v>
      </c>
      <c r="Y90" s="678">
        <f t="shared" si="275"/>
        <v>0</v>
      </c>
      <c r="Z90" s="678">
        <f t="shared" si="275"/>
        <v>3766692264.1599998</v>
      </c>
      <c r="AA90" s="678">
        <f t="shared" si="275"/>
        <v>0</v>
      </c>
      <c r="AB90" s="678">
        <f t="shared" si="275"/>
        <v>42456428</v>
      </c>
      <c r="AC90" s="678">
        <f t="shared" ref="AC90" si="276">AC91+AC96+AC100</f>
        <v>9141836959.5084</v>
      </c>
      <c r="AD90" s="678">
        <f t="shared" ref="AD90" si="277">AD91+AD96+AD100</f>
        <v>321215915.60000002</v>
      </c>
      <c r="AE90" s="678">
        <f t="shared" ref="AE90" si="278">AE91+AE96+AE100</f>
        <v>4308313350</v>
      </c>
      <c r="AF90" s="678">
        <f t="shared" ref="AF90" si="279">AF91+AF96+AF100</f>
        <v>0</v>
      </c>
      <c r="AG90" s="678">
        <f t="shared" ref="AG90" si="280">AG91+AG96+AG100</f>
        <v>0</v>
      </c>
      <c r="AH90" s="678">
        <f t="shared" ref="AH90" si="281">AH91+AH96+AH100</f>
        <v>3652033633.3600001</v>
      </c>
      <c r="AI90" s="678">
        <f t="shared" ref="AI90" si="282">AI91+AI96+AI100</f>
        <v>0</v>
      </c>
      <c r="AJ90" s="678">
        <f t="shared" ref="AJ90" si="283">AJ91+AJ96+AJ100</f>
        <v>29719499.600000001</v>
      </c>
      <c r="AK90" s="678">
        <f t="shared" ref="AK90" si="284">AK91+AK96+AK100</f>
        <v>8311282398.5599995</v>
      </c>
      <c r="AL90" s="678">
        <f t="shared" ref="AL90" si="285">AL91+AL96+AL100</f>
        <v>333346576.401932</v>
      </c>
      <c r="AM90" s="678">
        <f t="shared" ref="AM90" si="286">AM91+AM96+AM100</f>
        <v>3296329950.5</v>
      </c>
      <c r="AN90" s="678">
        <f t="shared" ref="AN90" si="287">AN91+AN96+AN100</f>
        <v>0</v>
      </c>
      <c r="AO90" s="678">
        <f t="shared" ref="AO90" si="288">AO91+AO96+AO100</f>
        <v>0</v>
      </c>
      <c r="AP90" s="678">
        <f t="shared" ref="AP90" si="289">AP91+AP96+AP100</f>
        <v>3694534646.8000002</v>
      </c>
      <c r="AQ90" s="678">
        <f t="shared" ref="AQ90" si="290">AQ91+AQ96+AQ100</f>
        <v>0</v>
      </c>
      <c r="AR90" s="678">
        <f t="shared" ref="AR90" si="291">AR91+AR96+AR100</f>
        <v>20803649.719999999</v>
      </c>
      <c r="AS90" s="678">
        <f>SUM(AL90:AR90)</f>
        <v>7345014823.4219322</v>
      </c>
      <c r="AT90" s="677"/>
      <c r="AU90" s="677"/>
      <c r="AV90" s="679"/>
      <c r="AW90" s="679"/>
      <c r="AX90" s="679"/>
      <c r="AY90" s="679"/>
    </row>
    <row r="91" spans="1:53" s="653" customFormat="1" ht="147" customHeight="1">
      <c r="A91" s="663"/>
      <c r="B91" s="664"/>
      <c r="C91" s="661"/>
      <c r="D91" s="871">
        <f>(E91+I91+K91)/($E$5+$I$5+$K$5)</f>
        <v>2.2666434796609378E-2</v>
      </c>
      <c r="E91" s="666">
        <f t="shared" ref="E91" si="292">N91+V91+AD91+AL91</f>
        <v>725429319.51274896</v>
      </c>
      <c r="F91" s="666">
        <f t="shared" ref="F91" si="293">O91+W91+AE91+AM91</f>
        <v>240435440.5</v>
      </c>
      <c r="G91" s="666">
        <f t="shared" ref="G91" si="294">P91+X91+AF91+AN91</f>
        <v>0</v>
      </c>
      <c r="H91" s="666">
        <f t="shared" ref="H91" si="295">Q91+Y91+AG91+AO91</f>
        <v>0</v>
      </c>
      <c r="I91" s="666">
        <f t="shared" ref="I91" si="296">R91+Z91+AH91+AP91</f>
        <v>6934945408.2399998</v>
      </c>
      <c r="J91" s="666">
        <f t="shared" ref="J91" si="297">S91+AA91+AI91+AQ91</f>
        <v>0</v>
      </c>
      <c r="K91" s="666">
        <f t="shared" ref="K91" si="298">T91+AB91+AJ91+AR91</f>
        <v>69734682.99000001</v>
      </c>
      <c r="L91" s="666">
        <f>SUM(E91:K91)</f>
        <v>7970544851.2427483</v>
      </c>
      <c r="M91" s="665"/>
      <c r="N91" s="666">
        <f>'HOMOLOGACION 2020'!B29</f>
        <v>2500000</v>
      </c>
      <c r="O91" s="666">
        <f>'HOMOLOGACION 2020'!D29-96000000</f>
        <v>1500000</v>
      </c>
      <c r="P91" s="666"/>
      <c r="Q91" s="666"/>
      <c r="R91" s="666">
        <v>400000000</v>
      </c>
      <c r="S91" s="666"/>
      <c r="T91" s="666"/>
      <c r="U91" s="666">
        <f t="shared" si="251"/>
        <v>404000000</v>
      </c>
      <c r="V91" s="666">
        <f>'RESUMEN PLAN FINANCIERO'!E11*0.03</f>
        <v>232007450.5113</v>
      </c>
      <c r="W91" s="666">
        <f>ESTAMPILLAS!V37</f>
        <v>87945000</v>
      </c>
      <c r="X91" s="666"/>
      <c r="Y91" s="666"/>
      <c r="Z91" s="666">
        <f>'RESUMEN PLAN FINANCIERO'!E15*0.03</f>
        <v>2225019198.1199999</v>
      </c>
      <c r="AA91" s="666"/>
      <c r="AB91" s="666">
        <f>'RESUMEN PLAN FINANCIERO'!E16*0.03</f>
        <v>31842321</v>
      </c>
      <c r="AC91" s="666">
        <f>SUM(V91:AB91)</f>
        <v>2576813969.6313</v>
      </c>
      <c r="AD91" s="666">
        <f>'RESUMEN PLAN FINANCIERO'!$F$11*0.03</f>
        <v>240911936.69999999</v>
      </c>
      <c r="AE91" s="666">
        <f>ESTAMPILLAS!V59</f>
        <v>79351350</v>
      </c>
      <c r="AF91" s="666"/>
      <c r="AG91" s="666"/>
      <c r="AH91" s="685">
        <f>'RESUMEN PLAN FINANCIERO'!$F$15*0.03</f>
        <v>2139025225.02</v>
      </c>
      <c r="AI91" s="666"/>
      <c r="AJ91" s="685">
        <f>'RESUMEN PLAN FINANCIERO'!$F$16*0.03</f>
        <v>22289624.699999999</v>
      </c>
      <c r="AK91" s="666">
        <f>SUBTOTAL(9,AD91:AJ91)</f>
        <v>2481578136.4199996</v>
      </c>
      <c r="AL91" s="666">
        <f>'RESUMEN PLAN FINANCIERO'!$G$11*0.03</f>
        <v>250009932.30144897</v>
      </c>
      <c r="AM91" s="666">
        <f>ESTAMPILLAS!V82</f>
        <v>71639090.5</v>
      </c>
      <c r="AN91" s="666"/>
      <c r="AO91" s="666"/>
      <c r="AP91" s="685">
        <f>'RESUMEN PLAN FINANCIERO'!$G$15*0.03</f>
        <v>2170900985.0999999</v>
      </c>
      <c r="AQ91" s="666"/>
      <c r="AR91" s="685">
        <f>'RESUMEN PLAN FINANCIERO'!$G$16*0.03</f>
        <v>15602737.289999999</v>
      </c>
      <c r="AS91" s="666">
        <f>SUM(AL91:AR91)</f>
        <v>2508152745.1914487</v>
      </c>
      <c r="AT91" s="665"/>
      <c r="AU91" s="665"/>
      <c r="AV91" s="652"/>
      <c r="AW91" s="652"/>
      <c r="AX91" s="652"/>
      <c r="AY91" s="652"/>
    </row>
    <row r="92" spans="1:53" s="55" customFormat="1" ht="147" customHeight="1">
      <c r="A92" s="650" t="s">
        <v>152</v>
      </c>
      <c r="B92" s="72" t="s">
        <v>153</v>
      </c>
      <c r="C92" s="79" t="s">
        <v>683</v>
      </c>
      <c r="D92" s="880"/>
      <c r="E92" s="572"/>
      <c r="F92" s="572"/>
      <c r="G92" s="572"/>
      <c r="H92" s="572"/>
      <c r="I92" s="572"/>
      <c r="J92" s="572"/>
      <c r="K92" s="572"/>
      <c r="L92" s="573"/>
      <c r="M92" s="68">
        <v>3</v>
      </c>
      <c r="N92" s="572"/>
      <c r="O92" s="572"/>
      <c r="P92" s="572"/>
      <c r="Q92" s="572"/>
      <c r="R92" s="572"/>
      <c r="S92" s="572"/>
      <c r="T92" s="572"/>
      <c r="U92" s="572">
        <f t="shared" si="251"/>
        <v>0</v>
      </c>
      <c r="V92" s="572"/>
      <c r="W92" s="572"/>
      <c r="X92" s="572"/>
      <c r="Y92" s="572"/>
      <c r="Z92" s="572"/>
      <c r="AA92" s="572"/>
      <c r="AB92" s="572"/>
      <c r="AC92" s="573"/>
      <c r="AD92" s="572"/>
      <c r="AE92" s="572"/>
      <c r="AF92" s="572"/>
      <c r="AG92" s="572"/>
      <c r="AH92" s="572"/>
      <c r="AI92" s="572"/>
      <c r="AJ92" s="572"/>
      <c r="AK92" s="573"/>
      <c r="AL92" s="572"/>
      <c r="AM92" s="572"/>
      <c r="AN92" s="572"/>
      <c r="AO92" s="572"/>
      <c r="AP92" s="572"/>
      <c r="AQ92" s="572"/>
      <c r="AR92" s="572"/>
      <c r="AS92" s="573"/>
      <c r="AT92" s="68">
        <f t="shared" si="12"/>
        <v>3.4482758620689653</v>
      </c>
      <c r="AU92" s="68">
        <f t="shared" si="12"/>
        <v>3.4482758620689653</v>
      </c>
      <c r="AZ92" s="52"/>
      <c r="BA92" s="52"/>
    </row>
    <row r="93" spans="1:53" s="55" customFormat="1" ht="147" customHeight="1">
      <c r="A93" s="650" t="s">
        <v>152</v>
      </c>
      <c r="B93" s="72" t="s">
        <v>153</v>
      </c>
      <c r="C93" s="79" t="s">
        <v>684</v>
      </c>
      <c r="D93" s="880"/>
      <c r="E93" s="572"/>
      <c r="F93" s="572"/>
      <c r="G93" s="572"/>
      <c r="H93" s="572"/>
      <c r="I93" s="572"/>
      <c r="J93" s="572"/>
      <c r="K93" s="572"/>
      <c r="L93" s="573"/>
      <c r="M93" s="68">
        <v>3</v>
      </c>
      <c r="N93" s="572"/>
      <c r="O93" s="572"/>
      <c r="P93" s="572"/>
      <c r="Q93" s="572"/>
      <c r="R93" s="572"/>
      <c r="S93" s="572"/>
      <c r="T93" s="572"/>
      <c r="U93" s="572">
        <f t="shared" ref="U93" si="299">SUM(N93:T93)</f>
        <v>0</v>
      </c>
      <c r="V93" s="572"/>
      <c r="W93" s="572"/>
      <c r="X93" s="572"/>
      <c r="Y93" s="572"/>
      <c r="Z93" s="572"/>
      <c r="AA93" s="572"/>
      <c r="AB93" s="572"/>
      <c r="AC93" s="573"/>
      <c r="AD93" s="572"/>
      <c r="AE93" s="572"/>
      <c r="AF93" s="572"/>
      <c r="AG93" s="572"/>
      <c r="AH93" s="572"/>
      <c r="AI93" s="572"/>
      <c r="AJ93" s="572"/>
      <c r="AK93" s="573"/>
      <c r="AL93" s="572"/>
      <c r="AM93" s="572"/>
      <c r="AN93" s="572"/>
      <c r="AO93" s="572"/>
      <c r="AP93" s="572"/>
      <c r="AQ93" s="572"/>
      <c r="AR93" s="572"/>
      <c r="AS93" s="573"/>
      <c r="AT93" s="68">
        <f t="shared" si="12"/>
        <v>3.4482758620689653</v>
      </c>
      <c r="AU93" s="68">
        <f t="shared" si="12"/>
        <v>3.4482758620689653</v>
      </c>
      <c r="AZ93" s="52"/>
      <c r="BA93" s="52"/>
    </row>
    <row r="94" spans="1:53" s="55" customFormat="1" ht="147" customHeight="1">
      <c r="A94" s="650" t="s">
        <v>152</v>
      </c>
      <c r="B94" s="72" t="s">
        <v>153</v>
      </c>
      <c r="C94" s="79" t="s">
        <v>686</v>
      </c>
      <c r="D94" s="880"/>
      <c r="E94" s="572"/>
      <c r="F94" s="572"/>
      <c r="G94" s="572"/>
      <c r="H94" s="572"/>
      <c r="I94" s="572"/>
      <c r="J94" s="572"/>
      <c r="K94" s="572"/>
      <c r="L94" s="573"/>
      <c r="M94" s="68">
        <v>3</v>
      </c>
      <c r="N94" s="572"/>
      <c r="O94" s="572"/>
      <c r="P94" s="572"/>
      <c r="Q94" s="572"/>
      <c r="R94" s="572"/>
      <c r="S94" s="572"/>
      <c r="T94" s="572"/>
      <c r="U94" s="572">
        <f t="shared" ref="U94" si="300">SUM(N94:T94)</f>
        <v>0</v>
      </c>
      <c r="V94" s="572"/>
      <c r="W94" s="572"/>
      <c r="X94" s="572"/>
      <c r="Y94" s="572"/>
      <c r="Z94" s="572"/>
      <c r="AA94" s="572"/>
      <c r="AB94" s="572"/>
      <c r="AC94" s="573"/>
      <c r="AD94" s="572"/>
      <c r="AE94" s="572"/>
      <c r="AF94" s="572"/>
      <c r="AG94" s="572"/>
      <c r="AH94" s="572"/>
      <c r="AI94" s="572"/>
      <c r="AJ94" s="572"/>
      <c r="AK94" s="573"/>
      <c r="AL94" s="572"/>
      <c r="AM94" s="572"/>
      <c r="AN94" s="572"/>
      <c r="AO94" s="572"/>
      <c r="AP94" s="572"/>
      <c r="AQ94" s="572"/>
      <c r="AR94" s="572"/>
      <c r="AS94" s="573"/>
      <c r="AT94" s="68">
        <f t="shared" si="12"/>
        <v>3.4482758620689653</v>
      </c>
      <c r="AU94" s="68">
        <f t="shared" si="12"/>
        <v>3.4482758620689653</v>
      </c>
      <c r="AZ94" s="52"/>
      <c r="BA94" s="52"/>
    </row>
    <row r="95" spans="1:53" s="55" customFormat="1" ht="147" customHeight="1">
      <c r="A95" s="650" t="s">
        <v>152</v>
      </c>
      <c r="B95" s="72" t="s">
        <v>153</v>
      </c>
      <c r="C95" s="79" t="s">
        <v>685</v>
      </c>
      <c r="D95" s="880"/>
      <c r="E95" s="572"/>
      <c r="F95" s="572"/>
      <c r="G95" s="572"/>
      <c r="H95" s="572"/>
      <c r="I95" s="572"/>
      <c r="J95" s="572"/>
      <c r="K95" s="572"/>
      <c r="L95" s="573"/>
      <c r="M95" s="68">
        <v>3</v>
      </c>
      <c r="N95" s="572"/>
      <c r="O95" s="572"/>
      <c r="P95" s="572"/>
      <c r="Q95" s="572"/>
      <c r="R95" s="572"/>
      <c r="S95" s="572"/>
      <c r="T95" s="572"/>
      <c r="U95" s="572">
        <f t="shared" ref="U95" si="301">SUM(N95:T95)</f>
        <v>0</v>
      </c>
      <c r="V95" s="572"/>
      <c r="W95" s="572"/>
      <c r="X95" s="572"/>
      <c r="Y95" s="572"/>
      <c r="Z95" s="572"/>
      <c r="AA95" s="572"/>
      <c r="AB95" s="572"/>
      <c r="AC95" s="573"/>
      <c r="AD95" s="572"/>
      <c r="AE95" s="572"/>
      <c r="AF95" s="572"/>
      <c r="AG95" s="572"/>
      <c r="AH95" s="572"/>
      <c r="AI95" s="572"/>
      <c r="AJ95" s="572"/>
      <c r="AK95" s="573"/>
      <c r="AL95" s="572"/>
      <c r="AM95" s="572"/>
      <c r="AN95" s="572"/>
      <c r="AO95" s="572"/>
      <c r="AP95" s="572"/>
      <c r="AQ95" s="572"/>
      <c r="AR95" s="572"/>
      <c r="AS95" s="573"/>
      <c r="AT95" s="68">
        <f t="shared" si="12"/>
        <v>3.4482758620689653</v>
      </c>
      <c r="AU95" s="68">
        <f t="shared" si="12"/>
        <v>3.4482758620689653</v>
      </c>
      <c r="AZ95" s="52"/>
      <c r="BA95" s="52"/>
    </row>
    <row r="96" spans="1:53" s="653" customFormat="1" ht="147" customHeight="1">
      <c r="A96" s="663"/>
      <c r="B96" s="664"/>
      <c r="C96" s="661"/>
      <c r="D96" s="871">
        <f>(E96+I96+K96)/($E$5+$I$5+$K$5)</f>
        <v>8.7747959537386368E-3</v>
      </c>
      <c r="E96" s="666">
        <f t="shared" ref="E96" si="302">N96+V96+AD96+AL96</f>
        <v>390976439.83758301</v>
      </c>
      <c r="F96" s="666">
        <f t="shared" ref="F96" si="303">O96+W96+AE96+AM96</f>
        <v>0</v>
      </c>
      <c r="G96" s="666">
        <f t="shared" ref="G96" si="304">P96+X96+AF96+AN96</f>
        <v>0</v>
      </c>
      <c r="H96" s="666">
        <f t="shared" ref="H96" si="305">Q96+Y96+AG96+AO96</f>
        <v>0</v>
      </c>
      <c r="I96" s="666">
        <f t="shared" ref="I96" si="306">R96+Z96+AH96+AP96</f>
        <v>2578315136.0799999</v>
      </c>
      <c r="J96" s="666">
        <f t="shared" ref="J96" si="307">S96+AA96+AI96+AQ96</f>
        <v>0</v>
      </c>
      <c r="K96" s="666">
        <f t="shared" ref="K96" si="308">T96+AB96+AJ96+AR96</f>
        <v>23244894.329999998</v>
      </c>
      <c r="L96" s="666">
        <f>SUM(E96:K96)</f>
        <v>2992536470.2475829</v>
      </c>
      <c r="M96" s="665"/>
      <c r="N96" s="666">
        <f>'HOMOLOGACION 2020'!B30</f>
        <v>150000000</v>
      </c>
      <c r="O96" s="666"/>
      <c r="P96" s="666"/>
      <c r="Q96" s="666"/>
      <c r="R96" s="666">
        <v>400000000</v>
      </c>
      <c r="S96" s="666"/>
      <c r="T96" s="666"/>
      <c r="U96" s="666">
        <f t="shared" si="251"/>
        <v>550000000</v>
      </c>
      <c r="V96" s="666">
        <f>'RESUMEN PLAN FINANCIERO'!E11*0.01</f>
        <v>77335816.837099999</v>
      </c>
      <c r="W96" s="666"/>
      <c r="X96" s="666"/>
      <c r="Y96" s="666"/>
      <c r="Z96" s="666">
        <f>'RESUMEN PLAN FINANCIERO'!E15*0.01</f>
        <v>741673066.03999996</v>
      </c>
      <c r="AA96" s="666"/>
      <c r="AB96" s="666">
        <f>'RESUMEN PLAN FINANCIERO'!E16*0.01</f>
        <v>10614107</v>
      </c>
      <c r="AC96" s="666">
        <f>SUM(V96:AB96)</f>
        <v>829622989.87709999</v>
      </c>
      <c r="AD96" s="666">
        <f>'RESUMEN PLAN FINANCIERO'!$F$11*0.01</f>
        <v>80303978.900000006</v>
      </c>
      <c r="AE96" s="666"/>
      <c r="AF96" s="666"/>
      <c r="AG96" s="666"/>
      <c r="AH96" s="685">
        <f>'RESUMEN PLAN FINANCIERO'!$F$15*0.01</f>
        <v>713008408.34000003</v>
      </c>
      <c r="AI96" s="666"/>
      <c r="AJ96" s="685">
        <f>'RESUMEN PLAN FINANCIERO'!$F$16*0.01</f>
        <v>7429874.9000000004</v>
      </c>
      <c r="AK96" s="666">
        <f>SUBTOTAL(9,AD96:AJ96)</f>
        <v>800742262.13999999</v>
      </c>
      <c r="AL96" s="666">
        <f>'RESUMEN PLAN FINANCIERO'!$G$11*0.01</f>
        <v>83336644.100483</v>
      </c>
      <c r="AM96" s="666"/>
      <c r="AN96" s="666"/>
      <c r="AO96" s="666"/>
      <c r="AP96" s="685">
        <f>'RESUMEN PLAN FINANCIERO'!$G$15*0.01</f>
        <v>723633661.70000005</v>
      </c>
      <c r="AQ96" s="666"/>
      <c r="AR96" s="685">
        <f>'RESUMEN PLAN FINANCIERO'!$G$16*0.01</f>
        <v>5200912.43</v>
      </c>
      <c r="AS96" s="666">
        <f>SUM(AL96:AR96)</f>
        <v>812171218.23048294</v>
      </c>
      <c r="AT96" s="665"/>
      <c r="AU96" s="665"/>
      <c r="AV96" s="652"/>
      <c r="AW96" s="652"/>
      <c r="AX96" s="652"/>
      <c r="AY96" s="652"/>
    </row>
    <row r="97" spans="1:53" s="55" customFormat="1" ht="147" customHeight="1">
      <c r="A97" s="650" t="s">
        <v>152</v>
      </c>
      <c r="B97" s="72" t="s">
        <v>154</v>
      </c>
      <c r="C97" s="79" t="s">
        <v>687</v>
      </c>
      <c r="D97" s="880"/>
      <c r="E97" s="572"/>
      <c r="F97" s="572"/>
      <c r="G97" s="572"/>
      <c r="H97" s="572"/>
      <c r="I97" s="572"/>
      <c r="J97" s="572"/>
      <c r="K97" s="572"/>
      <c r="L97" s="573"/>
      <c r="M97" s="68">
        <v>1</v>
      </c>
      <c r="N97" s="572"/>
      <c r="O97" s="572"/>
      <c r="P97" s="572"/>
      <c r="Q97" s="572"/>
      <c r="R97" s="572"/>
      <c r="S97" s="572"/>
      <c r="T97" s="572"/>
      <c r="U97" s="572">
        <f t="shared" si="251"/>
        <v>0</v>
      </c>
      <c r="V97" s="572"/>
      <c r="W97" s="572"/>
      <c r="X97" s="572"/>
      <c r="Y97" s="572"/>
      <c r="Z97" s="572"/>
      <c r="AA97" s="572"/>
      <c r="AB97" s="572"/>
      <c r="AC97" s="573"/>
      <c r="AD97" s="572"/>
      <c r="AE97" s="572"/>
      <c r="AF97" s="572"/>
      <c r="AG97" s="572"/>
      <c r="AH97" s="572"/>
      <c r="AI97" s="572"/>
      <c r="AJ97" s="572"/>
      <c r="AK97" s="573"/>
      <c r="AL97" s="572"/>
      <c r="AM97" s="572"/>
      <c r="AN97" s="572"/>
      <c r="AO97" s="572"/>
      <c r="AP97" s="572"/>
      <c r="AQ97" s="572"/>
      <c r="AR97" s="572"/>
      <c r="AS97" s="573"/>
      <c r="AT97" s="68">
        <f t="shared" si="12"/>
        <v>3.4482758620689653</v>
      </c>
      <c r="AU97" s="68">
        <f t="shared" si="12"/>
        <v>3.4482758620689653</v>
      </c>
      <c r="AZ97" s="52"/>
      <c r="BA97" s="52"/>
    </row>
    <row r="98" spans="1:53" s="55" customFormat="1" ht="147" customHeight="1">
      <c r="A98" s="650" t="s">
        <v>152</v>
      </c>
      <c r="B98" s="72" t="s">
        <v>154</v>
      </c>
      <c r="C98" s="79" t="s">
        <v>688</v>
      </c>
      <c r="D98" s="880"/>
      <c r="E98" s="572"/>
      <c r="F98" s="572"/>
      <c r="G98" s="572"/>
      <c r="H98" s="572"/>
      <c r="I98" s="572"/>
      <c r="J98" s="572"/>
      <c r="K98" s="572"/>
      <c r="L98" s="573"/>
      <c r="M98" s="68">
        <v>1</v>
      </c>
      <c r="N98" s="572"/>
      <c r="O98" s="572"/>
      <c r="P98" s="572"/>
      <c r="Q98" s="572"/>
      <c r="R98" s="572"/>
      <c r="S98" s="572"/>
      <c r="T98" s="572"/>
      <c r="U98" s="572">
        <f t="shared" ref="U98" si="309">SUM(N98:T98)</f>
        <v>0</v>
      </c>
      <c r="V98" s="572"/>
      <c r="W98" s="572"/>
      <c r="X98" s="572"/>
      <c r="Y98" s="572"/>
      <c r="Z98" s="572"/>
      <c r="AA98" s="572"/>
      <c r="AB98" s="572"/>
      <c r="AC98" s="573"/>
      <c r="AD98" s="572"/>
      <c r="AE98" s="572"/>
      <c r="AF98" s="572"/>
      <c r="AG98" s="572"/>
      <c r="AH98" s="572"/>
      <c r="AI98" s="572"/>
      <c r="AJ98" s="572"/>
      <c r="AK98" s="573"/>
      <c r="AL98" s="572"/>
      <c r="AM98" s="572"/>
      <c r="AN98" s="572"/>
      <c r="AO98" s="572"/>
      <c r="AP98" s="572"/>
      <c r="AQ98" s="572"/>
      <c r="AR98" s="572"/>
      <c r="AS98" s="573"/>
      <c r="AT98" s="68">
        <f t="shared" si="12"/>
        <v>3.4482758620689653</v>
      </c>
      <c r="AU98" s="68">
        <f t="shared" si="12"/>
        <v>3.4482758620689653</v>
      </c>
      <c r="AZ98" s="52"/>
      <c r="BA98" s="52"/>
    </row>
    <row r="99" spans="1:53" s="55" customFormat="1" ht="147" customHeight="1">
      <c r="A99" s="650" t="s">
        <v>152</v>
      </c>
      <c r="B99" s="72" t="s">
        <v>154</v>
      </c>
      <c r="C99" s="79" t="s">
        <v>689</v>
      </c>
      <c r="D99" s="880"/>
      <c r="E99" s="572"/>
      <c r="F99" s="572"/>
      <c r="G99" s="572"/>
      <c r="H99" s="572"/>
      <c r="I99" s="572"/>
      <c r="J99" s="572"/>
      <c r="K99" s="572"/>
      <c r="L99" s="573"/>
      <c r="M99" s="68">
        <v>1</v>
      </c>
      <c r="N99" s="572"/>
      <c r="O99" s="572"/>
      <c r="P99" s="572"/>
      <c r="Q99" s="572"/>
      <c r="R99" s="572"/>
      <c r="S99" s="572"/>
      <c r="T99" s="572"/>
      <c r="U99" s="572">
        <f t="shared" ref="U99" si="310">SUM(N99:T99)</f>
        <v>0</v>
      </c>
      <c r="V99" s="572"/>
      <c r="W99" s="572"/>
      <c r="X99" s="572"/>
      <c r="Y99" s="572"/>
      <c r="Z99" s="572"/>
      <c r="AA99" s="572"/>
      <c r="AB99" s="572"/>
      <c r="AC99" s="573"/>
      <c r="AD99" s="572"/>
      <c r="AE99" s="572"/>
      <c r="AF99" s="572"/>
      <c r="AG99" s="572"/>
      <c r="AH99" s="572"/>
      <c r="AI99" s="572"/>
      <c r="AJ99" s="572"/>
      <c r="AK99" s="573"/>
      <c r="AL99" s="572"/>
      <c r="AM99" s="572"/>
      <c r="AN99" s="572"/>
      <c r="AO99" s="572"/>
      <c r="AP99" s="572"/>
      <c r="AQ99" s="572"/>
      <c r="AR99" s="572"/>
      <c r="AS99" s="573"/>
      <c r="AT99" s="68">
        <f t="shared" si="12"/>
        <v>3.4482758620689653</v>
      </c>
      <c r="AU99" s="68">
        <f t="shared" si="12"/>
        <v>3.4482758620689653</v>
      </c>
      <c r="AZ99" s="52"/>
      <c r="BA99" s="52"/>
    </row>
    <row r="100" spans="1:53" s="653" customFormat="1" ht="147" customHeight="1">
      <c r="A100" s="663"/>
      <c r="B100" s="664"/>
      <c r="C100" s="661"/>
      <c r="D100" s="871">
        <f>(E100+I100+K100)/($E$5+$I$5+$K$5)</f>
        <v>7.0373445731909167E-3</v>
      </c>
      <c r="E100" s="666">
        <f t="shared" ref="E100" si="311">N100+V100+AD100+AL100</f>
        <v>0</v>
      </c>
      <c r="F100" s="666">
        <f t="shared" ref="F100" si="312">O100+W100+AE100+AM100</f>
        <v>21933158098.290001</v>
      </c>
      <c r="G100" s="666">
        <f t="shared" ref="G100" si="313">P100+X100+AF100+AN100</f>
        <v>0</v>
      </c>
      <c r="H100" s="666">
        <f t="shared" ref="H100" si="314">Q100+Y100+AG100+AO100</f>
        <v>0</v>
      </c>
      <c r="I100" s="666">
        <f t="shared" ref="I100" si="315">R100+Z100+AH100+AP100</f>
        <v>2400000000</v>
      </c>
      <c r="J100" s="666">
        <f t="shared" ref="J100" si="316">S100+AA100+AI100+AQ100</f>
        <v>0</v>
      </c>
      <c r="K100" s="666">
        <f t="shared" ref="K100" si="317">T100+AB100+AJ100+AR100</f>
        <v>0</v>
      </c>
      <c r="L100" s="666">
        <f>SUM(E100:K100)</f>
        <v>24333158098.290001</v>
      </c>
      <c r="M100" s="665"/>
      <c r="N100" s="666"/>
      <c r="O100" s="666">
        <f>'HOMOLOGACION 2020'!C31+4364105238.29</f>
        <v>9544105238.2900009</v>
      </c>
      <c r="P100" s="666"/>
      <c r="Q100" s="666"/>
      <c r="R100" s="666"/>
      <c r="S100" s="666"/>
      <c r="T100" s="666"/>
      <c r="U100" s="666">
        <f t="shared" si="251"/>
        <v>9544105238.2900009</v>
      </c>
      <c r="V100" s="666"/>
      <c r="W100" s="666">
        <f>'PLAN FINANCIERO COMPLETO'!J100+'PLAN FINANCIERO COMPLETO'!J116</f>
        <v>4935400000</v>
      </c>
      <c r="X100" s="666"/>
      <c r="Y100" s="666"/>
      <c r="Z100" s="666">
        <v>800000000</v>
      </c>
      <c r="AA100" s="666"/>
      <c r="AB100" s="666"/>
      <c r="AC100" s="666">
        <f>SUM(V100:AB100)</f>
        <v>5735400000</v>
      </c>
      <c r="AD100" s="666"/>
      <c r="AE100" s="666">
        <f>'PLAN FINANCIERO COMPLETO'!K100+'PLAN FINANCIERO COMPLETO'!K116</f>
        <v>4228962000</v>
      </c>
      <c r="AF100" s="666"/>
      <c r="AG100" s="666"/>
      <c r="AH100" s="685">
        <v>800000000</v>
      </c>
      <c r="AI100" s="666"/>
      <c r="AJ100" s="685"/>
      <c r="AK100" s="666">
        <f>SUBTOTAL(9,AD100:AJ100)</f>
        <v>5028962000</v>
      </c>
      <c r="AL100" s="666"/>
      <c r="AM100" s="666">
        <f>'PLAN FINANCIERO COMPLETO'!L100+'PLAN FINANCIERO COMPLETO'!L116</f>
        <v>3224690860</v>
      </c>
      <c r="AN100" s="666"/>
      <c r="AO100" s="666"/>
      <c r="AP100" s="685">
        <v>800000000</v>
      </c>
      <c r="AQ100" s="666"/>
      <c r="AR100" s="685"/>
      <c r="AS100" s="666">
        <f>SUM(AL100:AR100)</f>
        <v>4024690860</v>
      </c>
      <c r="AT100" s="665"/>
      <c r="AU100" s="665"/>
      <c r="AV100" s="652"/>
      <c r="AW100" s="652"/>
      <c r="AX100" s="652"/>
      <c r="AY100" s="652"/>
    </row>
    <row r="101" spans="1:53" s="55" customFormat="1" ht="147" customHeight="1">
      <c r="A101" s="650" t="s">
        <v>152</v>
      </c>
      <c r="B101" s="72" t="s">
        <v>155</v>
      </c>
      <c r="C101" s="79" t="s">
        <v>690</v>
      </c>
      <c r="D101" s="880"/>
      <c r="E101" s="572"/>
      <c r="F101" s="572"/>
      <c r="G101" s="572"/>
      <c r="H101" s="572"/>
      <c r="I101" s="572"/>
      <c r="J101" s="572"/>
      <c r="K101" s="572"/>
      <c r="L101" s="573"/>
      <c r="M101" s="68" t="s">
        <v>712</v>
      </c>
      <c r="N101" s="572"/>
      <c r="O101" s="572"/>
      <c r="P101" s="572"/>
      <c r="Q101" s="572"/>
      <c r="R101" s="572"/>
      <c r="S101" s="572"/>
      <c r="T101" s="572"/>
      <c r="U101" s="572">
        <f t="shared" si="251"/>
        <v>0</v>
      </c>
      <c r="V101" s="572"/>
      <c r="W101" s="572"/>
      <c r="X101" s="572"/>
      <c r="Y101" s="572"/>
      <c r="Z101" s="572"/>
      <c r="AA101" s="572"/>
      <c r="AB101" s="572"/>
      <c r="AC101" s="573"/>
      <c r="AD101" s="572"/>
      <c r="AE101" s="572"/>
      <c r="AF101" s="572"/>
      <c r="AG101" s="572"/>
      <c r="AH101" s="572"/>
      <c r="AI101" s="572"/>
      <c r="AJ101" s="572"/>
      <c r="AK101" s="573"/>
      <c r="AL101" s="572"/>
      <c r="AM101" s="572"/>
      <c r="AN101" s="572"/>
      <c r="AO101" s="572"/>
      <c r="AP101" s="572"/>
      <c r="AQ101" s="572"/>
      <c r="AR101" s="572"/>
      <c r="AS101" s="573"/>
      <c r="AT101" s="68">
        <f t="shared" si="12"/>
        <v>3.4482758620689653</v>
      </c>
      <c r="AU101" s="68">
        <f t="shared" si="12"/>
        <v>3.4482758620689653</v>
      </c>
      <c r="AZ101" s="52"/>
      <c r="BA101" s="52"/>
    </row>
    <row r="102" spans="1:53" s="55" customFormat="1" ht="147" customHeight="1">
      <c r="A102" s="650" t="s">
        <v>152</v>
      </c>
      <c r="B102" s="72" t="s">
        <v>155</v>
      </c>
      <c r="C102" s="79" t="s">
        <v>691</v>
      </c>
      <c r="D102" s="880"/>
      <c r="E102" s="572"/>
      <c r="F102" s="572"/>
      <c r="G102" s="572"/>
      <c r="H102" s="572"/>
      <c r="I102" s="572"/>
      <c r="J102" s="572"/>
      <c r="K102" s="572"/>
      <c r="L102" s="573"/>
      <c r="M102" s="68" t="s">
        <v>712</v>
      </c>
      <c r="N102" s="572"/>
      <c r="O102" s="572"/>
      <c r="P102" s="572"/>
      <c r="Q102" s="572"/>
      <c r="R102" s="572"/>
      <c r="S102" s="572"/>
      <c r="T102" s="572"/>
      <c r="U102" s="572">
        <f t="shared" ref="U102" si="318">SUM(N102:T102)</f>
        <v>0</v>
      </c>
      <c r="V102" s="572"/>
      <c r="W102" s="572"/>
      <c r="X102" s="572"/>
      <c r="Y102" s="572"/>
      <c r="Z102" s="572"/>
      <c r="AA102" s="572"/>
      <c r="AB102" s="572"/>
      <c r="AC102" s="573"/>
      <c r="AD102" s="572"/>
      <c r="AE102" s="572"/>
      <c r="AF102" s="572"/>
      <c r="AG102" s="572"/>
      <c r="AH102" s="572"/>
      <c r="AI102" s="572"/>
      <c r="AJ102" s="572"/>
      <c r="AK102" s="573"/>
      <c r="AL102" s="572"/>
      <c r="AM102" s="572"/>
      <c r="AN102" s="572"/>
      <c r="AO102" s="572"/>
      <c r="AP102" s="572"/>
      <c r="AQ102" s="572"/>
      <c r="AR102" s="572"/>
      <c r="AS102" s="573"/>
      <c r="AT102" s="68">
        <f t="shared" si="12"/>
        <v>3.4482758620689653</v>
      </c>
      <c r="AU102" s="68">
        <f t="shared" si="12"/>
        <v>3.4482758620689653</v>
      </c>
      <c r="AZ102" s="52"/>
      <c r="BA102" s="52"/>
    </row>
    <row r="103" spans="1:53" s="55" customFormat="1" ht="147" customHeight="1">
      <c r="A103" s="650" t="s">
        <v>152</v>
      </c>
      <c r="B103" s="72" t="s">
        <v>155</v>
      </c>
      <c r="C103" s="79" t="s">
        <v>692</v>
      </c>
      <c r="D103" s="880"/>
      <c r="E103" s="572"/>
      <c r="F103" s="572"/>
      <c r="G103" s="572"/>
      <c r="H103" s="572"/>
      <c r="I103" s="572"/>
      <c r="J103" s="572"/>
      <c r="K103" s="572"/>
      <c r="L103" s="573"/>
      <c r="M103" s="68" t="s">
        <v>712</v>
      </c>
      <c r="N103" s="572"/>
      <c r="O103" s="572"/>
      <c r="P103" s="572"/>
      <c r="Q103" s="572"/>
      <c r="R103" s="572"/>
      <c r="S103" s="572"/>
      <c r="T103" s="572"/>
      <c r="U103" s="572">
        <f t="shared" ref="U103" si="319">SUM(N103:T103)</f>
        <v>0</v>
      </c>
      <c r="V103" s="572"/>
      <c r="W103" s="572"/>
      <c r="X103" s="572"/>
      <c r="Y103" s="572"/>
      <c r="Z103" s="572"/>
      <c r="AA103" s="572"/>
      <c r="AB103" s="572"/>
      <c r="AC103" s="573"/>
      <c r="AD103" s="572"/>
      <c r="AE103" s="572"/>
      <c r="AF103" s="572"/>
      <c r="AG103" s="572"/>
      <c r="AH103" s="572"/>
      <c r="AI103" s="572"/>
      <c r="AJ103" s="572"/>
      <c r="AK103" s="573"/>
      <c r="AL103" s="572"/>
      <c r="AM103" s="572"/>
      <c r="AN103" s="572"/>
      <c r="AO103" s="572"/>
      <c r="AP103" s="572"/>
      <c r="AQ103" s="572"/>
      <c r="AR103" s="572"/>
      <c r="AS103" s="573"/>
      <c r="AT103" s="68">
        <f t="shared" si="12"/>
        <v>3.4482758620689653</v>
      </c>
      <c r="AU103" s="68">
        <f t="shared" si="12"/>
        <v>3.4482758620689653</v>
      </c>
      <c r="AZ103" s="52"/>
      <c r="BA103" s="52"/>
    </row>
    <row r="104" spans="1:53" s="55" customFormat="1" ht="147" customHeight="1">
      <c r="A104" s="650" t="s">
        <v>152</v>
      </c>
      <c r="B104" s="72" t="s">
        <v>155</v>
      </c>
      <c r="C104" s="79" t="s">
        <v>693</v>
      </c>
      <c r="D104" s="880"/>
      <c r="E104" s="572"/>
      <c r="F104" s="572"/>
      <c r="G104" s="572"/>
      <c r="H104" s="572"/>
      <c r="I104" s="572"/>
      <c r="J104" s="572"/>
      <c r="K104" s="572"/>
      <c r="L104" s="573"/>
      <c r="M104" s="68" t="s">
        <v>712</v>
      </c>
      <c r="N104" s="572"/>
      <c r="O104" s="572"/>
      <c r="P104" s="572"/>
      <c r="Q104" s="572"/>
      <c r="R104" s="572"/>
      <c r="S104" s="572"/>
      <c r="T104" s="572"/>
      <c r="U104" s="572">
        <f t="shared" ref="U104" si="320">SUM(N104:T104)</f>
        <v>0</v>
      </c>
      <c r="V104" s="572"/>
      <c r="W104" s="572"/>
      <c r="X104" s="572"/>
      <c r="Y104" s="572"/>
      <c r="Z104" s="572"/>
      <c r="AA104" s="572"/>
      <c r="AB104" s="572"/>
      <c r="AC104" s="573"/>
      <c r="AD104" s="572"/>
      <c r="AE104" s="572"/>
      <c r="AF104" s="572"/>
      <c r="AG104" s="572"/>
      <c r="AH104" s="572"/>
      <c r="AI104" s="572"/>
      <c r="AJ104" s="572"/>
      <c r="AK104" s="573"/>
      <c r="AL104" s="572"/>
      <c r="AM104" s="572"/>
      <c r="AN104" s="572"/>
      <c r="AO104" s="572"/>
      <c r="AP104" s="572"/>
      <c r="AQ104" s="572"/>
      <c r="AR104" s="572"/>
      <c r="AS104" s="573"/>
      <c r="AT104" s="68">
        <f t="shared" si="12"/>
        <v>3.4482758620689653</v>
      </c>
      <c r="AU104" s="68">
        <f t="shared" si="12"/>
        <v>3.4482758620689653</v>
      </c>
      <c r="AZ104" s="52"/>
      <c r="BA104" s="52"/>
    </row>
    <row r="105" spans="1:53" s="55" customFormat="1" ht="147" customHeight="1">
      <c r="A105" s="650" t="s">
        <v>152</v>
      </c>
      <c r="B105" s="72" t="s">
        <v>155</v>
      </c>
      <c r="C105" s="79" t="s">
        <v>694</v>
      </c>
      <c r="D105" s="880"/>
      <c r="E105" s="572"/>
      <c r="F105" s="572"/>
      <c r="G105" s="572"/>
      <c r="H105" s="572"/>
      <c r="I105" s="572"/>
      <c r="J105" s="572"/>
      <c r="K105" s="572"/>
      <c r="L105" s="573"/>
      <c r="M105" s="68" t="s">
        <v>712</v>
      </c>
      <c r="N105" s="572"/>
      <c r="O105" s="572"/>
      <c r="P105" s="572"/>
      <c r="Q105" s="572"/>
      <c r="R105" s="572"/>
      <c r="S105" s="572"/>
      <c r="T105" s="572"/>
      <c r="U105" s="572">
        <f t="shared" ref="U105" si="321">SUM(N105:T105)</f>
        <v>0</v>
      </c>
      <c r="V105" s="572"/>
      <c r="W105" s="572"/>
      <c r="X105" s="572"/>
      <c r="Y105" s="572"/>
      <c r="Z105" s="572"/>
      <c r="AA105" s="572"/>
      <c r="AB105" s="572"/>
      <c r="AC105" s="573"/>
      <c r="AD105" s="572"/>
      <c r="AE105" s="572"/>
      <c r="AF105" s="572"/>
      <c r="AG105" s="572"/>
      <c r="AH105" s="572"/>
      <c r="AI105" s="572"/>
      <c r="AJ105" s="572"/>
      <c r="AK105" s="573"/>
      <c r="AL105" s="572"/>
      <c r="AM105" s="572"/>
      <c r="AN105" s="572"/>
      <c r="AO105" s="572"/>
      <c r="AP105" s="572"/>
      <c r="AQ105" s="572"/>
      <c r="AR105" s="572"/>
      <c r="AS105" s="573"/>
      <c r="AT105" s="68">
        <f t="shared" si="12"/>
        <v>3.4482758620689653</v>
      </c>
      <c r="AU105" s="68">
        <f t="shared" si="12"/>
        <v>3.4482758620689653</v>
      </c>
      <c r="AZ105" s="52"/>
      <c r="BA105" s="52"/>
    </row>
    <row r="106" spans="1:53" s="55" customFormat="1" ht="147" customHeight="1">
      <c r="A106" s="650" t="s">
        <v>152</v>
      </c>
      <c r="B106" s="72" t="s">
        <v>155</v>
      </c>
      <c r="C106" s="79" t="s">
        <v>695</v>
      </c>
      <c r="D106" s="880"/>
      <c r="E106" s="572"/>
      <c r="F106" s="572"/>
      <c r="G106" s="572"/>
      <c r="H106" s="572"/>
      <c r="I106" s="572"/>
      <c r="J106" s="572"/>
      <c r="K106" s="572"/>
      <c r="L106" s="573"/>
      <c r="M106" s="68" t="s">
        <v>712</v>
      </c>
      <c r="N106" s="572"/>
      <c r="O106" s="572"/>
      <c r="P106" s="572"/>
      <c r="Q106" s="572"/>
      <c r="R106" s="572"/>
      <c r="S106" s="572"/>
      <c r="T106" s="572"/>
      <c r="U106" s="572">
        <f t="shared" ref="U106" si="322">SUM(N106:T106)</f>
        <v>0</v>
      </c>
      <c r="V106" s="572"/>
      <c r="W106" s="572"/>
      <c r="X106" s="572"/>
      <c r="Y106" s="572"/>
      <c r="Z106" s="572"/>
      <c r="AA106" s="572"/>
      <c r="AB106" s="572"/>
      <c r="AC106" s="573"/>
      <c r="AD106" s="572"/>
      <c r="AE106" s="572"/>
      <c r="AF106" s="572"/>
      <c r="AG106" s="572"/>
      <c r="AH106" s="572"/>
      <c r="AI106" s="572"/>
      <c r="AJ106" s="572"/>
      <c r="AK106" s="573"/>
      <c r="AL106" s="572"/>
      <c r="AM106" s="572"/>
      <c r="AN106" s="572"/>
      <c r="AO106" s="572"/>
      <c r="AP106" s="572"/>
      <c r="AQ106" s="572"/>
      <c r="AR106" s="572"/>
      <c r="AS106" s="573"/>
      <c r="AT106" s="68">
        <f t="shared" si="12"/>
        <v>3.4482758620689653</v>
      </c>
      <c r="AU106" s="68">
        <f t="shared" si="12"/>
        <v>3.4482758620689653</v>
      </c>
      <c r="AZ106" s="52"/>
      <c r="BA106" s="52"/>
    </row>
    <row r="107" spans="1:53" s="680" customFormat="1" ht="147" customHeight="1">
      <c r="A107" s="674"/>
      <c r="B107" s="675"/>
      <c r="C107" s="676"/>
      <c r="D107" s="878"/>
      <c r="E107" s="678">
        <f t="shared" ref="E107" si="323">N107+V107+AD107+AL107</f>
        <v>2705049909.3503323</v>
      </c>
      <c r="F107" s="678">
        <f t="shared" ref="F107" si="324">O107+W107+AE107+AM107</f>
        <v>890328325.29999995</v>
      </c>
      <c r="G107" s="678">
        <f t="shared" ref="G107" si="325">P107+X107+AF107+AN107</f>
        <v>0</v>
      </c>
      <c r="H107" s="678">
        <f t="shared" ref="H107" si="326">Q107+Y107+AG107+AO107</f>
        <v>0</v>
      </c>
      <c r="I107" s="678">
        <f t="shared" ref="I107" si="327">R107+Z107+AH107+AP107</f>
        <v>9213260544.3199997</v>
      </c>
      <c r="J107" s="678">
        <f t="shared" ref="J107" si="328">S107+AA107+AI107+AQ107</f>
        <v>0</v>
      </c>
      <c r="K107" s="678">
        <f t="shared" ref="K107" si="329">T107+AB107+AJ107+AR107</f>
        <v>92979577.319999993</v>
      </c>
      <c r="L107" s="678">
        <f>SUM(E107:K107)</f>
        <v>12901618356.290333</v>
      </c>
      <c r="M107" s="677"/>
      <c r="N107" s="678">
        <f>N108</f>
        <v>1741144150</v>
      </c>
      <c r="O107" s="678">
        <f t="shared" ref="O107:T107" si="330">O108</f>
        <v>273187456.22000003</v>
      </c>
      <c r="P107" s="678">
        <f t="shared" si="330"/>
        <v>0</v>
      </c>
      <c r="Q107" s="678">
        <f t="shared" si="330"/>
        <v>0</v>
      </c>
      <c r="R107" s="678">
        <f t="shared" si="330"/>
        <v>500000000</v>
      </c>
      <c r="S107" s="678">
        <f t="shared" si="330"/>
        <v>0</v>
      </c>
      <c r="T107" s="678">
        <f t="shared" si="330"/>
        <v>0</v>
      </c>
      <c r="U107" s="678">
        <f t="shared" si="251"/>
        <v>2514331606.2200003</v>
      </c>
      <c r="V107" s="678">
        <f>V108</f>
        <v>309343267.3484</v>
      </c>
      <c r="W107" s="678">
        <f t="shared" ref="W107:AB107" si="331">W108</f>
        <v>198249200</v>
      </c>
      <c r="X107" s="678">
        <f t="shared" si="331"/>
        <v>0</v>
      </c>
      <c r="Y107" s="678">
        <f t="shared" si="331"/>
        <v>0</v>
      </c>
      <c r="Z107" s="678">
        <f t="shared" si="331"/>
        <v>2966692264.1599998</v>
      </c>
      <c r="AA107" s="678">
        <f t="shared" si="331"/>
        <v>0</v>
      </c>
      <c r="AB107" s="678">
        <f t="shared" si="331"/>
        <v>42456428</v>
      </c>
      <c r="AC107" s="678">
        <f>AC108</f>
        <v>3516741159.5084</v>
      </c>
      <c r="AD107" s="678">
        <f t="shared" ref="AD107" si="332">AD108</f>
        <v>321215915.60000002</v>
      </c>
      <c r="AE107" s="678">
        <f t="shared" ref="AE107" si="333">AE108</f>
        <v>205700444</v>
      </c>
      <c r="AF107" s="678">
        <f t="shared" ref="AF107" si="334">AF108</f>
        <v>0</v>
      </c>
      <c r="AG107" s="678">
        <f t="shared" ref="AG107" si="335">AG108</f>
        <v>0</v>
      </c>
      <c r="AH107" s="678">
        <f t="shared" ref="AH107" si="336">AH108</f>
        <v>2852033633.3600001</v>
      </c>
      <c r="AI107" s="678">
        <f t="shared" ref="AI107" si="337">AI108</f>
        <v>0</v>
      </c>
      <c r="AJ107" s="678">
        <f t="shared" ref="AJ107" si="338">AJ108</f>
        <v>29719499.600000001</v>
      </c>
      <c r="AK107" s="678">
        <f t="shared" ref="AK107" si="339">AK108</f>
        <v>3408669492.5599999</v>
      </c>
      <c r="AL107" s="678">
        <f t="shared" ref="AL107" si="340">AL108</f>
        <v>333346576.401932</v>
      </c>
      <c r="AM107" s="678">
        <f t="shared" ref="AM107" si="341">AM108</f>
        <v>213191225.07999998</v>
      </c>
      <c r="AN107" s="678">
        <f t="shared" ref="AN107" si="342">AN108</f>
        <v>0</v>
      </c>
      <c r="AO107" s="678">
        <f t="shared" ref="AO107" si="343">AO108</f>
        <v>0</v>
      </c>
      <c r="AP107" s="678">
        <f t="shared" ref="AP107" si="344">AP108</f>
        <v>2894534646.8000002</v>
      </c>
      <c r="AQ107" s="678">
        <f t="shared" ref="AQ107" si="345">AQ108</f>
        <v>0</v>
      </c>
      <c r="AR107" s="678">
        <f t="shared" ref="AR107" si="346">AR108</f>
        <v>20803649.719999999</v>
      </c>
      <c r="AS107" s="678">
        <f t="shared" ref="AS107" si="347">AS108</f>
        <v>3461876098.0019317</v>
      </c>
      <c r="AT107" s="677"/>
      <c r="AU107" s="677"/>
      <c r="AV107" s="679"/>
      <c r="AW107" s="679"/>
      <c r="AX107" s="679"/>
      <c r="AY107" s="679"/>
    </row>
    <row r="108" spans="1:53" s="653" customFormat="1" ht="147" customHeight="1">
      <c r="A108" s="663"/>
      <c r="B108" s="664"/>
      <c r="C108" s="661"/>
      <c r="D108" s="871">
        <f>(E108+I108+K108)/($E$5+$I$5+$K$5)</f>
        <v>3.5219827798588316E-2</v>
      </c>
      <c r="E108" s="666">
        <f>N108+V108+AD108+AL108</f>
        <v>2705049909.3503323</v>
      </c>
      <c r="F108" s="666">
        <f t="shared" ref="F108" si="348">O108+W108+AE108+AM108</f>
        <v>890328325.29999995</v>
      </c>
      <c r="G108" s="666">
        <f t="shared" ref="G108" si="349">P108+X108+AF108+AN108</f>
        <v>0</v>
      </c>
      <c r="H108" s="666">
        <f t="shared" ref="H108" si="350">Q108+Y108+AG108+AO108</f>
        <v>0</v>
      </c>
      <c r="I108" s="666">
        <f t="shared" ref="I108" si="351">R108+Z108+AH108+AP108</f>
        <v>9213260544.3199997</v>
      </c>
      <c r="J108" s="666">
        <f t="shared" ref="J108" si="352">S108+AA108+AI108+AQ108</f>
        <v>0</v>
      </c>
      <c r="K108" s="666">
        <f t="shared" ref="K108" si="353">T108+AB108+AJ108+AR108</f>
        <v>92979577.319999993</v>
      </c>
      <c r="L108" s="666">
        <f>SUM(E108:K108)</f>
        <v>12901618356.290333</v>
      </c>
      <c r="M108" s="665"/>
      <c r="N108" s="666">
        <f>'HOMOLOGACION 2020'!B32+'HOMOLOGACION 2020'!B33+540000000</f>
        <v>1741144150</v>
      </c>
      <c r="O108" s="666">
        <f>'HOMOLOGACION 2020'!C33+23287456.22</f>
        <v>273187456.22000003</v>
      </c>
      <c r="P108" s="666"/>
      <c r="Q108" s="666"/>
      <c r="R108" s="666">
        <v>500000000</v>
      </c>
      <c r="S108" s="666"/>
      <c r="T108" s="666"/>
      <c r="U108" s="666">
        <f t="shared" si="251"/>
        <v>2514331606.2200003</v>
      </c>
      <c r="V108" s="666">
        <f>'RESUMEN PLAN FINANCIERO'!E11*0.04</f>
        <v>309343267.3484</v>
      </c>
      <c r="W108" s="666">
        <f>ICLD!K52</f>
        <v>198249200</v>
      </c>
      <c r="X108" s="666"/>
      <c r="Y108" s="666"/>
      <c r="Z108" s="666">
        <f>'RESUMEN PLAN FINANCIERO'!E15*0.04</f>
        <v>2966692264.1599998</v>
      </c>
      <c r="AA108" s="666"/>
      <c r="AB108" s="666">
        <f>'RESUMEN PLAN FINANCIERO'!E16*0.04</f>
        <v>42456428</v>
      </c>
      <c r="AC108" s="666">
        <f>SUM(V108:AB108)</f>
        <v>3516741159.5084</v>
      </c>
      <c r="AD108" s="666">
        <f>'RESUMEN PLAN FINANCIERO'!$F$11*0.04</f>
        <v>321215915.60000002</v>
      </c>
      <c r="AE108" s="666">
        <f>ICLD!K101</f>
        <v>205700444</v>
      </c>
      <c r="AF108" s="666"/>
      <c r="AG108" s="666"/>
      <c r="AH108" s="685">
        <f>'RESUMEN PLAN FINANCIERO'!$F$15*0.04</f>
        <v>2852033633.3600001</v>
      </c>
      <c r="AI108" s="666"/>
      <c r="AJ108" s="685">
        <f>'RESUMEN PLAN FINANCIERO'!$F$16*0.04</f>
        <v>29719499.600000001</v>
      </c>
      <c r="AK108" s="666">
        <f>SUBTOTAL(9,AD108:AJ108)</f>
        <v>3408669492.5599999</v>
      </c>
      <c r="AL108" s="666">
        <f>'RESUMEN PLAN FINANCIERO'!$G$11*0.04</f>
        <v>333346576.401932</v>
      </c>
      <c r="AM108" s="666">
        <f>ICLD!K76</f>
        <v>213191225.07999998</v>
      </c>
      <c r="AN108" s="666"/>
      <c r="AO108" s="666"/>
      <c r="AP108" s="685">
        <f>'RESUMEN PLAN FINANCIERO'!$G$15*0.04</f>
        <v>2894534646.8000002</v>
      </c>
      <c r="AQ108" s="666"/>
      <c r="AR108" s="685">
        <f>'RESUMEN PLAN FINANCIERO'!$G$16*0.04</f>
        <v>20803649.719999999</v>
      </c>
      <c r="AS108" s="666">
        <f>SUM(AL108:AR108)</f>
        <v>3461876098.0019317</v>
      </c>
      <c r="AT108" s="665"/>
      <c r="AU108" s="665"/>
      <c r="AV108" s="652"/>
      <c r="AW108" s="652"/>
      <c r="AX108" s="652"/>
      <c r="AY108" s="652"/>
    </row>
    <row r="109" spans="1:53" s="55" customFormat="1" ht="147" customHeight="1">
      <c r="A109" s="651" t="s">
        <v>156</v>
      </c>
      <c r="B109" s="683" t="s">
        <v>641</v>
      </c>
      <c r="C109" s="80" t="s">
        <v>696</v>
      </c>
      <c r="D109" s="881"/>
      <c r="E109" s="574"/>
      <c r="F109" s="574"/>
      <c r="G109" s="574"/>
      <c r="H109" s="574"/>
      <c r="I109" s="574"/>
      <c r="J109" s="574"/>
      <c r="K109" s="574"/>
      <c r="L109" s="575"/>
      <c r="M109" s="67">
        <v>8</v>
      </c>
      <c r="N109" s="574"/>
      <c r="O109" s="574"/>
      <c r="P109" s="574"/>
      <c r="Q109" s="574"/>
      <c r="R109" s="574"/>
      <c r="S109" s="574"/>
      <c r="T109" s="574"/>
      <c r="U109" s="574">
        <f t="shared" si="251"/>
        <v>0</v>
      </c>
      <c r="V109" s="574"/>
      <c r="W109" s="574"/>
      <c r="X109" s="574"/>
      <c r="Y109" s="574"/>
      <c r="Z109" s="574"/>
      <c r="AA109" s="574"/>
      <c r="AB109" s="574"/>
      <c r="AC109" s="575"/>
      <c r="AD109" s="574"/>
      <c r="AE109" s="574"/>
      <c r="AF109" s="574"/>
      <c r="AG109" s="574"/>
      <c r="AH109" s="574"/>
      <c r="AI109" s="574"/>
      <c r="AJ109" s="574"/>
      <c r="AK109" s="575"/>
      <c r="AL109" s="574"/>
      <c r="AM109" s="574"/>
      <c r="AN109" s="574"/>
      <c r="AO109" s="574"/>
      <c r="AP109" s="574"/>
      <c r="AQ109" s="574"/>
      <c r="AR109" s="574"/>
      <c r="AS109" s="575"/>
      <c r="AT109" s="67">
        <f t="shared" si="12"/>
        <v>3.4482758620689653</v>
      </c>
      <c r="AU109" s="67">
        <f t="shared" si="12"/>
        <v>3.4482758620689653</v>
      </c>
      <c r="AZ109" s="52"/>
      <c r="BA109" s="52"/>
    </row>
    <row r="110" spans="1:53" s="55" customFormat="1" ht="147" customHeight="1">
      <c r="A110" s="651" t="s">
        <v>156</v>
      </c>
      <c r="B110" s="683" t="s">
        <v>641</v>
      </c>
      <c r="C110" s="80" t="s">
        <v>697</v>
      </c>
      <c r="D110" s="881"/>
      <c r="E110" s="574"/>
      <c r="F110" s="574"/>
      <c r="G110" s="574"/>
      <c r="H110" s="574"/>
      <c r="I110" s="574"/>
      <c r="J110" s="574"/>
      <c r="K110" s="574"/>
      <c r="L110" s="575"/>
      <c r="M110" s="67">
        <v>8</v>
      </c>
      <c r="N110" s="574"/>
      <c r="O110" s="574"/>
      <c r="P110" s="574"/>
      <c r="Q110" s="574"/>
      <c r="R110" s="574"/>
      <c r="S110" s="574"/>
      <c r="T110" s="574"/>
      <c r="U110" s="574">
        <f t="shared" ref="U110" si="354">SUM(N110:T110)</f>
        <v>0</v>
      </c>
      <c r="V110" s="574"/>
      <c r="W110" s="574"/>
      <c r="X110" s="574"/>
      <c r="Y110" s="574"/>
      <c r="Z110" s="574"/>
      <c r="AA110" s="574"/>
      <c r="AB110" s="574"/>
      <c r="AC110" s="575"/>
      <c r="AD110" s="574"/>
      <c r="AE110" s="574"/>
      <c r="AF110" s="574"/>
      <c r="AG110" s="574"/>
      <c r="AH110" s="574"/>
      <c r="AI110" s="574"/>
      <c r="AJ110" s="574"/>
      <c r="AK110" s="575"/>
      <c r="AL110" s="574"/>
      <c r="AM110" s="574"/>
      <c r="AN110" s="574"/>
      <c r="AO110" s="574"/>
      <c r="AP110" s="574"/>
      <c r="AQ110" s="574"/>
      <c r="AR110" s="574"/>
      <c r="AS110" s="575"/>
      <c r="AT110" s="67">
        <f t="shared" si="12"/>
        <v>3.4482758620689653</v>
      </c>
      <c r="AU110" s="67">
        <f t="shared" si="12"/>
        <v>3.4482758620689653</v>
      </c>
      <c r="AZ110" s="52"/>
      <c r="BA110" s="52"/>
    </row>
    <row r="111" spans="1:53" s="55" customFormat="1" ht="147" customHeight="1">
      <c r="A111" s="651" t="s">
        <v>156</v>
      </c>
      <c r="B111" s="683" t="s">
        <v>641</v>
      </c>
      <c r="C111" s="80" t="s">
        <v>698</v>
      </c>
      <c r="D111" s="881"/>
      <c r="E111" s="574"/>
      <c r="F111" s="574"/>
      <c r="G111" s="574"/>
      <c r="H111" s="574"/>
      <c r="I111" s="574"/>
      <c r="J111" s="574"/>
      <c r="K111" s="574"/>
      <c r="L111" s="575"/>
      <c r="M111" s="67">
        <v>8</v>
      </c>
      <c r="N111" s="574"/>
      <c r="O111" s="574"/>
      <c r="P111" s="574"/>
      <c r="Q111" s="574"/>
      <c r="R111" s="574"/>
      <c r="S111" s="574"/>
      <c r="T111" s="574"/>
      <c r="U111" s="574">
        <f t="shared" ref="U111" si="355">SUM(N111:T111)</f>
        <v>0</v>
      </c>
      <c r="V111" s="574"/>
      <c r="W111" s="574"/>
      <c r="X111" s="574"/>
      <c r="Y111" s="574"/>
      <c r="Z111" s="574"/>
      <c r="AA111" s="574"/>
      <c r="AB111" s="574"/>
      <c r="AC111" s="575"/>
      <c r="AD111" s="574"/>
      <c r="AE111" s="574"/>
      <c r="AF111" s="574"/>
      <c r="AG111" s="574"/>
      <c r="AH111" s="574"/>
      <c r="AI111" s="574"/>
      <c r="AJ111" s="574"/>
      <c r="AK111" s="575"/>
      <c r="AL111" s="574"/>
      <c r="AM111" s="574"/>
      <c r="AN111" s="574"/>
      <c r="AO111" s="574"/>
      <c r="AP111" s="574"/>
      <c r="AQ111" s="574"/>
      <c r="AR111" s="574"/>
      <c r="AS111" s="575"/>
      <c r="AT111" s="67">
        <f t="shared" si="12"/>
        <v>3.4482758620689653</v>
      </c>
      <c r="AU111" s="67">
        <f t="shared" si="12"/>
        <v>3.4482758620689653</v>
      </c>
      <c r="AZ111" s="52"/>
      <c r="BA111" s="52"/>
    </row>
    <row r="112" spans="1:53" s="55" customFormat="1" ht="147" customHeight="1">
      <c r="A112" s="651" t="s">
        <v>156</v>
      </c>
      <c r="B112" s="683" t="s">
        <v>641</v>
      </c>
      <c r="C112" s="80" t="s">
        <v>699</v>
      </c>
      <c r="D112" s="881"/>
      <c r="E112" s="574"/>
      <c r="F112" s="574"/>
      <c r="G112" s="574"/>
      <c r="H112" s="574"/>
      <c r="I112" s="574"/>
      <c r="J112" s="574"/>
      <c r="K112" s="574"/>
      <c r="L112" s="575"/>
      <c r="M112" s="67">
        <v>8</v>
      </c>
      <c r="N112" s="574"/>
      <c r="O112" s="574"/>
      <c r="P112" s="574"/>
      <c r="Q112" s="574"/>
      <c r="R112" s="574"/>
      <c r="S112" s="574"/>
      <c r="T112" s="574"/>
      <c r="U112" s="574">
        <f t="shared" ref="U112" si="356">SUM(N112:T112)</f>
        <v>0</v>
      </c>
      <c r="V112" s="574"/>
      <c r="W112" s="574"/>
      <c r="X112" s="574"/>
      <c r="Y112" s="574"/>
      <c r="Z112" s="574"/>
      <c r="AA112" s="574"/>
      <c r="AB112" s="574"/>
      <c r="AC112" s="575"/>
      <c r="AD112" s="574"/>
      <c r="AE112" s="574"/>
      <c r="AF112" s="574"/>
      <c r="AG112" s="574"/>
      <c r="AH112" s="574"/>
      <c r="AI112" s="574"/>
      <c r="AJ112" s="574"/>
      <c r="AK112" s="575"/>
      <c r="AL112" s="574"/>
      <c r="AM112" s="574"/>
      <c r="AN112" s="574"/>
      <c r="AO112" s="574"/>
      <c r="AP112" s="574"/>
      <c r="AQ112" s="574"/>
      <c r="AR112" s="574"/>
      <c r="AS112" s="575"/>
      <c r="AT112" s="67">
        <f t="shared" si="12"/>
        <v>3.4482758620689653</v>
      </c>
      <c r="AU112" s="67">
        <f t="shared" si="12"/>
        <v>3.4482758620689653</v>
      </c>
      <c r="AZ112" s="52"/>
      <c r="BA112" s="52"/>
    </row>
    <row r="113" spans="1:53" s="55" customFormat="1" ht="147" customHeight="1">
      <c r="A113" s="651" t="s">
        <v>156</v>
      </c>
      <c r="B113" s="683" t="s">
        <v>641</v>
      </c>
      <c r="C113" s="80" t="s">
        <v>700</v>
      </c>
      <c r="D113" s="881"/>
      <c r="E113" s="574"/>
      <c r="F113" s="574"/>
      <c r="G113" s="574"/>
      <c r="H113" s="574"/>
      <c r="I113" s="574"/>
      <c r="J113" s="574"/>
      <c r="K113" s="574"/>
      <c r="L113" s="575"/>
      <c r="M113" s="67">
        <v>8</v>
      </c>
      <c r="N113" s="574"/>
      <c r="O113" s="574"/>
      <c r="P113" s="574"/>
      <c r="Q113" s="574"/>
      <c r="R113" s="574"/>
      <c r="S113" s="574"/>
      <c r="T113" s="574"/>
      <c r="U113" s="574">
        <f t="shared" ref="U113" si="357">SUM(N113:T113)</f>
        <v>0</v>
      </c>
      <c r="V113" s="574"/>
      <c r="W113" s="574"/>
      <c r="X113" s="574"/>
      <c r="Y113" s="574"/>
      <c r="Z113" s="574"/>
      <c r="AA113" s="574"/>
      <c r="AB113" s="574"/>
      <c r="AC113" s="575"/>
      <c r="AD113" s="574"/>
      <c r="AE113" s="574"/>
      <c r="AF113" s="574"/>
      <c r="AG113" s="574"/>
      <c r="AH113" s="574"/>
      <c r="AI113" s="574"/>
      <c r="AJ113" s="574"/>
      <c r="AK113" s="575"/>
      <c r="AL113" s="574"/>
      <c r="AM113" s="574"/>
      <c r="AN113" s="574"/>
      <c r="AO113" s="574"/>
      <c r="AP113" s="574"/>
      <c r="AQ113" s="574"/>
      <c r="AR113" s="574"/>
      <c r="AS113" s="575"/>
      <c r="AT113" s="67">
        <f t="shared" si="12"/>
        <v>3.4482758620689653</v>
      </c>
      <c r="AU113" s="67">
        <f t="shared" si="12"/>
        <v>3.4482758620689653</v>
      </c>
      <c r="AZ113" s="52"/>
      <c r="BA113" s="52"/>
    </row>
    <row r="114" spans="1:53" s="55" customFormat="1" ht="147" customHeight="1">
      <c r="A114" s="651" t="s">
        <v>156</v>
      </c>
      <c r="B114" s="683" t="s">
        <v>641</v>
      </c>
      <c r="C114" s="80" t="s">
        <v>701</v>
      </c>
      <c r="D114" s="881"/>
      <c r="E114" s="574"/>
      <c r="F114" s="574"/>
      <c r="G114" s="574"/>
      <c r="H114" s="574"/>
      <c r="I114" s="574"/>
      <c r="J114" s="574"/>
      <c r="K114" s="574"/>
      <c r="L114" s="575"/>
      <c r="M114" s="67">
        <v>8</v>
      </c>
      <c r="N114" s="574"/>
      <c r="O114" s="574"/>
      <c r="P114" s="574"/>
      <c r="Q114" s="574"/>
      <c r="R114" s="574"/>
      <c r="S114" s="574"/>
      <c r="T114" s="574"/>
      <c r="U114" s="574">
        <f t="shared" ref="U114" si="358">SUM(N114:T114)</f>
        <v>0</v>
      </c>
      <c r="V114" s="574"/>
      <c r="W114" s="574"/>
      <c r="X114" s="574"/>
      <c r="Y114" s="574"/>
      <c r="Z114" s="574"/>
      <c r="AA114" s="574"/>
      <c r="AB114" s="574"/>
      <c r="AC114" s="575"/>
      <c r="AD114" s="574"/>
      <c r="AE114" s="574"/>
      <c r="AF114" s="574"/>
      <c r="AG114" s="574"/>
      <c r="AH114" s="574"/>
      <c r="AI114" s="574"/>
      <c r="AJ114" s="574"/>
      <c r="AK114" s="575"/>
      <c r="AL114" s="574"/>
      <c r="AM114" s="574"/>
      <c r="AN114" s="574"/>
      <c r="AO114" s="574"/>
      <c r="AP114" s="574"/>
      <c r="AQ114" s="574"/>
      <c r="AR114" s="574"/>
      <c r="AS114" s="575"/>
      <c r="AT114" s="67">
        <f t="shared" si="12"/>
        <v>3.4482758620689653</v>
      </c>
      <c r="AU114" s="67">
        <f t="shared" si="12"/>
        <v>3.4482758620689653</v>
      </c>
      <c r="AZ114" s="52"/>
      <c r="BA114" s="52"/>
    </row>
    <row r="115" spans="1:53" s="55" customFormat="1" ht="147" customHeight="1">
      <c r="A115" s="651" t="s">
        <v>156</v>
      </c>
      <c r="B115" s="683" t="s">
        <v>641</v>
      </c>
      <c r="C115" s="80" t="s">
        <v>702</v>
      </c>
      <c r="D115" s="881"/>
      <c r="E115" s="574"/>
      <c r="F115" s="574"/>
      <c r="G115" s="574"/>
      <c r="H115" s="574"/>
      <c r="I115" s="574"/>
      <c r="J115" s="574"/>
      <c r="K115" s="574"/>
      <c r="L115" s="575"/>
      <c r="M115" s="67">
        <v>8</v>
      </c>
      <c r="N115" s="574"/>
      <c r="O115" s="574"/>
      <c r="P115" s="574"/>
      <c r="Q115" s="574"/>
      <c r="R115" s="574"/>
      <c r="S115" s="574"/>
      <c r="T115" s="574"/>
      <c r="U115" s="574">
        <f t="shared" ref="U115" si="359">SUM(N115:T115)</f>
        <v>0</v>
      </c>
      <c r="V115" s="574"/>
      <c r="W115" s="574"/>
      <c r="X115" s="574"/>
      <c r="Y115" s="574"/>
      <c r="Z115" s="574"/>
      <c r="AA115" s="574"/>
      <c r="AB115" s="574"/>
      <c r="AC115" s="575"/>
      <c r="AD115" s="574"/>
      <c r="AE115" s="574"/>
      <c r="AF115" s="574"/>
      <c r="AG115" s="574"/>
      <c r="AH115" s="574"/>
      <c r="AI115" s="574"/>
      <c r="AJ115" s="574"/>
      <c r="AK115" s="575"/>
      <c r="AL115" s="574"/>
      <c r="AM115" s="574"/>
      <c r="AN115" s="574"/>
      <c r="AO115" s="574"/>
      <c r="AP115" s="574"/>
      <c r="AQ115" s="574"/>
      <c r="AR115" s="574"/>
      <c r="AS115" s="575"/>
      <c r="AT115" s="67">
        <f t="shared" si="12"/>
        <v>3.4482758620689653</v>
      </c>
      <c r="AU115" s="67">
        <f t="shared" si="12"/>
        <v>3.4482758620689653</v>
      </c>
      <c r="AZ115" s="52"/>
      <c r="BA115" s="52"/>
    </row>
    <row r="116" spans="1:53" s="55" customFormat="1">
      <c r="A116" s="1487" t="s">
        <v>8</v>
      </c>
      <c r="B116" s="1487"/>
      <c r="C116" s="639"/>
      <c r="D116" s="860">
        <f>SUM(D7:D109)</f>
        <v>1</v>
      </c>
      <c r="E116" s="557"/>
      <c r="F116" s="557"/>
      <c r="G116" s="557"/>
      <c r="H116" s="557"/>
      <c r="I116" s="557"/>
      <c r="J116" s="557"/>
      <c r="K116" s="557"/>
      <c r="L116" s="557"/>
      <c r="M116" s="55">
        <f>SUM(M8:M109)</f>
        <v>150.5</v>
      </c>
      <c r="N116" s="557"/>
      <c r="O116" s="557"/>
      <c r="P116" s="557"/>
      <c r="Q116" s="557"/>
      <c r="R116" s="557"/>
      <c r="S116" s="557"/>
      <c r="T116" s="557"/>
      <c r="U116" s="557"/>
      <c r="V116" s="557"/>
      <c r="W116" s="557"/>
      <c r="X116" s="557"/>
      <c r="Y116" s="557"/>
      <c r="Z116" s="557"/>
      <c r="AA116" s="557"/>
      <c r="AB116" s="557"/>
      <c r="AC116" s="557"/>
      <c r="AD116" s="557"/>
      <c r="AE116" s="557"/>
      <c r="AF116" s="557"/>
      <c r="AG116" s="557"/>
      <c r="AH116" s="557"/>
      <c r="AI116" s="557"/>
      <c r="AJ116" s="557"/>
      <c r="AK116" s="557"/>
      <c r="AL116" s="557"/>
      <c r="AM116" s="557"/>
      <c r="AN116" s="557"/>
      <c r="AO116" s="557"/>
      <c r="AP116" s="557"/>
      <c r="AQ116" s="557"/>
      <c r="AR116" s="557"/>
      <c r="AS116" s="557"/>
      <c r="AT116" s="55">
        <f>SUM(AT8:AT109)</f>
        <v>172.4137931034482</v>
      </c>
      <c r="AU116" s="55">
        <f>SUM(AU8:AU109)</f>
        <v>172.4137931034482</v>
      </c>
      <c r="AZ116" s="52"/>
      <c r="BA116" s="52"/>
    </row>
    <row r="117" spans="1:53">
      <c r="W117" s="557">
        <f>SUBTOTAL(9,W7:W116)</f>
        <v>58473075600</v>
      </c>
    </row>
    <row r="119" spans="1:53">
      <c r="N119" s="557">
        <v>267845436264.85391</v>
      </c>
      <c r="O119" s="557">
        <f>N119-R49</f>
        <v>242837249948.11392</v>
      </c>
    </row>
    <row r="132" spans="47:51">
      <c r="AU132" s="53"/>
      <c r="AV132" s="53"/>
      <c r="AW132" s="53"/>
      <c r="AX132" s="53"/>
      <c r="AY132" s="53"/>
    </row>
  </sheetData>
  <autoFilter ref="A4:BA116"/>
  <mergeCells count="7">
    <mergeCell ref="A116:B116"/>
    <mergeCell ref="B2:AU2"/>
    <mergeCell ref="N3:U3"/>
    <mergeCell ref="V3:AC3"/>
    <mergeCell ref="AD3:AK3"/>
    <mergeCell ref="AL3:AS3"/>
    <mergeCell ref="E3:M3"/>
  </mergeCells>
  <printOptions horizontalCentered="1"/>
  <pageMargins left="0.70866141732283472" right="0.70866141732283472" top="0.74803149606299213" bottom="0.74803149606299213" header="0.31496062992125984" footer="0.31496062992125984"/>
  <pageSetup paperSize="9"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5"/>
  <sheetViews>
    <sheetView view="pageBreakPreview" topLeftCell="A10" zoomScale="110" zoomScaleNormal="70" zoomScaleSheetLayoutView="110" zoomScalePageLayoutView="110" workbookViewId="0">
      <selection activeCell="E25" sqref="E25"/>
    </sheetView>
  </sheetViews>
  <sheetFormatPr baseColWidth="10" defaultRowHeight="14.4"/>
  <cols>
    <col min="1" max="1" width="3.6640625" customWidth="1"/>
    <col min="2" max="2" width="50.5546875" style="15" customWidth="1"/>
    <col min="3" max="4" width="29.44140625" style="1" customWidth="1"/>
    <col min="5" max="5" width="36.44140625" customWidth="1"/>
  </cols>
  <sheetData>
    <row r="1" spans="1:5">
      <c r="A1" s="1109"/>
      <c r="B1" s="1110"/>
      <c r="C1" s="1111"/>
      <c r="D1" s="1111"/>
    </row>
    <row r="2" spans="1:5" s="698" customFormat="1" ht="13.95" customHeight="1">
      <c r="A2" s="1078"/>
      <c r="B2" s="1498"/>
      <c r="C2" s="1499" t="s">
        <v>993</v>
      </c>
      <c r="D2" s="1499"/>
      <c r="E2" s="1499"/>
    </row>
    <row r="3" spans="1:5" s="698" customFormat="1" ht="14.4" customHeight="1">
      <c r="A3" s="1078"/>
      <c r="B3" s="1498"/>
      <c r="C3" s="1499"/>
      <c r="D3" s="1499"/>
      <c r="E3" s="1499"/>
    </row>
    <row r="4" spans="1:5" s="698" customFormat="1" ht="14.4" customHeight="1">
      <c r="A4" s="1078"/>
      <c r="B4" s="1498"/>
      <c r="C4" s="1499"/>
      <c r="D4" s="1499"/>
      <c r="E4" s="1499"/>
    </row>
    <row r="5" spans="1:5" s="698" customFormat="1" ht="14.4" customHeight="1">
      <c r="A5" s="1078"/>
      <c r="B5" s="1498"/>
      <c r="C5" s="1499"/>
      <c r="D5" s="1499"/>
      <c r="E5" s="1499"/>
    </row>
    <row r="6" spans="1:5" s="698" customFormat="1" ht="33" customHeight="1">
      <c r="A6" s="1078"/>
      <c r="B6" s="1498"/>
      <c r="C6" s="1499"/>
      <c r="D6" s="1499"/>
      <c r="E6" s="1499"/>
    </row>
    <row r="7" spans="1:5">
      <c r="A7" s="1114"/>
      <c r="B7" s="1482"/>
      <c r="C7" s="1482"/>
      <c r="D7" s="1482"/>
    </row>
    <row r="8" spans="1:5">
      <c r="A8" s="1114"/>
      <c r="B8" s="731"/>
      <c r="C8" s="732"/>
      <c r="D8" s="732"/>
    </row>
    <row r="9" spans="1:5" ht="30" customHeight="1" thickBot="1">
      <c r="A9" s="1114"/>
      <c r="B9" s="1494" t="s">
        <v>992</v>
      </c>
      <c r="C9" s="1494"/>
    </row>
    <row r="10" spans="1:5" ht="43.8" thickBot="1">
      <c r="A10" s="1114"/>
      <c r="B10" s="707" t="s">
        <v>965</v>
      </c>
      <c r="C10" s="1236" t="s">
        <v>973</v>
      </c>
    </row>
    <row r="11" spans="1:5" ht="37.200000000000003" customHeight="1">
      <c r="A11" s="1114"/>
      <c r="B11" s="704" t="s">
        <v>0</v>
      </c>
      <c r="C11" s="705">
        <v>1254806572.3400002</v>
      </c>
    </row>
    <row r="12" spans="1:5" ht="37.200000000000003" customHeight="1">
      <c r="A12" s="1114"/>
      <c r="B12" s="704" t="s">
        <v>967</v>
      </c>
      <c r="C12" s="690">
        <f>797067936.489999-C13</f>
        <v>796872133.77999902</v>
      </c>
    </row>
    <row r="13" spans="1:5" ht="37.200000000000003" customHeight="1" thickBot="1">
      <c r="A13" s="1114"/>
      <c r="B13" s="702" t="s">
        <v>966</v>
      </c>
      <c r="C13" s="690">
        <f>195802.71</f>
        <v>195802.71</v>
      </c>
    </row>
    <row r="14" spans="1:5" ht="19.5" customHeight="1" thickBot="1">
      <c r="A14" s="1114"/>
      <c r="B14" s="1274" t="s">
        <v>645</v>
      </c>
      <c r="C14" s="1275">
        <f>SUM(C11:C13)</f>
        <v>2051874508.8299992</v>
      </c>
    </row>
    <row r="15" spans="1:5" ht="29.4" thickBot="1">
      <c r="A15" s="1114"/>
      <c r="B15" s="707" t="s">
        <v>1000</v>
      </c>
      <c r="C15" s="1236" t="s">
        <v>973</v>
      </c>
    </row>
    <row r="16" spans="1:5">
      <c r="A16" s="1114"/>
      <c r="B16" s="1276" t="s">
        <v>998</v>
      </c>
      <c r="C16" s="1277">
        <f>5350263498.96-1768688402.91</f>
        <v>3581575096.0500002</v>
      </c>
      <c r="D16" s="1" t="s">
        <v>999</v>
      </c>
    </row>
    <row r="17" spans="1:10">
      <c r="A17" s="1114"/>
      <c r="B17" s="1276" t="s">
        <v>0</v>
      </c>
      <c r="C17" s="1277">
        <v>1104606000</v>
      </c>
    </row>
    <row r="18" spans="1:10">
      <c r="A18" s="1114"/>
      <c r="B18" s="1276" t="s">
        <v>967</v>
      </c>
      <c r="C18" s="1277">
        <v>278820743.75999993</v>
      </c>
    </row>
    <row r="19" spans="1:10">
      <c r="A19" s="1114"/>
      <c r="B19" s="1276" t="s">
        <v>968</v>
      </c>
      <c r="C19" s="1277">
        <v>23287456.220000029</v>
      </c>
    </row>
    <row r="20" spans="1:10" ht="28.8">
      <c r="A20" s="1114"/>
      <c r="B20" s="1276" t="s">
        <v>969</v>
      </c>
      <c r="C20" s="1277">
        <v>361819597.11000001</v>
      </c>
    </row>
    <row r="21" spans="1:10" ht="28.8">
      <c r="A21" s="1114"/>
      <c r="B21" s="1276" t="s">
        <v>970</v>
      </c>
      <c r="C21" s="1277">
        <v>4364105238.2900009</v>
      </c>
    </row>
    <row r="22" spans="1:10" ht="29.4" thickBot="1">
      <c r="A22" s="1114"/>
      <c r="B22" s="1276" t="s">
        <v>971</v>
      </c>
      <c r="C22" s="1277">
        <v>112961776</v>
      </c>
    </row>
    <row r="23" spans="1:10" ht="72.599999999999994" thickBot="1">
      <c r="A23" s="1114"/>
      <c r="B23" s="1276" t="s">
        <v>975</v>
      </c>
      <c r="C23" s="1277">
        <v>793567563</v>
      </c>
      <c r="J23" s="1236" t="s">
        <v>974</v>
      </c>
    </row>
    <row r="24" spans="1:10" ht="15" thickBot="1">
      <c r="A24" s="1114"/>
      <c r="B24" s="1276" t="s">
        <v>976</v>
      </c>
      <c r="C24" s="1277">
        <v>962747542.75</v>
      </c>
      <c r="J24" s="705">
        <f>C11</f>
        <v>1254806572.3400002</v>
      </c>
    </row>
    <row r="25" spans="1:10" ht="17.25" customHeight="1" thickBot="1">
      <c r="A25" s="1114"/>
      <c r="B25" s="714" t="s">
        <v>645</v>
      </c>
      <c r="C25" s="715">
        <f>SUM(C16:C24)</f>
        <v>11583491013.18</v>
      </c>
      <c r="J25" s="705">
        <f>C12</f>
        <v>796872133.77999902</v>
      </c>
    </row>
    <row r="26" spans="1:10" ht="17.25" customHeight="1" thickBot="1">
      <c r="A26" s="1114"/>
      <c r="B26" s="714" t="s">
        <v>972</v>
      </c>
      <c r="C26" s="715">
        <f>SUM(C25,C14)</f>
        <v>13635365522.01</v>
      </c>
      <c r="J26" s="690">
        <f>C13</f>
        <v>195802.71</v>
      </c>
    </row>
    <row r="27" spans="1:10" ht="15" thickBot="1">
      <c r="A27" s="1114"/>
      <c r="B27" s="731"/>
      <c r="C27" s="732"/>
      <c r="D27" s="732"/>
      <c r="J27" s="1275">
        <f>SUM(J24:J26)</f>
        <v>2051874508.8299992</v>
      </c>
    </row>
    <row r="28" spans="1:10" ht="27.75" customHeight="1" thickBot="1">
      <c r="A28" s="1114"/>
      <c r="B28" s="731"/>
      <c r="C28" s="732"/>
      <c r="D28" s="732"/>
      <c r="J28" s="1236" t="s">
        <v>974</v>
      </c>
    </row>
    <row r="29" spans="1:10" ht="15.75" customHeight="1" thickBot="1">
      <c r="A29" s="1114"/>
      <c r="B29" s="1500" t="s">
        <v>1001</v>
      </c>
      <c r="C29" s="1500"/>
      <c r="D29" s="1500"/>
      <c r="E29" s="1500"/>
      <c r="J29" s="1277"/>
    </row>
    <row r="30" spans="1:10" ht="28.8">
      <c r="A30" s="1114"/>
      <c r="B30" s="1279" t="s">
        <v>980</v>
      </c>
      <c r="C30" s="1280" t="s">
        <v>591</v>
      </c>
      <c r="D30" s="1280" t="s">
        <v>979</v>
      </c>
      <c r="E30" s="1280" t="s">
        <v>978</v>
      </c>
      <c r="J30" s="1277"/>
    </row>
    <row r="31" spans="1:10" ht="72">
      <c r="A31" s="1114"/>
      <c r="B31" s="1501" t="s">
        <v>977</v>
      </c>
      <c r="C31" s="1282">
        <v>7097073548</v>
      </c>
      <c r="D31" s="1281" t="s">
        <v>150</v>
      </c>
      <c r="E31" s="1290" t="s">
        <v>981</v>
      </c>
      <c r="J31" s="1277"/>
    </row>
    <row r="32" spans="1:10" s="2" customFormat="1" ht="72">
      <c r="A32" s="1116"/>
      <c r="B32" s="1502"/>
      <c r="C32" s="1282">
        <v>8631182318.8290005</v>
      </c>
      <c r="D32" s="1283" t="s">
        <v>133</v>
      </c>
      <c r="E32" s="1290" t="s">
        <v>986</v>
      </c>
      <c r="J32" s="1277"/>
    </row>
    <row r="33" spans="1:10" s="2" customFormat="1">
      <c r="A33" s="1116"/>
      <c r="B33" s="1502"/>
      <c r="C33" s="1282">
        <v>1070000000</v>
      </c>
      <c r="D33" s="1283" t="s">
        <v>143</v>
      </c>
      <c r="E33" s="1504" t="s">
        <v>985</v>
      </c>
      <c r="J33" s="1277"/>
    </row>
    <row r="34" spans="1:10" s="2" customFormat="1">
      <c r="A34" s="1116"/>
      <c r="B34" s="1502"/>
      <c r="C34" s="1282">
        <v>770000000</v>
      </c>
      <c r="D34" s="1283" t="s">
        <v>144</v>
      </c>
      <c r="E34" s="1505"/>
      <c r="J34" s="1277"/>
    </row>
    <row r="35" spans="1:10" s="2" customFormat="1" ht="28.8">
      <c r="A35" s="1116"/>
      <c r="B35" s="1502"/>
      <c r="C35" s="1282">
        <v>1000000000</v>
      </c>
      <c r="D35" s="1283" t="s">
        <v>124</v>
      </c>
      <c r="E35" s="1290" t="s">
        <v>982</v>
      </c>
      <c r="J35" s="1277"/>
    </row>
    <row r="36" spans="1:10" s="2" customFormat="1" ht="28.8">
      <c r="A36" s="1116"/>
      <c r="B36" s="1502"/>
      <c r="C36" s="1282">
        <v>1500000000</v>
      </c>
      <c r="D36" s="1283" t="s">
        <v>131</v>
      </c>
      <c r="E36" s="1290" t="s">
        <v>983</v>
      </c>
      <c r="J36" s="1277"/>
    </row>
    <row r="37" spans="1:10" s="2" customFormat="1" ht="43.8" thickBot="1">
      <c r="A37" s="1116"/>
      <c r="B37" s="1503"/>
      <c r="C37" s="1282">
        <v>1000000000</v>
      </c>
      <c r="D37" s="1283" t="s">
        <v>148</v>
      </c>
      <c r="E37" s="1290" t="s">
        <v>984</v>
      </c>
      <c r="J37" s="1277"/>
    </row>
    <row r="38" spans="1:10" s="2" customFormat="1" ht="15" thickBot="1">
      <c r="A38" s="1116"/>
      <c r="B38" s="1274" t="s">
        <v>645</v>
      </c>
      <c r="C38" s="1275">
        <f>SUM(C31:C37)</f>
        <v>21068255866.829002</v>
      </c>
      <c r="D38" s="1275"/>
      <c r="E38" s="1291"/>
      <c r="J38" s="715">
        <f>SUM(J29:J37)</f>
        <v>0</v>
      </c>
    </row>
    <row r="39" spans="1:10" s="2" customFormat="1" ht="72.599999999999994" thickBot="1">
      <c r="A39" s="1116"/>
      <c r="B39" s="1495" t="s">
        <v>987</v>
      </c>
      <c r="C39" s="1292">
        <v>673074702.43999982</v>
      </c>
      <c r="D39" s="1293" t="s">
        <v>131</v>
      </c>
      <c r="E39" s="1294" t="s">
        <v>988</v>
      </c>
      <c r="J39" s="715">
        <f>SUM(J38,J27)</f>
        <v>2051874508.8299992</v>
      </c>
    </row>
    <row r="40" spans="1:10" s="2" customFormat="1" ht="87" thickBot="1">
      <c r="A40" s="1116"/>
      <c r="B40" s="1496"/>
      <c r="C40" s="1292">
        <v>1948124491.1700001</v>
      </c>
      <c r="D40" s="1295" t="s">
        <v>133</v>
      </c>
      <c r="E40" s="1294" t="s">
        <v>997</v>
      </c>
      <c r="J40" s="1289"/>
    </row>
    <row r="41" spans="1:10" s="2" customFormat="1" ht="15" thickBot="1">
      <c r="A41" s="1116"/>
      <c r="B41" s="1274" t="s">
        <v>645</v>
      </c>
      <c r="C41" s="1275">
        <f>SUM(C39:C40)</f>
        <v>2621199193.6099997</v>
      </c>
      <c r="D41" s="1275"/>
      <c r="E41" s="1291"/>
      <c r="J41" s="715">
        <f>SUM(J32:J40)</f>
        <v>2051874508.8299992</v>
      </c>
    </row>
    <row r="42" spans="1:10" s="2" customFormat="1" ht="127.5" customHeight="1">
      <c r="A42" s="1116"/>
      <c r="B42" s="1506" t="s">
        <v>989</v>
      </c>
      <c r="C42" s="1293">
        <v>340000000</v>
      </c>
      <c r="D42" s="1509" t="s">
        <v>912</v>
      </c>
      <c r="E42" s="1296" t="s">
        <v>994</v>
      </c>
    </row>
    <row r="43" spans="1:10" s="2" customFormat="1" ht="112.5" customHeight="1">
      <c r="A43" s="1116"/>
      <c r="B43" s="1507"/>
      <c r="C43" s="1293">
        <v>200000000</v>
      </c>
      <c r="D43" s="1510"/>
      <c r="E43" s="1294" t="s">
        <v>995</v>
      </c>
    </row>
    <row r="44" spans="1:10" s="2" customFormat="1" ht="104.25" customHeight="1" thickBot="1">
      <c r="A44" s="1116"/>
      <c r="B44" s="1508"/>
      <c r="C44" s="1293">
        <v>148762741.31999999</v>
      </c>
      <c r="D44" s="1293" t="s">
        <v>131</v>
      </c>
      <c r="E44" s="1296" t="s">
        <v>996</v>
      </c>
    </row>
    <row r="45" spans="1:10" s="2" customFormat="1" ht="15" thickBot="1">
      <c r="A45" s="1116"/>
      <c r="B45" s="714" t="s">
        <v>645</v>
      </c>
      <c r="C45" s="715">
        <f>SUM(C42:C44)</f>
        <v>688762741.31999993</v>
      </c>
      <c r="D45" s="715"/>
      <c r="E45" s="715"/>
    </row>
    <row r="46" spans="1:10" s="2" customFormat="1" ht="15" thickBot="1">
      <c r="A46" s="1116"/>
      <c r="B46" s="714" t="s">
        <v>972</v>
      </c>
      <c r="C46" s="715">
        <f>C45+C41+C38</f>
        <v>24378217801.759003</v>
      </c>
      <c r="D46" s="715"/>
      <c r="E46" s="715"/>
    </row>
    <row r="47" spans="1:10" s="2" customFormat="1" ht="13.8">
      <c r="A47" s="1116"/>
      <c r="B47" s="735"/>
      <c r="C47" s="737"/>
      <c r="D47" s="737"/>
    </row>
    <row r="48" spans="1:10" s="2" customFormat="1" ht="13.8">
      <c r="A48" s="1116"/>
      <c r="B48" s="735"/>
      <c r="C48" s="737"/>
      <c r="D48" s="737"/>
    </row>
    <row r="49" spans="1:5" s="2" customFormat="1" ht="13.8">
      <c r="A49" s="1116"/>
      <c r="B49" s="735"/>
      <c r="C49" s="737"/>
      <c r="D49" s="737"/>
    </row>
    <row r="50" spans="1:5" s="2" customFormat="1" ht="13.8">
      <c r="A50" s="1116"/>
      <c r="B50" s="735"/>
      <c r="C50" s="737"/>
      <c r="D50" s="737"/>
    </row>
    <row r="51" spans="1:5" s="2" customFormat="1" ht="13.8">
      <c r="A51" s="1116"/>
      <c r="B51" s="735"/>
      <c r="C51" s="737"/>
      <c r="D51" s="737"/>
    </row>
    <row r="52" spans="1:5" s="2" customFormat="1" ht="13.8">
      <c r="A52" s="1116"/>
      <c r="B52" s="735"/>
      <c r="C52" s="737"/>
      <c r="D52" s="737"/>
    </row>
    <row r="53" spans="1:5" s="2" customFormat="1" ht="13.8">
      <c r="A53" s="1116"/>
      <c r="B53" s="735"/>
      <c r="C53" s="737"/>
      <c r="D53" s="737"/>
    </row>
    <row r="54" spans="1:5">
      <c r="A54" s="1114"/>
      <c r="B54" s="1497" t="s">
        <v>708</v>
      </c>
      <c r="C54" s="1497"/>
      <c r="D54" s="1497"/>
      <c r="E54" s="1497"/>
    </row>
    <row r="55" spans="1:5" ht="15" thickBot="1">
      <c r="A55" s="1118"/>
      <c r="B55" s="1119"/>
      <c r="C55" s="1120"/>
      <c r="D55" s="1120"/>
    </row>
  </sheetData>
  <mergeCells count="11">
    <mergeCell ref="B9:C9"/>
    <mergeCell ref="B39:B40"/>
    <mergeCell ref="B54:E54"/>
    <mergeCell ref="B2:B6"/>
    <mergeCell ref="B7:D7"/>
    <mergeCell ref="C2:E6"/>
    <mergeCell ref="B29:E29"/>
    <mergeCell ref="B31:B37"/>
    <mergeCell ref="E33:E34"/>
    <mergeCell ref="B42:B44"/>
    <mergeCell ref="D42:D43"/>
  </mergeCells>
  <printOptions horizontalCentered="1"/>
  <pageMargins left="0.70866141732283472" right="0.70866141732283472" top="0.74803149606299213" bottom="0.74803149606299213" header="0.31496062992125984" footer="0.31496062992125984"/>
  <pageSetup paperSize="3" scale="48" orientation="landscape" horizontalDpi="300" verticalDpi="300" r:id="rId1"/>
  <rowBreaks count="1" manualBreakCount="1">
    <brk id="31" max="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AU136"/>
  <sheetViews>
    <sheetView tabSelected="1" topLeftCell="A62" zoomScale="10" zoomScaleNormal="10" zoomScaleSheetLayoutView="10" zoomScalePageLayoutView="75" workbookViewId="0">
      <selection activeCell="G93" sqref="G93:G97"/>
    </sheetView>
  </sheetViews>
  <sheetFormatPr baseColWidth="10" defaultColWidth="11.6640625" defaultRowHeight="25.2"/>
  <cols>
    <col min="1" max="1" width="11.6640625" style="743"/>
    <col min="2" max="2" width="208.109375" style="739" customWidth="1"/>
    <col min="3" max="3" width="182.109375" style="740" customWidth="1"/>
    <col min="4" max="4" width="255.109375" style="740" customWidth="1"/>
    <col min="5" max="13" width="187.6640625" style="741" customWidth="1"/>
    <col min="14" max="14" width="187.6640625" style="1019" customWidth="1"/>
    <col min="15" max="40" width="187.6640625" style="741" customWidth="1"/>
    <col min="41" max="46" width="187.6640625" style="742" customWidth="1"/>
    <col min="47" max="47" width="18.33203125" style="743" customWidth="1"/>
    <col min="48" max="16384" width="11.6640625" style="743"/>
  </cols>
  <sheetData>
    <row r="1" spans="1:47" ht="25.8" hidden="1" thickBot="1">
      <c r="A1" s="986"/>
      <c r="B1" s="1063"/>
      <c r="C1" s="1064"/>
      <c r="D1" s="1064"/>
      <c r="E1" s="1065"/>
      <c r="F1" s="1065"/>
      <c r="G1" s="1065"/>
      <c r="H1" s="1065"/>
      <c r="I1" s="1065"/>
      <c r="J1" s="1065"/>
      <c r="K1" s="1065"/>
      <c r="L1" s="1065"/>
      <c r="M1" s="1065"/>
      <c r="N1" s="1066"/>
      <c r="O1" s="1065"/>
      <c r="P1" s="1065"/>
      <c r="Q1" s="1065"/>
      <c r="R1" s="1065"/>
      <c r="S1" s="1065"/>
      <c r="T1" s="1065"/>
      <c r="U1" s="1065"/>
      <c r="V1" s="1065"/>
      <c r="W1" s="1065"/>
      <c r="X1" s="1065"/>
      <c r="Y1" s="1065"/>
      <c r="Z1" s="1065"/>
      <c r="AA1" s="1065"/>
      <c r="AB1" s="1065"/>
      <c r="AC1" s="1065"/>
      <c r="AD1" s="1065"/>
      <c r="AE1" s="1065"/>
      <c r="AF1" s="1065"/>
      <c r="AG1" s="1065"/>
      <c r="AH1" s="1065"/>
      <c r="AI1" s="1065"/>
      <c r="AJ1" s="1065"/>
      <c r="AK1" s="1065"/>
      <c r="AL1" s="1065"/>
      <c r="AM1" s="1065"/>
      <c r="AN1" s="1065"/>
      <c r="AO1" s="1067"/>
      <c r="AP1" s="1067"/>
      <c r="AQ1" s="1067"/>
      <c r="AR1" s="1067"/>
      <c r="AS1" s="1067"/>
      <c r="AT1" s="1067"/>
      <c r="AU1" s="987"/>
    </row>
    <row r="2" spans="1:47" ht="26.7" hidden="1" customHeight="1" thickBot="1">
      <c r="A2" s="988"/>
      <c r="B2" s="744"/>
      <c r="C2" s="1526" t="s">
        <v>161</v>
      </c>
      <c r="D2" s="1527"/>
      <c r="E2" s="1527"/>
      <c r="F2" s="1527"/>
      <c r="G2" s="1527"/>
      <c r="H2" s="1527"/>
      <c r="I2" s="1527"/>
      <c r="J2" s="1527"/>
      <c r="K2" s="1527"/>
      <c r="L2" s="1527"/>
      <c r="M2" s="1527"/>
      <c r="N2" s="1527"/>
      <c r="O2" s="1527"/>
      <c r="P2" s="1527"/>
      <c r="Q2" s="1527"/>
      <c r="R2" s="1527"/>
      <c r="S2" s="1527"/>
      <c r="T2" s="1527"/>
      <c r="U2" s="1527"/>
      <c r="V2" s="1527"/>
      <c r="W2" s="1527"/>
      <c r="X2" s="1527"/>
      <c r="Y2" s="1527"/>
      <c r="Z2" s="1527"/>
      <c r="AA2" s="1527"/>
      <c r="AB2" s="1527"/>
      <c r="AC2" s="1527"/>
      <c r="AD2" s="1527"/>
      <c r="AE2" s="1527"/>
      <c r="AF2" s="1527"/>
      <c r="AG2" s="1527"/>
      <c r="AH2" s="1527"/>
      <c r="AI2" s="1527"/>
      <c r="AJ2" s="1527"/>
      <c r="AK2" s="1527"/>
      <c r="AL2" s="1527"/>
      <c r="AM2" s="1527"/>
      <c r="AN2" s="1527"/>
      <c r="AO2" s="1527"/>
      <c r="AP2" s="1527"/>
      <c r="AQ2" s="1527"/>
      <c r="AR2" s="1527"/>
      <c r="AS2" s="1527"/>
      <c r="AT2" s="1527"/>
      <c r="AU2" s="989"/>
    </row>
    <row r="3" spans="1:47" ht="92.4" customHeight="1">
      <c r="A3" s="1123"/>
      <c r="B3" s="1124"/>
      <c r="C3" s="1125"/>
      <c r="D3" s="1125"/>
      <c r="E3" s="1125"/>
      <c r="F3" s="1125"/>
      <c r="G3" s="1125"/>
      <c r="H3" s="1125"/>
      <c r="I3" s="1125"/>
      <c r="J3" s="1125"/>
      <c r="K3" s="1125"/>
      <c r="L3" s="1125"/>
      <c r="M3" s="1125"/>
      <c r="N3" s="1126"/>
      <c r="O3" s="1125"/>
      <c r="P3" s="1125"/>
      <c r="Q3" s="1125"/>
      <c r="R3" s="1125"/>
      <c r="S3" s="1125"/>
      <c r="T3" s="1125"/>
      <c r="U3" s="1125"/>
      <c r="V3" s="1125"/>
      <c r="W3" s="1125"/>
      <c r="X3" s="1125"/>
      <c r="Y3" s="1125"/>
      <c r="Z3" s="1125"/>
      <c r="AA3" s="1125"/>
      <c r="AB3" s="1125"/>
      <c r="AC3" s="1125"/>
      <c r="AD3" s="1125"/>
      <c r="AE3" s="1125"/>
      <c r="AF3" s="1125"/>
      <c r="AG3" s="1125"/>
      <c r="AH3" s="1125"/>
      <c r="AI3" s="1125"/>
      <c r="AJ3" s="1125"/>
      <c r="AK3" s="1125"/>
      <c r="AL3" s="1125"/>
      <c r="AM3" s="1125"/>
      <c r="AN3" s="1125"/>
      <c r="AO3" s="1125"/>
      <c r="AP3" s="1125"/>
      <c r="AQ3" s="1125"/>
      <c r="AR3" s="1125"/>
      <c r="AS3" s="1125"/>
      <c r="AT3" s="1125"/>
      <c r="AU3" s="1127"/>
    </row>
    <row r="4" spans="1:47" ht="323.25" customHeight="1">
      <c r="A4" s="1128"/>
      <c r="B4" s="1533"/>
      <c r="C4" s="1533"/>
      <c r="D4" s="1533"/>
      <c r="E4" s="1533"/>
      <c r="F4" s="1533"/>
      <c r="G4" s="1524" t="s">
        <v>890</v>
      </c>
      <c r="H4" s="1525"/>
      <c r="I4" s="1525"/>
      <c r="J4" s="1525"/>
      <c r="K4" s="1525"/>
      <c r="L4" s="1525"/>
      <c r="M4" s="1525"/>
      <c r="N4" s="1525"/>
      <c r="O4" s="1525"/>
      <c r="P4" s="1525"/>
      <c r="Q4" s="1525"/>
      <c r="R4" s="1525"/>
      <c r="S4" s="1525"/>
      <c r="T4" s="1525"/>
      <c r="U4" s="1525"/>
      <c r="V4" s="1525"/>
      <c r="W4" s="1525"/>
      <c r="X4" s="1525"/>
      <c r="Y4" s="1525"/>
      <c r="Z4" s="1525"/>
      <c r="AA4" s="1525"/>
      <c r="AB4" s="1525"/>
      <c r="AC4" s="1525"/>
      <c r="AD4" s="1525"/>
      <c r="AE4" s="1525"/>
      <c r="AF4" s="1525"/>
      <c r="AG4" s="1525"/>
      <c r="AH4" s="1525"/>
      <c r="AI4" s="1525"/>
      <c r="AJ4" s="1525"/>
      <c r="AK4" s="1525"/>
      <c r="AL4" s="1525"/>
      <c r="AM4" s="1525"/>
      <c r="AN4" s="1525"/>
      <c r="AO4" s="1525"/>
      <c r="AP4" s="1525"/>
      <c r="AQ4" s="1525"/>
      <c r="AR4" s="1525"/>
      <c r="AS4" s="1525"/>
      <c r="AT4" s="1525"/>
      <c r="AU4" s="1129"/>
    </row>
    <row r="5" spans="1:47" ht="409.6" customHeight="1">
      <c r="A5" s="1128"/>
      <c r="B5" s="1533"/>
      <c r="C5" s="1533"/>
      <c r="D5" s="1533"/>
      <c r="E5" s="1533"/>
      <c r="F5" s="1533"/>
      <c r="G5" s="1525"/>
      <c r="H5" s="1525"/>
      <c r="I5" s="1525"/>
      <c r="J5" s="1525"/>
      <c r="K5" s="1525"/>
      <c r="L5" s="1525"/>
      <c r="M5" s="1525"/>
      <c r="N5" s="1525"/>
      <c r="O5" s="1525"/>
      <c r="P5" s="1525"/>
      <c r="Q5" s="1525"/>
      <c r="R5" s="1525"/>
      <c r="S5" s="1525"/>
      <c r="T5" s="1525"/>
      <c r="U5" s="1525"/>
      <c r="V5" s="1525"/>
      <c r="W5" s="1525"/>
      <c r="X5" s="1525"/>
      <c r="Y5" s="1525"/>
      <c r="Z5" s="1525"/>
      <c r="AA5" s="1525"/>
      <c r="AB5" s="1525"/>
      <c r="AC5" s="1525"/>
      <c r="AD5" s="1525"/>
      <c r="AE5" s="1525"/>
      <c r="AF5" s="1525"/>
      <c r="AG5" s="1525"/>
      <c r="AH5" s="1525"/>
      <c r="AI5" s="1525"/>
      <c r="AJ5" s="1525"/>
      <c r="AK5" s="1525"/>
      <c r="AL5" s="1525"/>
      <c r="AM5" s="1525"/>
      <c r="AN5" s="1525"/>
      <c r="AO5" s="1525"/>
      <c r="AP5" s="1525"/>
      <c r="AQ5" s="1525"/>
      <c r="AR5" s="1525"/>
      <c r="AS5" s="1525"/>
      <c r="AT5" s="1525"/>
      <c r="AU5" s="1129"/>
    </row>
    <row r="6" spans="1:47" ht="70.2" customHeight="1">
      <c r="A6" s="1128"/>
      <c r="B6" s="746"/>
      <c r="C6" s="746"/>
      <c r="D6" s="884"/>
      <c r="E6" s="747"/>
      <c r="F6" s="747"/>
      <c r="G6" s="747"/>
      <c r="H6" s="747"/>
      <c r="I6" s="747"/>
      <c r="J6" s="747"/>
      <c r="K6" s="747"/>
      <c r="L6" s="747"/>
      <c r="M6" s="747"/>
      <c r="N6" s="1020"/>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1129"/>
    </row>
    <row r="7" spans="1:47" s="1017" customFormat="1" ht="151.19999999999999" customHeight="1">
      <c r="A7" s="1130"/>
      <c r="B7" s="1535" t="s">
        <v>709</v>
      </c>
      <c r="C7" s="1535"/>
      <c r="D7" s="1535"/>
      <c r="E7" s="1535"/>
      <c r="F7" s="1535"/>
      <c r="G7" s="1535"/>
      <c r="H7" s="1535"/>
      <c r="I7" s="1535"/>
      <c r="J7" s="1535"/>
      <c r="K7" s="1535"/>
      <c r="L7" s="1535"/>
      <c r="M7" s="1535"/>
      <c r="N7" s="1535"/>
      <c r="O7" s="1539" t="s">
        <v>704</v>
      </c>
      <c r="P7" s="1539"/>
      <c r="Q7" s="1539"/>
      <c r="R7" s="1539"/>
      <c r="S7" s="1539"/>
      <c r="T7" s="1539"/>
      <c r="U7" s="1539"/>
      <c r="V7" s="1539"/>
      <c r="W7" s="1539"/>
      <c r="X7" s="1539"/>
      <c r="Y7" s="1539"/>
      <c r="Z7" s="1539"/>
      <c r="AA7" s="1539"/>
      <c r="AB7" s="1539"/>
      <c r="AC7" s="1539"/>
      <c r="AD7" s="1539"/>
      <c r="AE7" s="1539"/>
      <c r="AF7" s="1539"/>
      <c r="AG7" s="1539"/>
      <c r="AH7" s="1535" t="s">
        <v>705</v>
      </c>
      <c r="AI7" s="1535"/>
      <c r="AJ7" s="1535"/>
      <c r="AK7" s="1535"/>
      <c r="AL7" s="1535"/>
      <c r="AM7" s="1535"/>
      <c r="AN7" s="1535"/>
      <c r="AO7" s="1535"/>
      <c r="AP7" s="1535"/>
      <c r="AQ7" s="1535"/>
      <c r="AR7" s="1535"/>
      <c r="AS7" s="1535"/>
      <c r="AT7" s="1535"/>
      <c r="AU7" s="1131"/>
    </row>
    <row r="8" spans="1:47" s="749" customFormat="1" ht="67.2" customHeight="1" thickBot="1">
      <c r="A8" s="1128"/>
      <c r="B8" s="746"/>
      <c r="C8" s="746"/>
      <c r="D8" s="885"/>
      <c r="E8" s="746"/>
      <c r="F8" s="746"/>
      <c r="G8" s="746"/>
      <c r="H8" s="746"/>
      <c r="I8" s="746"/>
      <c r="J8" s="746"/>
      <c r="K8" s="746"/>
      <c r="L8" s="746"/>
      <c r="M8" s="942"/>
      <c r="N8" s="1021"/>
      <c r="O8" s="822"/>
      <c r="P8" s="822"/>
      <c r="Q8" s="822"/>
      <c r="R8" s="822"/>
      <c r="S8" s="822"/>
      <c r="T8" s="822"/>
      <c r="U8" s="822"/>
      <c r="V8" s="822"/>
      <c r="W8" s="822"/>
      <c r="X8" s="822"/>
      <c r="Y8" s="822"/>
      <c r="Z8" s="822"/>
      <c r="AA8" s="822"/>
      <c r="AB8" s="822"/>
      <c r="AC8" s="822"/>
      <c r="AD8" s="822"/>
      <c r="AE8" s="822"/>
      <c r="AF8" s="822"/>
      <c r="AG8" s="822"/>
      <c r="AH8" s="746"/>
      <c r="AI8" s="746"/>
      <c r="AJ8" s="746"/>
      <c r="AK8" s="746"/>
      <c r="AL8" s="746"/>
      <c r="AM8" s="746"/>
      <c r="AN8" s="746"/>
      <c r="AO8" s="746"/>
      <c r="AP8" s="746"/>
      <c r="AQ8" s="746"/>
      <c r="AR8" s="746"/>
      <c r="AS8" s="746"/>
      <c r="AT8" s="746"/>
      <c r="AU8" s="1129"/>
    </row>
    <row r="9" spans="1:47" s="1018" customFormat="1" ht="265.2" customHeight="1" thickBot="1">
      <c r="A9" s="1132"/>
      <c r="B9" s="1553" t="s">
        <v>897</v>
      </c>
      <c r="C9" s="1554"/>
      <c r="D9" s="1555"/>
      <c r="E9" s="1540" t="s">
        <v>624</v>
      </c>
      <c r="F9" s="1541"/>
      <c r="G9" s="1541"/>
      <c r="H9" s="1541"/>
      <c r="I9" s="1541"/>
      <c r="J9" s="1541"/>
      <c r="K9" s="1541"/>
      <c r="L9" s="1541"/>
      <c r="M9" s="1541"/>
      <c r="N9" s="1541"/>
      <c r="O9" s="1536">
        <v>2020</v>
      </c>
      <c r="P9" s="1537"/>
      <c r="Q9" s="1537"/>
      <c r="R9" s="1537"/>
      <c r="S9" s="1537"/>
      <c r="T9" s="1537"/>
      <c r="U9" s="1537"/>
      <c r="V9" s="1538"/>
      <c r="W9" s="1528">
        <v>2021</v>
      </c>
      <c r="X9" s="1529"/>
      <c r="Y9" s="1529"/>
      <c r="Z9" s="1529"/>
      <c r="AA9" s="1529"/>
      <c r="AB9" s="1529"/>
      <c r="AC9" s="1529"/>
      <c r="AD9" s="1529"/>
      <c r="AE9" s="1530">
        <v>2022</v>
      </c>
      <c r="AF9" s="1530"/>
      <c r="AG9" s="1530"/>
      <c r="AH9" s="1530"/>
      <c r="AI9" s="1530"/>
      <c r="AJ9" s="1530"/>
      <c r="AK9" s="1530"/>
      <c r="AL9" s="1530"/>
      <c r="AM9" s="1531">
        <v>2023</v>
      </c>
      <c r="AN9" s="1531"/>
      <c r="AO9" s="1531"/>
      <c r="AP9" s="1531"/>
      <c r="AQ9" s="1531"/>
      <c r="AR9" s="1531"/>
      <c r="AS9" s="1531"/>
      <c r="AT9" s="1532"/>
      <c r="AU9" s="1133"/>
    </row>
    <row r="10" spans="1:47" s="1185" customFormat="1" ht="408" customHeight="1">
      <c r="A10" s="1177" t="s">
        <v>809</v>
      </c>
      <c r="B10" s="1178" t="s">
        <v>710</v>
      </c>
      <c r="C10" s="1179" t="s">
        <v>711</v>
      </c>
      <c r="D10" s="1179" t="s">
        <v>843</v>
      </c>
      <c r="E10" s="1180" t="s">
        <v>898</v>
      </c>
      <c r="F10" s="1180" t="s">
        <v>899</v>
      </c>
      <c r="G10" s="1180" t="s">
        <v>900</v>
      </c>
      <c r="H10" s="1180" t="s">
        <v>901</v>
      </c>
      <c r="I10" s="1180" t="s">
        <v>902</v>
      </c>
      <c r="J10" s="1180" t="s">
        <v>903</v>
      </c>
      <c r="K10" s="1180" t="s">
        <v>904</v>
      </c>
      <c r="L10" s="1181" t="s">
        <v>845</v>
      </c>
      <c r="M10" s="1180" t="s">
        <v>844</v>
      </c>
      <c r="N10" s="1182" t="s">
        <v>806</v>
      </c>
      <c r="O10" s="1180" t="s">
        <v>905</v>
      </c>
      <c r="P10" s="1180" t="s">
        <v>906</v>
      </c>
      <c r="Q10" s="1180" t="s">
        <v>907</v>
      </c>
      <c r="R10" s="1180" t="s">
        <v>908</v>
      </c>
      <c r="S10" s="1180" t="s">
        <v>909</v>
      </c>
      <c r="T10" s="1180" t="s">
        <v>910</v>
      </c>
      <c r="U10" s="1180" t="s">
        <v>911</v>
      </c>
      <c r="V10" s="1180" t="s">
        <v>598</v>
      </c>
      <c r="W10" s="1180" t="s">
        <v>905</v>
      </c>
      <c r="X10" s="1180" t="s">
        <v>906</v>
      </c>
      <c r="Y10" s="1180" t="s">
        <v>907</v>
      </c>
      <c r="Z10" s="1180" t="s">
        <v>908</v>
      </c>
      <c r="AA10" s="1180" t="s">
        <v>909</v>
      </c>
      <c r="AB10" s="1180" t="s">
        <v>910</v>
      </c>
      <c r="AC10" s="1180" t="s">
        <v>911</v>
      </c>
      <c r="AD10" s="1180" t="s">
        <v>602</v>
      </c>
      <c r="AE10" s="1180" t="s">
        <v>905</v>
      </c>
      <c r="AF10" s="1180" t="s">
        <v>906</v>
      </c>
      <c r="AG10" s="1180" t="s">
        <v>907</v>
      </c>
      <c r="AH10" s="1180" t="s">
        <v>908</v>
      </c>
      <c r="AI10" s="1180" t="s">
        <v>909</v>
      </c>
      <c r="AJ10" s="1180" t="s">
        <v>910</v>
      </c>
      <c r="AK10" s="1180" t="s">
        <v>911</v>
      </c>
      <c r="AL10" s="1180" t="s">
        <v>603</v>
      </c>
      <c r="AM10" s="1180" t="s">
        <v>905</v>
      </c>
      <c r="AN10" s="1180" t="s">
        <v>906</v>
      </c>
      <c r="AO10" s="1180" t="s">
        <v>907</v>
      </c>
      <c r="AP10" s="1180" t="s">
        <v>908</v>
      </c>
      <c r="AQ10" s="1180" t="s">
        <v>909</v>
      </c>
      <c r="AR10" s="1180" t="s">
        <v>910</v>
      </c>
      <c r="AS10" s="1180" t="s">
        <v>911</v>
      </c>
      <c r="AT10" s="1183" t="s">
        <v>604</v>
      </c>
      <c r="AU10" s="1184"/>
    </row>
    <row r="11" spans="1:47" s="1194" customFormat="1" ht="177" customHeight="1">
      <c r="A11" s="1186"/>
      <c r="B11" s="1187" t="s">
        <v>599</v>
      </c>
      <c r="C11" s="1188"/>
      <c r="D11" s="1189"/>
      <c r="E11" s="1190">
        <f>'MATRIZ PLURIANUAL (2)'!E5</f>
        <v>35990526507.178024</v>
      </c>
      <c r="F11" s="1190">
        <f>'MATRIZ PLURIANUAL (2)'!F5</f>
        <v>128624569189.75002</v>
      </c>
      <c r="G11" s="1190">
        <f>'MATRIZ PLURIANUAL (2)'!G5</f>
        <v>752905601773.56787</v>
      </c>
      <c r="H11" s="1190">
        <f>'MATRIZ PLURIANUAL (2)'!H5</f>
        <v>12628567563</v>
      </c>
      <c r="I11" s="1190">
        <f>'MATRIZ PLURIANUAL (2)'!I5</f>
        <v>287626759570.97601</v>
      </c>
      <c r="J11" s="1190">
        <f>'MATRIZ PLURIANUAL (2)'!J5</f>
        <v>217546304145.9285</v>
      </c>
      <c r="K11" s="1190">
        <f>'MATRIZ PLURIANUAL (2)'!K5</f>
        <v>17420441297.439999</v>
      </c>
      <c r="L11" s="1190">
        <f>'MATRIZ PLURIANUAL (2)'!L5</f>
        <v>1452742770047.8403</v>
      </c>
      <c r="M11" s="1190">
        <f>E11+F11+G11+H11+I11+K11</f>
        <v>1235196465901.9119</v>
      </c>
      <c r="N11" s="1191">
        <f>N12+N25+N40+N45+N81+N89+N99</f>
        <v>1</v>
      </c>
      <c r="O11" s="1190">
        <f>'MATRIZ PLURIANUAL (2)'!N5</f>
        <v>11892882523.42</v>
      </c>
      <c r="P11" s="1190">
        <f>'MATRIZ PLURIANUAL (2)'!O5</f>
        <v>47470458330.730003</v>
      </c>
      <c r="Q11" s="1190">
        <f>'MATRIZ PLURIANUAL (2)'!P5</f>
        <v>186152127921.75</v>
      </c>
      <c r="R11" s="1190">
        <f>'MATRIZ PLURIANUAL (2)'!Q5</f>
        <v>3644567563</v>
      </c>
      <c r="S11" s="1190">
        <f>'MATRIZ PLURIANUAL (2)'!R5</f>
        <v>69795245962.980011</v>
      </c>
      <c r="T11" s="1190">
        <f>'MATRIZ PLURIANUAL (2)'!S5</f>
        <v>36873071310.555298</v>
      </c>
      <c r="U11" s="1190">
        <f>'MATRIZ PLURIANUAL (2)'!T5</f>
        <v>15095951864.439999</v>
      </c>
      <c r="V11" s="1190">
        <f>'MATRIZ PLURIANUAL (2)'!U5</f>
        <v>370924305476.87531</v>
      </c>
      <c r="W11" s="1190">
        <f>'MATRIZ PLURIANUAL (2)'!V5</f>
        <v>7733581683.709671</v>
      </c>
      <c r="X11" s="1190">
        <f>'MATRIZ PLURIANUAL (2)'!W5</f>
        <v>30830087800</v>
      </c>
      <c r="Y11" s="1190">
        <f>'MATRIZ PLURIANUAL (2)'!X5</f>
        <v>187041300600.41428</v>
      </c>
      <c r="Z11" s="1190">
        <f>'MATRIZ PLURIANUAL (2)'!Y5</f>
        <v>2921000000</v>
      </c>
      <c r="AA11" s="1190">
        <f>'MATRIZ PLURIANUAL (2)'!Z5</f>
        <v>74167306603.998001</v>
      </c>
      <c r="AB11" s="1190">
        <f>'MATRIZ PLURIANUAL (2)'!AA5</f>
        <v>65132511125.323196</v>
      </c>
      <c r="AC11" s="1190">
        <f>'MATRIZ PLURIANUAL (2)'!AB5</f>
        <v>1061410700</v>
      </c>
      <c r="AD11" s="1190">
        <f>'MATRIZ PLURIANUAL (2)'!AC5</f>
        <v>368887198513.44519</v>
      </c>
      <c r="AE11" s="1190">
        <f>'MATRIZ PLURIANUAL (2)'!AD5</f>
        <v>8030397890.000001</v>
      </c>
      <c r="AF11" s="1190">
        <f>'MATRIZ PLURIANUAL (2)'!AE5</f>
        <v>29404285074</v>
      </c>
      <c r="AG11" s="1190">
        <f>'MATRIZ PLURIANUAL (2)'!AF5</f>
        <v>188911583677.31885</v>
      </c>
      <c r="AH11" s="1190">
        <f>'MATRIZ PLURIANUAL (2)'!AG5</f>
        <v>2994000000</v>
      </c>
      <c r="AI11" s="1190">
        <f>'MATRIZ PLURIANUAL (2)'!AH5</f>
        <v>71300840833.998001</v>
      </c>
      <c r="AJ11" s="1190">
        <f>'MATRIZ PLURIANUAL (2)'!AI5</f>
        <v>56979832216.93</v>
      </c>
      <c r="AK11" s="1190">
        <f>'MATRIZ PLURIANUAL (2)'!AJ5</f>
        <v>742987490.00000012</v>
      </c>
      <c r="AL11" s="1190">
        <f>'MATRIZ PLURIANUAL (2)'!AK5</f>
        <v>358363927182.24689</v>
      </c>
      <c r="AM11" s="1190">
        <f>'MATRIZ PLURIANUAL (2)'!AL5</f>
        <v>8333664410.048357</v>
      </c>
      <c r="AN11" s="1190">
        <f>'MATRIZ PLURIANUAL (2)'!AM5</f>
        <v>20919737985.020004</v>
      </c>
      <c r="AO11" s="1190">
        <f>'MATRIZ PLURIANUAL (2)'!AN5</f>
        <v>190800589574.08466</v>
      </c>
      <c r="AP11" s="1190">
        <f>'MATRIZ PLURIANUAL (2)'!AO5</f>
        <v>3069000000</v>
      </c>
      <c r="AQ11" s="1190">
        <f>'MATRIZ PLURIANUAL (2)'!AP5</f>
        <v>72363366170</v>
      </c>
      <c r="AR11" s="1190">
        <f>'MATRIZ PLURIANUAL (2)'!AQ5</f>
        <v>58560889493.119995</v>
      </c>
      <c r="AS11" s="1190">
        <f>'MATRIZ PLURIANUAL (2)'!AR5</f>
        <v>520091243</v>
      </c>
      <c r="AT11" s="1192">
        <f>'MATRIZ PLURIANUAL (2)'!AS5</f>
        <v>354567338875.27301</v>
      </c>
      <c r="AU11" s="1193"/>
    </row>
    <row r="12" spans="1:47" s="1194" customFormat="1" ht="177" customHeight="1">
      <c r="A12" s="1186"/>
      <c r="B12" s="1195" t="s">
        <v>627</v>
      </c>
      <c r="C12" s="1196"/>
      <c r="D12" s="1197"/>
      <c r="E12" s="1198">
        <f>'MATRIZ PLURIANUAL (2)'!E6</f>
        <v>2168787958.5382471</v>
      </c>
      <c r="F12" s="1198">
        <f>'MATRIZ PLURIANUAL (2)'!F6</f>
        <v>11408079167.619999</v>
      </c>
      <c r="G12" s="1198">
        <f>'MATRIZ PLURIANUAL (2)'!G6</f>
        <v>0</v>
      </c>
      <c r="H12" s="1198">
        <f>'MATRIZ PLURIANUAL (2)'!H6</f>
        <v>0</v>
      </c>
      <c r="I12" s="1198">
        <f>'MATRIZ PLURIANUAL (2)'!I6</f>
        <v>22404836224.720001</v>
      </c>
      <c r="J12" s="1198">
        <f>'MATRIZ PLURIANUAL (2)'!J6</f>
        <v>7130000000</v>
      </c>
      <c r="K12" s="1198">
        <f>'MATRIZ PLURIANUAL (2)'!K6</f>
        <v>219204048.97000003</v>
      </c>
      <c r="L12" s="1198">
        <f>'MATRIZ PLURIANUAL (2)'!L6</f>
        <v>43330907399.848251</v>
      </c>
      <c r="M12" s="1198">
        <f t="shared" ref="M12:M75" si="0">E12+F12+G12+H12+I12+K12</f>
        <v>36200907399.848251</v>
      </c>
      <c r="N12" s="1199">
        <f>SUM(N13:N24)</f>
        <v>3.1E-2</v>
      </c>
      <c r="O12" s="1198">
        <f>'MATRIZ PLURIANUAL (2)'!N6</f>
        <v>0</v>
      </c>
      <c r="P12" s="1198">
        <f>'MATRIZ PLURIANUAL (2)'!O6</f>
        <v>2745725277.6199999</v>
      </c>
      <c r="Q12" s="1198">
        <f>'MATRIZ PLURIANUAL (2)'!P6</f>
        <v>0</v>
      </c>
      <c r="R12" s="1198">
        <f>'MATRIZ PLURIANUAL (2)'!Q6</f>
        <v>0</v>
      </c>
      <c r="S12" s="1198">
        <f>'MATRIZ PLURIANUAL (2)'!R6</f>
        <v>3400000000</v>
      </c>
      <c r="T12" s="1198">
        <f>'MATRIZ PLURIANUAL (2)'!S6</f>
        <v>0</v>
      </c>
      <c r="U12" s="1198">
        <f>'MATRIZ PLURIANUAL (2)'!T6</f>
        <v>10000000</v>
      </c>
      <c r="V12" s="1198">
        <f>'MATRIZ PLURIANUAL (2)'!U6</f>
        <v>6155725277.6199999</v>
      </c>
      <c r="W12" s="1198">
        <f>'MATRIZ PLURIANUAL (2)'!V6</f>
        <v>696022351.53390002</v>
      </c>
      <c r="X12" s="1198">
        <f>'MATRIZ PLURIANUAL (2)'!W6</f>
        <v>3187100000</v>
      </c>
      <c r="Y12" s="1198">
        <f>'MATRIZ PLURIANUAL (2)'!X6</f>
        <v>0</v>
      </c>
      <c r="Z12" s="1198">
        <f>'MATRIZ PLURIANUAL (2)'!Y6</f>
        <v>0</v>
      </c>
      <c r="AA12" s="1198">
        <f>'MATRIZ PLURIANUAL (2)'!Z6</f>
        <v>6475057594.3599997</v>
      </c>
      <c r="AB12" s="1198">
        <f>'MATRIZ PLURIANUAL (2)'!AA6</f>
        <v>2700000000</v>
      </c>
      <c r="AC12" s="1198">
        <f>'MATRIZ PLURIANUAL (2)'!AB6</f>
        <v>95526963</v>
      </c>
      <c r="AD12" s="1198">
        <f>'MATRIZ PLURIANUAL (2)'!AC6</f>
        <v>13153706908.8939</v>
      </c>
      <c r="AE12" s="1198">
        <f>'MATRIZ PLURIANUAL (2)'!AD6</f>
        <v>722735810.10000002</v>
      </c>
      <c r="AF12" s="1198">
        <f>'MATRIZ PLURIANUAL (2)'!AE6</f>
        <v>2877263000</v>
      </c>
      <c r="AG12" s="1198">
        <f>'MATRIZ PLURIANUAL (2)'!AF6</f>
        <v>0</v>
      </c>
      <c r="AH12" s="1198">
        <f>'MATRIZ PLURIANUAL (2)'!AG6</f>
        <v>0</v>
      </c>
      <c r="AI12" s="1198">
        <f>'MATRIZ PLURIANUAL (2)'!AH6</f>
        <v>6217075675.0599995</v>
      </c>
      <c r="AJ12" s="1198">
        <f>'MATRIZ PLURIANUAL (2)'!AI6</f>
        <v>2850000000</v>
      </c>
      <c r="AK12" s="1198">
        <f>'MATRIZ PLURIANUAL (2)'!AJ6</f>
        <v>66868874.100000009</v>
      </c>
      <c r="AL12" s="1198">
        <f>'MATRIZ PLURIANUAL (2)'!AK6</f>
        <v>12733943359.26</v>
      </c>
      <c r="AM12" s="1198">
        <f>'MATRIZ PLURIANUAL (2)'!AL6</f>
        <v>750029796.90434694</v>
      </c>
      <c r="AN12" s="1198">
        <f>'MATRIZ PLURIANUAL (2)'!AM6</f>
        <v>2597990890</v>
      </c>
      <c r="AO12" s="1198">
        <f>'MATRIZ PLURIANUAL (2)'!AN6</f>
        <v>0</v>
      </c>
      <c r="AP12" s="1198">
        <f>'MATRIZ PLURIANUAL (2)'!AO6</f>
        <v>0</v>
      </c>
      <c r="AQ12" s="1198">
        <f>'MATRIZ PLURIANUAL (2)'!AP6</f>
        <v>6312702955.3000002</v>
      </c>
      <c r="AR12" s="1198">
        <f>'MATRIZ PLURIANUAL (2)'!AQ6</f>
        <v>1580000000</v>
      </c>
      <c r="AS12" s="1198">
        <f>'MATRIZ PLURIANUAL (2)'!AR6</f>
        <v>46808211.869999997</v>
      </c>
      <c r="AT12" s="1200">
        <f>'MATRIZ PLURIANUAL (2)'!AS6</f>
        <v>11287531854.074347</v>
      </c>
      <c r="AU12" s="1193"/>
    </row>
    <row r="13" spans="1:47" s="1030" customFormat="1" ht="285" customHeight="1">
      <c r="A13" s="1134"/>
      <c r="B13" s="1547" t="s">
        <v>123</v>
      </c>
      <c r="C13" s="1545" t="s">
        <v>124</v>
      </c>
      <c r="D13" s="1155" t="s">
        <v>713</v>
      </c>
      <c r="E13" s="1518">
        <f>'MATRIZ PLURIANUAL (2)'!E7</f>
        <v>963905759.35033202</v>
      </c>
      <c r="F13" s="1518">
        <f>'MATRIZ PLURIANUAL (2)'!F7</f>
        <v>0</v>
      </c>
      <c r="G13" s="1518">
        <f>'MATRIZ PLURIANUAL (2)'!G7</f>
        <v>0</v>
      </c>
      <c r="H13" s="1518">
        <f>'MATRIZ PLURIANUAL (2)'!H7</f>
        <v>0</v>
      </c>
      <c r="I13" s="1518">
        <f>'MATRIZ PLURIANUAL (2)'!I7</f>
        <v>9113260544.3199997</v>
      </c>
      <c r="J13" s="1518">
        <f>'MATRIZ PLURIANUAL (2)'!J7</f>
        <v>2850000000</v>
      </c>
      <c r="K13" s="1518">
        <f>'MATRIZ PLURIANUAL (2)'!K7</f>
        <v>92979577.319999993</v>
      </c>
      <c r="L13" s="1518">
        <f>'MATRIZ PLURIANUAL (2)'!L7</f>
        <v>13020145880.990332</v>
      </c>
      <c r="M13" s="1518">
        <f t="shared" si="0"/>
        <v>10170145880.990332</v>
      </c>
      <c r="N13" s="1523">
        <v>8.9999999999999993E-3</v>
      </c>
      <c r="O13" s="1518">
        <f>'MATRIZ PLURIANUAL (2)'!N7</f>
        <v>0</v>
      </c>
      <c r="P13" s="1518">
        <f>'MATRIZ PLURIANUAL (2)'!O7</f>
        <v>0</v>
      </c>
      <c r="Q13" s="1518">
        <f>'MATRIZ PLURIANUAL (2)'!P7</f>
        <v>0</v>
      </c>
      <c r="R13" s="1518">
        <f>'MATRIZ PLURIANUAL (2)'!Q7</f>
        <v>0</v>
      </c>
      <c r="S13" s="1518">
        <f>'MATRIZ PLURIANUAL (2)'!R7</f>
        <v>1000000000</v>
      </c>
      <c r="T13" s="1518">
        <f>'MATRIZ PLURIANUAL (2)'!S7</f>
        <v>0</v>
      </c>
      <c r="U13" s="1518">
        <f>'MATRIZ PLURIANUAL (2)'!T7</f>
        <v>0</v>
      </c>
      <c r="V13" s="1518">
        <f>'MATRIZ PLURIANUAL (2)'!U7</f>
        <v>1000000000</v>
      </c>
      <c r="W13" s="1518">
        <f>'MATRIZ PLURIANUAL (2)'!V7</f>
        <v>309343267.3484</v>
      </c>
      <c r="X13" s="1518">
        <f>'MATRIZ PLURIANUAL (2)'!W7</f>
        <v>0</v>
      </c>
      <c r="Y13" s="1518">
        <f>'MATRIZ PLURIANUAL (2)'!X7</f>
        <v>0</v>
      </c>
      <c r="Z13" s="1518">
        <f>'MATRIZ PLURIANUAL (2)'!Y7</f>
        <v>0</v>
      </c>
      <c r="AA13" s="1518">
        <f>'MATRIZ PLURIANUAL (2)'!Z7</f>
        <v>2766692264.1599998</v>
      </c>
      <c r="AB13" s="1518">
        <f>'MATRIZ PLURIANUAL (2)'!AA7</f>
        <v>950000000</v>
      </c>
      <c r="AC13" s="1518">
        <f>'MATRIZ PLURIANUAL (2)'!AB7</f>
        <v>42456428</v>
      </c>
      <c r="AD13" s="1518">
        <f>'MATRIZ PLURIANUAL (2)'!AC7</f>
        <v>4068491959.5084</v>
      </c>
      <c r="AE13" s="1518">
        <f>'MATRIZ PLURIANUAL (2)'!AD7</f>
        <v>321215915.60000002</v>
      </c>
      <c r="AF13" s="1518">
        <f>'MATRIZ PLURIANUAL (2)'!AE7</f>
        <v>0</v>
      </c>
      <c r="AG13" s="1518">
        <f>'MATRIZ PLURIANUAL (2)'!AF7</f>
        <v>0</v>
      </c>
      <c r="AH13" s="1518">
        <f>'MATRIZ PLURIANUAL (2)'!AG7</f>
        <v>0</v>
      </c>
      <c r="AI13" s="1518">
        <f>'MATRIZ PLURIANUAL (2)'!AH7</f>
        <v>2652033633.3600001</v>
      </c>
      <c r="AJ13" s="1518">
        <f>'MATRIZ PLURIANUAL (2)'!AI7</f>
        <v>1100000000</v>
      </c>
      <c r="AK13" s="1518">
        <f>'MATRIZ PLURIANUAL (2)'!AJ7</f>
        <v>29719499.600000001</v>
      </c>
      <c r="AL13" s="1518">
        <f>'MATRIZ PLURIANUAL (2)'!AK7</f>
        <v>4102969048.5599999</v>
      </c>
      <c r="AM13" s="1518">
        <f>'MATRIZ PLURIANUAL (2)'!AL7</f>
        <v>333346576.401932</v>
      </c>
      <c r="AN13" s="1518">
        <f>'MATRIZ PLURIANUAL (2)'!AM7</f>
        <v>0</v>
      </c>
      <c r="AO13" s="1518">
        <f>'MATRIZ PLURIANUAL (2)'!AN7</f>
        <v>0</v>
      </c>
      <c r="AP13" s="1518">
        <f>'MATRIZ PLURIANUAL (2)'!AO7</f>
        <v>0</v>
      </c>
      <c r="AQ13" s="1518">
        <f>'MATRIZ PLURIANUAL (2)'!AP7</f>
        <v>2694534646.8000002</v>
      </c>
      <c r="AR13" s="1518">
        <f>'MATRIZ PLURIANUAL (2)'!AQ7</f>
        <v>800000000</v>
      </c>
      <c r="AS13" s="1518">
        <f>'MATRIZ PLURIANUAL (2)'!AR7</f>
        <v>20803649.719999999</v>
      </c>
      <c r="AT13" s="1522">
        <f>'MATRIZ PLURIANUAL (2)'!AS7</f>
        <v>3848684872.9219317</v>
      </c>
      <c r="AU13" s="1135"/>
    </row>
    <row r="14" spans="1:47" s="1030" customFormat="1" ht="285" customHeight="1">
      <c r="A14" s="1134"/>
      <c r="B14" s="1548"/>
      <c r="C14" s="1550"/>
      <c r="D14" s="1155" t="s">
        <v>714</v>
      </c>
      <c r="E14" s="1518"/>
      <c r="F14" s="1518"/>
      <c r="G14" s="1518"/>
      <c r="H14" s="1518"/>
      <c r="I14" s="1518"/>
      <c r="J14" s="1518"/>
      <c r="K14" s="1518"/>
      <c r="L14" s="1518"/>
      <c r="M14" s="1518">
        <f t="shared" si="0"/>
        <v>0</v>
      </c>
      <c r="N14" s="1523"/>
      <c r="O14" s="1518"/>
      <c r="P14" s="1518"/>
      <c r="Q14" s="1518"/>
      <c r="R14" s="1518"/>
      <c r="S14" s="1518"/>
      <c r="T14" s="1518"/>
      <c r="U14" s="1518"/>
      <c r="V14" s="1518"/>
      <c r="W14" s="1518"/>
      <c r="X14" s="1518"/>
      <c r="Y14" s="1518"/>
      <c r="Z14" s="1518"/>
      <c r="AA14" s="1518"/>
      <c r="AB14" s="1518"/>
      <c r="AC14" s="1518"/>
      <c r="AD14" s="1518"/>
      <c r="AE14" s="1518"/>
      <c r="AF14" s="1518"/>
      <c r="AG14" s="1518"/>
      <c r="AH14" s="1518"/>
      <c r="AI14" s="1518"/>
      <c r="AJ14" s="1518"/>
      <c r="AK14" s="1518"/>
      <c r="AL14" s="1518"/>
      <c r="AM14" s="1518"/>
      <c r="AN14" s="1518"/>
      <c r="AO14" s="1518"/>
      <c r="AP14" s="1518"/>
      <c r="AQ14" s="1518"/>
      <c r="AR14" s="1518"/>
      <c r="AS14" s="1518"/>
      <c r="AT14" s="1522"/>
      <c r="AU14" s="1135"/>
    </row>
    <row r="15" spans="1:47" s="1030" customFormat="1" ht="285" customHeight="1">
      <c r="A15" s="1134"/>
      <c r="B15" s="1548"/>
      <c r="C15" s="1546"/>
      <c r="D15" s="1155" t="s">
        <v>715</v>
      </c>
      <c r="E15" s="1518"/>
      <c r="F15" s="1518"/>
      <c r="G15" s="1518"/>
      <c r="H15" s="1518"/>
      <c r="I15" s="1518"/>
      <c r="J15" s="1518"/>
      <c r="K15" s="1518"/>
      <c r="L15" s="1518"/>
      <c r="M15" s="1518">
        <f t="shared" si="0"/>
        <v>0</v>
      </c>
      <c r="N15" s="1523"/>
      <c r="O15" s="1518"/>
      <c r="P15" s="1518"/>
      <c r="Q15" s="1518"/>
      <c r="R15" s="1518"/>
      <c r="S15" s="1518"/>
      <c r="T15" s="1518"/>
      <c r="U15" s="1518"/>
      <c r="V15" s="1518"/>
      <c r="W15" s="1518"/>
      <c r="X15" s="1518"/>
      <c r="Y15" s="1518"/>
      <c r="Z15" s="1518"/>
      <c r="AA15" s="1518"/>
      <c r="AB15" s="1518"/>
      <c r="AC15" s="1518"/>
      <c r="AD15" s="1518"/>
      <c r="AE15" s="1518"/>
      <c r="AF15" s="1518"/>
      <c r="AG15" s="1518"/>
      <c r="AH15" s="1518"/>
      <c r="AI15" s="1518"/>
      <c r="AJ15" s="1518"/>
      <c r="AK15" s="1518"/>
      <c r="AL15" s="1518"/>
      <c r="AM15" s="1518"/>
      <c r="AN15" s="1518"/>
      <c r="AO15" s="1518"/>
      <c r="AP15" s="1518"/>
      <c r="AQ15" s="1518"/>
      <c r="AR15" s="1518"/>
      <c r="AS15" s="1518"/>
      <c r="AT15" s="1522"/>
      <c r="AU15" s="1135"/>
    </row>
    <row r="16" spans="1:47" s="1030" customFormat="1" ht="285" customHeight="1">
      <c r="A16" s="1134"/>
      <c r="B16" s="1548"/>
      <c r="C16" s="1545" t="s">
        <v>125</v>
      </c>
      <c r="D16" s="1155" t="s">
        <v>716</v>
      </c>
      <c r="E16" s="1518">
        <f>'MATRIZ PLURIANUAL (2)'!E12</f>
        <v>0</v>
      </c>
      <c r="F16" s="1518">
        <f>'MATRIZ PLURIANUAL (2)'!F12</f>
        <v>11408079167.619999</v>
      </c>
      <c r="G16" s="1518">
        <f>'MATRIZ PLURIANUAL (2)'!G12</f>
        <v>0</v>
      </c>
      <c r="H16" s="1518">
        <f>'MATRIZ PLURIANUAL (2)'!H12</f>
        <v>0</v>
      </c>
      <c r="I16" s="1542">
        <f>'MATRIZ PLURIANUAL (2)'!I12</f>
        <v>0</v>
      </c>
      <c r="J16" s="1518">
        <f>'MATRIZ PLURIANUAL (2)'!J12</f>
        <v>150000000</v>
      </c>
      <c r="K16" s="1518">
        <f>'MATRIZ PLURIANUAL (2)'!K12</f>
        <v>10000000</v>
      </c>
      <c r="L16" s="1518">
        <f>'MATRIZ PLURIANUAL (2)'!L12</f>
        <v>11568079167.619999</v>
      </c>
      <c r="M16" s="1518">
        <f t="shared" si="0"/>
        <v>11418079167.619999</v>
      </c>
      <c r="N16" s="1523">
        <v>0.01</v>
      </c>
      <c r="O16" s="1518">
        <f>'MATRIZ PLURIANUAL (2)'!N12</f>
        <v>0</v>
      </c>
      <c r="P16" s="1518">
        <f>'MATRIZ PLURIANUAL (2)'!O12</f>
        <v>2745725277.6199999</v>
      </c>
      <c r="Q16" s="1518">
        <f>'MATRIZ PLURIANUAL (2)'!P12</f>
        <v>0</v>
      </c>
      <c r="R16" s="1518">
        <f>'MATRIZ PLURIANUAL (2)'!Q12</f>
        <v>0</v>
      </c>
      <c r="S16" s="1518">
        <f>'MATRIZ PLURIANUAL (2)'!R12</f>
        <v>0</v>
      </c>
      <c r="T16" s="1518">
        <f>'MATRIZ PLURIANUAL (2)'!S12</f>
        <v>0</v>
      </c>
      <c r="U16" s="1518">
        <f>'MATRIZ PLURIANUAL (2)'!T12</f>
        <v>10000000</v>
      </c>
      <c r="V16" s="1518">
        <f>'MATRIZ PLURIANUAL (2)'!U12</f>
        <v>2755725277.6199999</v>
      </c>
      <c r="W16" s="1518">
        <f>'MATRIZ PLURIANUAL (2)'!V12</f>
        <v>0</v>
      </c>
      <c r="X16" s="1518">
        <f>'MATRIZ PLURIANUAL (2)'!W12</f>
        <v>3187100000</v>
      </c>
      <c r="Y16" s="1518">
        <f>'MATRIZ PLURIANUAL (2)'!X12</f>
        <v>0</v>
      </c>
      <c r="Z16" s="1518">
        <f>'MATRIZ PLURIANUAL (2)'!Y12</f>
        <v>0</v>
      </c>
      <c r="AA16" s="1518">
        <f>'MATRIZ PLURIANUAL (2)'!Z12</f>
        <v>0</v>
      </c>
      <c r="AB16" s="1518">
        <f>'MATRIZ PLURIANUAL (2)'!AA12</f>
        <v>0</v>
      </c>
      <c r="AC16" s="1518">
        <f>'MATRIZ PLURIANUAL (2)'!AB12</f>
        <v>0</v>
      </c>
      <c r="AD16" s="1518">
        <f>'MATRIZ PLURIANUAL (2)'!AC12</f>
        <v>3187100000</v>
      </c>
      <c r="AE16" s="1518">
        <f>'MATRIZ PLURIANUAL (2)'!AD12</f>
        <v>0</v>
      </c>
      <c r="AF16" s="1518">
        <f>'MATRIZ PLURIANUAL (2)'!AE12</f>
        <v>2877263000</v>
      </c>
      <c r="AG16" s="1518">
        <f>'MATRIZ PLURIANUAL (2)'!AF12</f>
        <v>0</v>
      </c>
      <c r="AH16" s="1518">
        <f>'MATRIZ PLURIANUAL (2)'!AG12</f>
        <v>0</v>
      </c>
      <c r="AI16" s="1518">
        <f>'MATRIZ PLURIANUAL (2)'!AH12</f>
        <v>0</v>
      </c>
      <c r="AJ16" s="1518">
        <f>'MATRIZ PLURIANUAL (2)'!AI12</f>
        <v>150000000</v>
      </c>
      <c r="AK16" s="1518">
        <f>'MATRIZ PLURIANUAL (2)'!AJ12</f>
        <v>0</v>
      </c>
      <c r="AL16" s="1518">
        <f>'MATRIZ PLURIANUAL (2)'!AK12</f>
        <v>3027263000</v>
      </c>
      <c r="AM16" s="1518">
        <f>'MATRIZ PLURIANUAL (2)'!AL12</f>
        <v>0</v>
      </c>
      <c r="AN16" s="1518">
        <f>'MATRIZ PLURIANUAL (2)'!AM12</f>
        <v>2597990890</v>
      </c>
      <c r="AO16" s="1518">
        <f>'MATRIZ PLURIANUAL (2)'!AN12</f>
        <v>0</v>
      </c>
      <c r="AP16" s="1518">
        <f>'MATRIZ PLURIANUAL (2)'!AO12</f>
        <v>0</v>
      </c>
      <c r="AQ16" s="1518">
        <f>'MATRIZ PLURIANUAL (2)'!AP12</f>
        <v>0</v>
      </c>
      <c r="AR16" s="1518">
        <f>'MATRIZ PLURIANUAL (2)'!AQ12</f>
        <v>0</v>
      </c>
      <c r="AS16" s="1518">
        <f>'MATRIZ PLURIANUAL (2)'!AR12</f>
        <v>0</v>
      </c>
      <c r="AT16" s="1522">
        <f>'MATRIZ PLURIANUAL (2)'!AS12</f>
        <v>2597990890</v>
      </c>
      <c r="AU16" s="1135"/>
    </row>
    <row r="17" spans="1:47" s="1030" customFormat="1" ht="285" customHeight="1">
      <c r="A17" s="1134"/>
      <c r="B17" s="1548"/>
      <c r="C17" s="1546"/>
      <c r="D17" s="1155" t="s">
        <v>717</v>
      </c>
      <c r="E17" s="1518"/>
      <c r="F17" s="1518"/>
      <c r="G17" s="1518"/>
      <c r="H17" s="1518"/>
      <c r="I17" s="1542"/>
      <c r="J17" s="1518"/>
      <c r="K17" s="1518"/>
      <c r="L17" s="1518"/>
      <c r="M17" s="1518">
        <f t="shared" si="0"/>
        <v>0</v>
      </c>
      <c r="N17" s="1523"/>
      <c r="O17" s="1518"/>
      <c r="P17" s="1518"/>
      <c r="Q17" s="1518"/>
      <c r="R17" s="1518"/>
      <c r="S17" s="1518"/>
      <c r="T17" s="1518"/>
      <c r="U17" s="1518"/>
      <c r="V17" s="1518"/>
      <c r="W17" s="1518"/>
      <c r="X17" s="1518"/>
      <c r="Y17" s="1518"/>
      <c r="Z17" s="1518"/>
      <c r="AA17" s="1518"/>
      <c r="AB17" s="1518"/>
      <c r="AC17" s="1518"/>
      <c r="AD17" s="1518"/>
      <c r="AE17" s="1518"/>
      <c r="AF17" s="1518"/>
      <c r="AG17" s="1518"/>
      <c r="AH17" s="1518"/>
      <c r="AI17" s="1518"/>
      <c r="AJ17" s="1518"/>
      <c r="AK17" s="1518"/>
      <c r="AL17" s="1518"/>
      <c r="AM17" s="1518"/>
      <c r="AN17" s="1518"/>
      <c r="AO17" s="1518"/>
      <c r="AP17" s="1518"/>
      <c r="AQ17" s="1518"/>
      <c r="AR17" s="1518"/>
      <c r="AS17" s="1518"/>
      <c r="AT17" s="1522"/>
      <c r="AU17" s="1135"/>
    </row>
    <row r="18" spans="1:47" s="1030" customFormat="1" ht="285" customHeight="1">
      <c r="A18" s="1134"/>
      <c r="B18" s="1548"/>
      <c r="C18" s="1545" t="s">
        <v>126</v>
      </c>
      <c r="D18" s="1155" t="s">
        <v>718</v>
      </c>
      <c r="E18" s="1518">
        <f>'MATRIZ PLURIANUAL (2)'!E15</f>
        <v>722929319.51274896</v>
      </c>
      <c r="F18" s="1518">
        <f>'MATRIZ PLURIANUAL (2)'!F15</f>
        <v>0</v>
      </c>
      <c r="G18" s="1518">
        <f>'MATRIZ PLURIANUAL (2)'!G15</f>
        <v>0</v>
      </c>
      <c r="H18" s="1518">
        <f>'MATRIZ PLURIANUAL (2)'!H15</f>
        <v>0</v>
      </c>
      <c r="I18" s="1518">
        <f>'MATRIZ PLURIANUAL (2)'!I15</f>
        <v>7534945408.2399998</v>
      </c>
      <c r="J18" s="1518">
        <f>'MATRIZ PLURIANUAL (2)'!J15</f>
        <v>1380000000</v>
      </c>
      <c r="K18" s="1518">
        <f>'MATRIZ PLURIANUAL (2)'!K15</f>
        <v>69734682.99000001</v>
      </c>
      <c r="L18" s="1518">
        <f>'MATRIZ PLURIANUAL (2)'!L15</f>
        <v>9707609410.767168</v>
      </c>
      <c r="M18" s="1518">
        <f t="shared" si="0"/>
        <v>8327609410.7427483</v>
      </c>
      <c r="N18" s="1523">
        <v>7.0000000000000001E-3</v>
      </c>
      <c r="O18" s="1518">
        <f>'MATRIZ PLURIANUAL (2)'!N15</f>
        <v>0</v>
      </c>
      <c r="P18" s="1518">
        <f>'MATRIZ PLURIANUAL (2)'!O15</f>
        <v>0</v>
      </c>
      <c r="Q18" s="1518">
        <f>'MATRIZ PLURIANUAL (2)'!P15</f>
        <v>0</v>
      </c>
      <c r="R18" s="1518">
        <f>'MATRIZ PLURIANUAL (2)'!Q15</f>
        <v>0</v>
      </c>
      <c r="S18" s="1518">
        <f>'MATRIZ PLURIANUAL (2)'!R15</f>
        <v>1000000000</v>
      </c>
      <c r="T18" s="1518">
        <f>'MATRIZ PLURIANUAL (2)'!S15</f>
        <v>0</v>
      </c>
      <c r="U18" s="1518">
        <f>'MATRIZ PLURIANUAL (2)'!T15</f>
        <v>0</v>
      </c>
      <c r="V18" s="1518">
        <f>'MATRIZ PLURIANUAL (2)'!U15</f>
        <v>1000000000</v>
      </c>
      <c r="W18" s="1518">
        <f>'MATRIZ PLURIANUAL (2)'!V15</f>
        <v>232007450.5113</v>
      </c>
      <c r="X18" s="1518">
        <f>'MATRIZ PLURIANUAL (2)'!W15</f>
        <v>0</v>
      </c>
      <c r="Y18" s="1518">
        <f>'MATRIZ PLURIANUAL (2)'!X15</f>
        <v>0</v>
      </c>
      <c r="Z18" s="1518">
        <f>'MATRIZ PLURIANUAL (2)'!Y15</f>
        <v>0</v>
      </c>
      <c r="AA18" s="1518">
        <f>'MATRIZ PLURIANUAL (2)'!Z15</f>
        <v>2225019198.1199999</v>
      </c>
      <c r="AB18" s="1518">
        <f>'MATRIZ PLURIANUAL (2)'!AA15</f>
        <v>150000000</v>
      </c>
      <c r="AC18" s="1518">
        <f>'MATRIZ PLURIANUAL (2)'!AB15</f>
        <v>31842321</v>
      </c>
      <c r="AD18" s="1518">
        <f>'MATRIZ PLURIANUAL (2)'!AC15</f>
        <v>2638868969.6313</v>
      </c>
      <c r="AE18" s="1518">
        <f>'MATRIZ PLURIANUAL (2)'!AD15</f>
        <v>240911936.69999999</v>
      </c>
      <c r="AF18" s="1518">
        <f>'MATRIZ PLURIANUAL (2)'!AE15</f>
        <v>0</v>
      </c>
      <c r="AG18" s="1518">
        <f>'MATRIZ PLURIANUAL (2)'!AF15</f>
        <v>0</v>
      </c>
      <c r="AH18" s="1518">
        <f>'MATRIZ PLURIANUAL (2)'!AG15</f>
        <v>0</v>
      </c>
      <c r="AI18" s="1518">
        <f>'MATRIZ PLURIANUAL (2)'!AH15</f>
        <v>2139025225.02</v>
      </c>
      <c r="AJ18" s="1518">
        <f>'MATRIZ PLURIANUAL (2)'!AI15</f>
        <v>600000000</v>
      </c>
      <c r="AK18" s="1518">
        <f>'MATRIZ PLURIANUAL (2)'!AJ15</f>
        <v>22289624.699999999</v>
      </c>
      <c r="AL18" s="1518">
        <f>'MATRIZ PLURIANUAL (2)'!AK15</f>
        <v>3002226786.4199996</v>
      </c>
      <c r="AM18" s="1518">
        <f>'MATRIZ PLURIANUAL (2)'!AL15</f>
        <v>250009932.30144897</v>
      </c>
      <c r="AN18" s="1518">
        <f>'MATRIZ PLURIANUAL (2)'!AM15</f>
        <v>0</v>
      </c>
      <c r="AO18" s="1518">
        <f>'MATRIZ PLURIANUAL (2)'!AN15</f>
        <v>0</v>
      </c>
      <c r="AP18" s="1518">
        <f>'MATRIZ PLURIANUAL (2)'!AO15</f>
        <v>0</v>
      </c>
      <c r="AQ18" s="1518">
        <f>'MATRIZ PLURIANUAL (2)'!AP15</f>
        <v>2170900985.0999999</v>
      </c>
      <c r="AR18" s="1518">
        <f>'MATRIZ PLURIANUAL (2)'!AQ15</f>
        <v>630000000</v>
      </c>
      <c r="AS18" s="1518">
        <f>'MATRIZ PLURIANUAL (2)'!AR15</f>
        <v>15602737.289999999</v>
      </c>
      <c r="AT18" s="1522">
        <f>'MATRIZ PLURIANUAL (2)'!AS15</f>
        <v>3066513654.6914487</v>
      </c>
      <c r="AU18" s="1135"/>
    </row>
    <row r="19" spans="1:47" s="1030" customFormat="1" ht="285" customHeight="1">
      <c r="A19" s="1134"/>
      <c r="B19" s="1548"/>
      <c r="C19" s="1546"/>
      <c r="D19" s="1155" t="s">
        <v>719</v>
      </c>
      <c r="E19" s="1518"/>
      <c r="F19" s="1518"/>
      <c r="G19" s="1518"/>
      <c r="H19" s="1518"/>
      <c r="I19" s="1518"/>
      <c r="J19" s="1518"/>
      <c r="K19" s="1518"/>
      <c r="L19" s="1518"/>
      <c r="M19" s="1518">
        <f t="shared" si="0"/>
        <v>0</v>
      </c>
      <c r="N19" s="1523"/>
      <c r="O19" s="1518"/>
      <c r="P19" s="1518"/>
      <c r="Q19" s="1518"/>
      <c r="R19" s="1518"/>
      <c r="S19" s="1518"/>
      <c r="T19" s="1518"/>
      <c r="U19" s="1518"/>
      <c r="V19" s="1518"/>
      <c r="W19" s="1518"/>
      <c r="X19" s="1518"/>
      <c r="Y19" s="1518"/>
      <c r="Z19" s="1518"/>
      <c r="AA19" s="1518"/>
      <c r="AB19" s="1518"/>
      <c r="AC19" s="1518"/>
      <c r="AD19" s="1518"/>
      <c r="AE19" s="1518"/>
      <c r="AF19" s="1518"/>
      <c r="AG19" s="1518"/>
      <c r="AH19" s="1518"/>
      <c r="AI19" s="1518"/>
      <c r="AJ19" s="1518"/>
      <c r="AK19" s="1518"/>
      <c r="AL19" s="1518"/>
      <c r="AM19" s="1518"/>
      <c r="AN19" s="1518"/>
      <c r="AO19" s="1518"/>
      <c r="AP19" s="1518"/>
      <c r="AQ19" s="1518"/>
      <c r="AR19" s="1518"/>
      <c r="AS19" s="1518"/>
      <c r="AT19" s="1522"/>
      <c r="AU19" s="1135"/>
    </row>
    <row r="20" spans="1:47" s="1030" customFormat="1" ht="285" customHeight="1">
      <c r="A20" s="1134"/>
      <c r="B20" s="1548"/>
      <c r="C20" s="1545" t="s">
        <v>127</v>
      </c>
      <c r="D20" s="1155" t="s">
        <v>724</v>
      </c>
      <c r="E20" s="1518">
        <f>'MATRIZ PLURIANUAL (2)'!E18</f>
        <v>481952879.67516601</v>
      </c>
      <c r="F20" s="1518">
        <f>'MATRIZ PLURIANUAL (2)'!F18</f>
        <v>0</v>
      </c>
      <c r="G20" s="1518">
        <f>'MATRIZ PLURIANUAL (2)'!G18</f>
        <v>0</v>
      </c>
      <c r="H20" s="1518">
        <v>0</v>
      </c>
      <c r="I20" s="1518">
        <f>'MATRIZ PLURIANUAL (2)'!I18</f>
        <v>5756630272.1599998</v>
      </c>
      <c r="J20" s="1518">
        <f>'MATRIZ PLURIANUAL (2)'!J18</f>
        <v>2750000000</v>
      </c>
      <c r="K20" s="1518">
        <f>'MATRIZ PLURIANUAL (2)'!K18</f>
        <v>46489788.659999996</v>
      </c>
      <c r="L20" s="1518">
        <f>'MATRIZ PLURIANUAL (2)'!L18</f>
        <v>9035072940.4951668</v>
      </c>
      <c r="M20" s="1518">
        <f>E20+F20+G20+H20+I20+K20</f>
        <v>6285072940.4951658</v>
      </c>
      <c r="N20" s="1523">
        <v>5.0000000000000001E-3</v>
      </c>
      <c r="O20" s="1518">
        <f>'MATRIZ PLURIANUAL (2)'!N18</f>
        <v>0</v>
      </c>
      <c r="P20" s="1518">
        <f>'MATRIZ PLURIANUAL (2)'!O18</f>
        <v>0</v>
      </c>
      <c r="Q20" s="1518">
        <f>'MATRIZ PLURIANUAL (2)'!P18</f>
        <v>0</v>
      </c>
      <c r="R20" s="1518">
        <f>'MATRIZ PLURIANUAL (2)'!Q18</f>
        <v>0</v>
      </c>
      <c r="S20" s="1518">
        <f>'MATRIZ PLURIANUAL (2)'!R18</f>
        <v>1400000000</v>
      </c>
      <c r="T20" s="1518">
        <f>'MATRIZ PLURIANUAL (2)'!S18</f>
        <v>0</v>
      </c>
      <c r="U20" s="1518">
        <f>'MATRIZ PLURIANUAL (2)'!T18</f>
        <v>0</v>
      </c>
      <c r="V20" s="1518">
        <f>'MATRIZ PLURIANUAL (2)'!U18</f>
        <v>1400000000</v>
      </c>
      <c r="W20" s="1518">
        <f>'MATRIZ PLURIANUAL (2)'!V18</f>
        <v>154671633.6742</v>
      </c>
      <c r="X20" s="1518">
        <f>'MATRIZ PLURIANUAL (2)'!W18</f>
        <v>0</v>
      </c>
      <c r="Y20" s="1518">
        <f>'MATRIZ PLURIANUAL (2)'!X18</f>
        <v>0</v>
      </c>
      <c r="Z20" s="1518">
        <f>'MATRIZ PLURIANUAL (2)'!Y18</f>
        <v>0</v>
      </c>
      <c r="AA20" s="1518">
        <f>'MATRIZ PLURIANUAL (2)'!Z18</f>
        <v>1483346132.0799999</v>
      </c>
      <c r="AB20" s="1518">
        <f>'MATRIZ PLURIANUAL (2)'!AA18</f>
        <v>1600000000</v>
      </c>
      <c r="AC20" s="1518">
        <f>'MATRIZ PLURIANUAL (2)'!AB18</f>
        <v>21228214</v>
      </c>
      <c r="AD20" s="1518">
        <f>'MATRIZ PLURIANUAL (2)'!AC18</f>
        <v>3259245979.7542</v>
      </c>
      <c r="AE20" s="1518">
        <f>'MATRIZ PLURIANUAL (2)'!AD18</f>
        <v>160607957.80000001</v>
      </c>
      <c r="AF20" s="1518">
        <f>'MATRIZ PLURIANUAL (2)'!AE18</f>
        <v>0</v>
      </c>
      <c r="AG20" s="1518">
        <f>'MATRIZ PLURIANUAL (2)'!AF18</f>
        <v>0</v>
      </c>
      <c r="AH20" s="1518">
        <f>'MATRIZ PLURIANUAL (2)'!AG18</f>
        <v>0</v>
      </c>
      <c r="AI20" s="1518">
        <f>'MATRIZ PLURIANUAL (2)'!AH18</f>
        <v>1426016816.6800001</v>
      </c>
      <c r="AJ20" s="1518">
        <f>'MATRIZ PLURIANUAL (2)'!AI18</f>
        <v>1000000000</v>
      </c>
      <c r="AK20" s="1518">
        <f>'MATRIZ PLURIANUAL (2)'!AJ18</f>
        <v>14859749.800000001</v>
      </c>
      <c r="AL20" s="1518">
        <f>'MATRIZ PLURIANUAL (2)'!AK18</f>
        <v>2601484524.2800002</v>
      </c>
      <c r="AM20" s="1518">
        <f>'MATRIZ PLURIANUAL (2)'!AL18</f>
        <v>166673288.200966</v>
      </c>
      <c r="AN20" s="1518">
        <f>'MATRIZ PLURIANUAL (2)'!AM18</f>
        <v>0</v>
      </c>
      <c r="AO20" s="1518">
        <f>'MATRIZ PLURIANUAL (2)'!AN18</f>
        <v>0</v>
      </c>
      <c r="AP20" s="1518">
        <f>'MATRIZ PLURIANUAL (2)'!AO18</f>
        <v>0</v>
      </c>
      <c r="AQ20" s="1518">
        <f>'MATRIZ PLURIANUAL (2)'!AP18</f>
        <v>1447267323.4000001</v>
      </c>
      <c r="AR20" s="1518">
        <f>'MATRIZ PLURIANUAL (2)'!AQ18</f>
        <v>150000000</v>
      </c>
      <c r="AS20" s="1518">
        <f>'MATRIZ PLURIANUAL (2)'!AR18</f>
        <v>10401824.859999999</v>
      </c>
      <c r="AT20" s="1522">
        <f>'MATRIZ PLURIANUAL (2)'!AS18</f>
        <v>1774342436.4609659</v>
      </c>
      <c r="AU20" s="1135"/>
    </row>
    <row r="21" spans="1:47" s="1030" customFormat="1" ht="285" customHeight="1">
      <c r="A21" s="1134"/>
      <c r="B21" s="1548"/>
      <c r="C21" s="1550"/>
      <c r="D21" s="1155" t="s">
        <v>723</v>
      </c>
      <c r="E21" s="1518"/>
      <c r="F21" s="1518"/>
      <c r="G21" s="1518"/>
      <c r="H21" s="1518"/>
      <c r="I21" s="1518"/>
      <c r="J21" s="1518"/>
      <c r="K21" s="1518"/>
      <c r="L21" s="1518"/>
      <c r="M21" s="1518">
        <f t="shared" si="0"/>
        <v>0</v>
      </c>
      <c r="N21" s="1523"/>
      <c r="O21" s="1518"/>
      <c r="P21" s="1518"/>
      <c r="Q21" s="1518"/>
      <c r="R21" s="1518"/>
      <c r="S21" s="1518"/>
      <c r="T21" s="1518"/>
      <c r="U21" s="1518"/>
      <c r="V21" s="1518"/>
      <c r="W21" s="1518"/>
      <c r="X21" s="1518"/>
      <c r="Y21" s="1518"/>
      <c r="Z21" s="1518"/>
      <c r="AA21" s="1518"/>
      <c r="AB21" s="1518"/>
      <c r="AC21" s="1518"/>
      <c r="AD21" s="1518"/>
      <c r="AE21" s="1518"/>
      <c r="AF21" s="1518"/>
      <c r="AG21" s="1518"/>
      <c r="AH21" s="1518"/>
      <c r="AI21" s="1518"/>
      <c r="AJ21" s="1518"/>
      <c r="AK21" s="1518"/>
      <c r="AL21" s="1518"/>
      <c r="AM21" s="1518"/>
      <c r="AN21" s="1518"/>
      <c r="AO21" s="1518"/>
      <c r="AP21" s="1518"/>
      <c r="AQ21" s="1518"/>
      <c r="AR21" s="1518"/>
      <c r="AS21" s="1518"/>
      <c r="AT21" s="1522"/>
      <c r="AU21" s="1135"/>
    </row>
    <row r="22" spans="1:47" s="1030" customFormat="1" ht="285" customHeight="1">
      <c r="A22" s="1134"/>
      <c r="B22" s="1548"/>
      <c r="C22" s="1550"/>
      <c r="D22" s="1155" t="s">
        <v>722</v>
      </c>
      <c r="E22" s="1518"/>
      <c r="F22" s="1518"/>
      <c r="G22" s="1518"/>
      <c r="H22" s="1518"/>
      <c r="I22" s="1518"/>
      <c r="J22" s="1518"/>
      <c r="K22" s="1518"/>
      <c r="L22" s="1518"/>
      <c r="M22" s="1518">
        <f t="shared" si="0"/>
        <v>0</v>
      </c>
      <c r="N22" s="1523"/>
      <c r="O22" s="1518"/>
      <c r="P22" s="1518"/>
      <c r="Q22" s="1518"/>
      <c r="R22" s="1518"/>
      <c r="S22" s="1518"/>
      <c r="T22" s="1518"/>
      <c r="U22" s="1518"/>
      <c r="V22" s="1518"/>
      <c r="W22" s="1518"/>
      <c r="X22" s="1518"/>
      <c r="Y22" s="1518"/>
      <c r="Z22" s="1518"/>
      <c r="AA22" s="1518"/>
      <c r="AB22" s="1518"/>
      <c r="AC22" s="1518"/>
      <c r="AD22" s="1518"/>
      <c r="AE22" s="1518"/>
      <c r="AF22" s="1518"/>
      <c r="AG22" s="1518"/>
      <c r="AH22" s="1518"/>
      <c r="AI22" s="1518"/>
      <c r="AJ22" s="1518"/>
      <c r="AK22" s="1518"/>
      <c r="AL22" s="1518"/>
      <c r="AM22" s="1518"/>
      <c r="AN22" s="1518"/>
      <c r="AO22" s="1518"/>
      <c r="AP22" s="1518"/>
      <c r="AQ22" s="1518"/>
      <c r="AR22" s="1518"/>
      <c r="AS22" s="1518"/>
      <c r="AT22" s="1522"/>
      <c r="AU22" s="1135"/>
    </row>
    <row r="23" spans="1:47" s="1030" customFormat="1" ht="285" customHeight="1">
      <c r="A23" s="1134"/>
      <c r="B23" s="1548"/>
      <c r="C23" s="1550"/>
      <c r="D23" s="1155" t="s">
        <v>720</v>
      </c>
      <c r="E23" s="1518"/>
      <c r="F23" s="1518"/>
      <c r="G23" s="1518"/>
      <c r="H23" s="1518"/>
      <c r="I23" s="1518"/>
      <c r="J23" s="1518"/>
      <c r="K23" s="1518"/>
      <c r="L23" s="1518"/>
      <c r="M23" s="1518">
        <f t="shared" si="0"/>
        <v>0</v>
      </c>
      <c r="N23" s="1523"/>
      <c r="O23" s="1518"/>
      <c r="P23" s="1518"/>
      <c r="Q23" s="1518"/>
      <c r="R23" s="1518"/>
      <c r="S23" s="1518"/>
      <c r="T23" s="1518"/>
      <c r="U23" s="1518"/>
      <c r="V23" s="1518"/>
      <c r="W23" s="1518"/>
      <c r="X23" s="1518"/>
      <c r="Y23" s="1518"/>
      <c r="Z23" s="1518"/>
      <c r="AA23" s="1518"/>
      <c r="AB23" s="1518"/>
      <c r="AC23" s="1518"/>
      <c r="AD23" s="1518"/>
      <c r="AE23" s="1518"/>
      <c r="AF23" s="1518"/>
      <c r="AG23" s="1518"/>
      <c r="AH23" s="1518"/>
      <c r="AI23" s="1518"/>
      <c r="AJ23" s="1518"/>
      <c r="AK23" s="1518"/>
      <c r="AL23" s="1518"/>
      <c r="AM23" s="1518"/>
      <c r="AN23" s="1518"/>
      <c r="AO23" s="1518"/>
      <c r="AP23" s="1518"/>
      <c r="AQ23" s="1518"/>
      <c r="AR23" s="1518"/>
      <c r="AS23" s="1518"/>
      <c r="AT23" s="1522"/>
      <c r="AU23" s="1135"/>
    </row>
    <row r="24" spans="1:47" s="1030" customFormat="1" ht="285" customHeight="1">
      <c r="A24" s="1134"/>
      <c r="B24" s="1549"/>
      <c r="C24" s="1546"/>
      <c r="D24" s="1155" t="s">
        <v>721</v>
      </c>
      <c r="E24" s="1518"/>
      <c r="F24" s="1518"/>
      <c r="G24" s="1518"/>
      <c r="H24" s="1518"/>
      <c r="I24" s="1518"/>
      <c r="J24" s="1518"/>
      <c r="K24" s="1518"/>
      <c r="L24" s="1518"/>
      <c r="M24" s="1518">
        <f t="shared" si="0"/>
        <v>0</v>
      </c>
      <c r="N24" s="1523"/>
      <c r="O24" s="1518"/>
      <c r="P24" s="1518"/>
      <c r="Q24" s="1518"/>
      <c r="R24" s="1518"/>
      <c r="S24" s="1518"/>
      <c r="T24" s="1518"/>
      <c r="U24" s="1518"/>
      <c r="V24" s="1518"/>
      <c r="W24" s="1518"/>
      <c r="X24" s="1518"/>
      <c r="Y24" s="1518"/>
      <c r="Z24" s="1518"/>
      <c r="AA24" s="1518"/>
      <c r="AB24" s="1518"/>
      <c r="AC24" s="1518"/>
      <c r="AD24" s="1518"/>
      <c r="AE24" s="1518"/>
      <c r="AF24" s="1518"/>
      <c r="AG24" s="1518"/>
      <c r="AH24" s="1518"/>
      <c r="AI24" s="1518"/>
      <c r="AJ24" s="1518"/>
      <c r="AK24" s="1518"/>
      <c r="AL24" s="1518"/>
      <c r="AM24" s="1518"/>
      <c r="AN24" s="1518"/>
      <c r="AO24" s="1518"/>
      <c r="AP24" s="1518"/>
      <c r="AQ24" s="1518"/>
      <c r="AR24" s="1518"/>
      <c r="AS24" s="1518"/>
      <c r="AT24" s="1522"/>
      <c r="AU24" s="1135"/>
    </row>
    <row r="25" spans="1:47" s="1031" customFormat="1" ht="249" customHeight="1">
      <c r="A25" s="1136"/>
      <c r="B25" s="1156" t="s">
        <v>628</v>
      </c>
      <c r="C25" s="1157"/>
      <c r="D25" s="1158"/>
      <c r="E25" s="1201">
        <f>'MATRIZ PLURIANUAL (2)'!E24</f>
        <v>5154558393.7734127</v>
      </c>
      <c r="F25" s="1201">
        <f>'MATRIZ PLURIANUAL (2)'!F24</f>
        <v>11769751135.76</v>
      </c>
      <c r="G25" s="1201">
        <f>'MATRIZ PLURIANUAL (2)'!G24</f>
        <v>0</v>
      </c>
      <c r="H25" s="1201">
        <f>'MATRIZ PLURIANUAL (2)'!H24</f>
        <v>0</v>
      </c>
      <c r="I25" s="1201">
        <f>'MATRIZ PLURIANUAL (2)'!I24</f>
        <v>34361466496.880005</v>
      </c>
      <c r="J25" s="1201">
        <f>'MATRIZ PLURIANUAL (2)'!J24</f>
        <v>0</v>
      </c>
      <c r="K25" s="1201">
        <f>'MATRIZ PLURIANUAL (2)'!K24</f>
        <v>267917431.02000001</v>
      </c>
      <c r="L25" s="1201">
        <f>'MATRIZ PLURIANUAL (2)'!L24</f>
        <v>51553693457.433418</v>
      </c>
      <c r="M25" s="1201">
        <f t="shared" si="0"/>
        <v>51553693457.433418</v>
      </c>
      <c r="N25" s="1202">
        <f>SUM(N26:N39)</f>
        <v>3.7999999999999999E-2</v>
      </c>
      <c r="O25" s="1201">
        <f>'MATRIZ PLURIANUAL (2)'!N24</f>
        <v>2503817555.5599999</v>
      </c>
      <c r="P25" s="1201">
        <f>'MATRIZ PLURIANUAL (2)'!O24</f>
        <v>7194426396.8199987</v>
      </c>
      <c r="Q25" s="1201">
        <f>'MATRIZ PLURIANUAL (2)'!P24</f>
        <v>0</v>
      </c>
      <c r="R25" s="1201">
        <f>'MATRIZ PLURIANUAL (2)'!Q24</f>
        <v>0</v>
      </c>
      <c r="S25" s="1201">
        <f>'MATRIZ PLURIANUAL (2)'!R24</f>
        <v>6500000000</v>
      </c>
      <c r="T25" s="1201">
        <f>'MATRIZ PLURIANUAL (2)'!S24</f>
        <v>0</v>
      </c>
      <c r="U25" s="1201">
        <f>'MATRIZ PLURIANUAL (2)'!T24</f>
        <v>12223593.390000001</v>
      </c>
      <c r="V25" s="1201">
        <f>'MATRIZ PLURIANUAL (2)'!U24</f>
        <v>16210467545.769999</v>
      </c>
      <c r="W25" s="1201">
        <f>'MATRIZ PLURIANUAL (2)'!V24</f>
        <v>850693985.20809996</v>
      </c>
      <c r="X25" s="1201">
        <f>'MATRIZ PLURIANUAL (2)'!W24</f>
        <v>1507518600</v>
      </c>
      <c r="Y25" s="1201">
        <f>'MATRIZ PLURIANUAL (2)'!X24</f>
        <v>0</v>
      </c>
      <c r="Z25" s="1201">
        <f>'MATRIZ PLURIANUAL (2)'!Y24</f>
        <v>0</v>
      </c>
      <c r="AA25" s="1201">
        <f>'MATRIZ PLURIANUAL (2)'!Z24</f>
        <v>9458403726.4400005</v>
      </c>
      <c r="AB25" s="1201">
        <f>'MATRIZ PLURIANUAL (2)'!AA24</f>
        <v>0</v>
      </c>
      <c r="AC25" s="1201">
        <f>'MATRIZ PLURIANUAL (2)'!AB24</f>
        <v>116755177</v>
      </c>
      <c r="AD25" s="1201">
        <f>'MATRIZ PLURIANUAL (2)'!AC24</f>
        <v>11933371488.6481</v>
      </c>
      <c r="AE25" s="1201">
        <f>'MATRIZ PLURIANUAL (2)'!AD24</f>
        <v>883343767.9000001</v>
      </c>
      <c r="AF25" s="1201">
        <f>'MATRIZ PLURIANUAL (2)'!AE24</f>
        <v>1524522930</v>
      </c>
      <c r="AG25" s="1201">
        <f>'MATRIZ PLURIANUAL (2)'!AF24</f>
        <v>0</v>
      </c>
      <c r="AH25" s="1201">
        <f>'MATRIZ PLURIANUAL (2)'!AG24</f>
        <v>0</v>
      </c>
      <c r="AI25" s="1201">
        <f>'MATRIZ PLURIANUAL (2)'!AH24</f>
        <v>9143092491.7400017</v>
      </c>
      <c r="AJ25" s="1201">
        <f>'MATRIZ PLURIANUAL (2)'!AI24</f>
        <v>0</v>
      </c>
      <c r="AK25" s="1201">
        <f>'MATRIZ PLURIANUAL (2)'!AJ24</f>
        <v>81728623.900000006</v>
      </c>
      <c r="AL25" s="1201">
        <f>'MATRIZ PLURIANUAL (2)'!AK24</f>
        <v>11632687813.540001</v>
      </c>
      <c r="AM25" s="1201">
        <f>'MATRIZ PLURIANUAL (2)'!AL24</f>
        <v>916703085.10531294</v>
      </c>
      <c r="AN25" s="1201">
        <f>'MATRIZ PLURIANUAL (2)'!AM24</f>
        <v>1543283208.9400001</v>
      </c>
      <c r="AO25" s="1201">
        <f>'MATRIZ PLURIANUAL (2)'!AN24</f>
        <v>0</v>
      </c>
      <c r="AP25" s="1201">
        <f>'MATRIZ PLURIANUAL (2)'!AO24</f>
        <v>0</v>
      </c>
      <c r="AQ25" s="1201">
        <f>'MATRIZ PLURIANUAL (2)'!AP24</f>
        <v>9259970278.7000008</v>
      </c>
      <c r="AR25" s="1201">
        <f>'MATRIZ PLURIANUAL (2)'!AQ24</f>
        <v>0</v>
      </c>
      <c r="AS25" s="1201">
        <f>'MATRIZ PLURIANUAL (2)'!AR24</f>
        <v>57210036.729999997</v>
      </c>
      <c r="AT25" s="1203">
        <f>'MATRIZ PLURIANUAL (2)'!AS24</f>
        <v>11777166609.475313</v>
      </c>
      <c r="AU25" s="1137"/>
    </row>
    <row r="26" spans="1:47" s="1030" customFormat="1" ht="279" customHeight="1">
      <c r="A26" s="1134"/>
      <c r="B26" s="1547" t="s">
        <v>128</v>
      </c>
      <c r="C26" s="1545" t="s">
        <v>129</v>
      </c>
      <c r="D26" s="1155" t="s">
        <v>725</v>
      </c>
      <c r="E26" s="1518">
        <f>'MATRIZ PLURIANUAL (2)'!E25</f>
        <v>1307372199.1879151</v>
      </c>
      <c r="F26" s="1518">
        <f>'MATRIZ PLURIANUAL (2)'!F25</f>
        <v>590577276.76999998</v>
      </c>
      <c r="G26" s="1518">
        <f>'MATRIZ PLURIANUAL (2)'!G25</f>
        <v>0</v>
      </c>
      <c r="H26" s="1518">
        <f>'MATRIZ PLURIANUAL (2)'!H25</f>
        <v>0</v>
      </c>
      <c r="I26" s="1518">
        <f>'MATRIZ PLURIANUAL (2)'!I25</f>
        <v>18791575680.400002</v>
      </c>
      <c r="J26" s="1518">
        <f>'MATRIZ PLURIANUAL (2)'!J25</f>
        <v>0</v>
      </c>
      <c r="K26" s="1518">
        <f>'MATRIZ PLURIANUAL (2)'!K25</f>
        <v>116224471.65000001</v>
      </c>
      <c r="L26" s="1518">
        <f>'MATRIZ PLURIANUAL (2)'!L25</f>
        <v>20805749628.007919</v>
      </c>
      <c r="M26" s="1518">
        <f t="shared" si="0"/>
        <v>20805749628.007919</v>
      </c>
      <c r="N26" s="1523">
        <v>1.2999999999999999E-2</v>
      </c>
      <c r="O26" s="1518">
        <f>'MATRIZ PLURIANUAL (2)'!N25</f>
        <v>102490000</v>
      </c>
      <c r="P26" s="1518">
        <f>'MATRIZ PLURIANUAL (2)'!O25</f>
        <v>167510000</v>
      </c>
      <c r="Q26" s="1518">
        <f>'MATRIZ PLURIANUAL (2)'!P25</f>
        <v>0</v>
      </c>
      <c r="R26" s="1518">
        <f>'MATRIZ PLURIANUAL (2)'!Q25</f>
        <v>0</v>
      </c>
      <c r="S26" s="1518">
        <f>'MATRIZ PLURIANUAL (2)'!R25</f>
        <v>4000000000</v>
      </c>
      <c r="T26" s="1518">
        <f>'MATRIZ PLURIANUAL (2)'!S25</f>
        <v>0</v>
      </c>
      <c r="U26" s="1518">
        <f>'MATRIZ PLURIANUAL (2)'!T25</f>
        <v>0</v>
      </c>
      <c r="V26" s="1518">
        <f>'MATRIZ PLURIANUAL (2)'!U25</f>
        <v>4270000000</v>
      </c>
      <c r="W26" s="1518">
        <f>'MATRIZ PLURIANUAL (2)'!V25</f>
        <v>386679084.18550003</v>
      </c>
      <c r="X26" s="1518">
        <f>'MATRIZ PLURIANUAL (2)'!W25</f>
        <v>147455300</v>
      </c>
      <c r="Y26" s="1518">
        <f>'MATRIZ PLURIANUAL (2)'!X25</f>
        <v>0</v>
      </c>
      <c r="Z26" s="1518">
        <f>'MATRIZ PLURIANUAL (2)'!Y25</f>
        <v>0</v>
      </c>
      <c r="AA26" s="1518">
        <f>'MATRIZ PLURIANUAL (2)'!Z25</f>
        <v>5008365330.2000008</v>
      </c>
      <c r="AB26" s="1518">
        <f>'MATRIZ PLURIANUAL (2)'!AA25</f>
        <v>0</v>
      </c>
      <c r="AC26" s="1518">
        <f>'MATRIZ PLURIANUAL (2)'!AB25</f>
        <v>53070535</v>
      </c>
      <c r="AD26" s="1518">
        <f>'MATRIZ PLURIANUAL (2)'!AC25</f>
        <v>5595570249.3855009</v>
      </c>
      <c r="AE26" s="1518">
        <f>'MATRIZ PLURIANUAL (2)'!AD25</f>
        <v>401519894.5</v>
      </c>
      <c r="AF26" s="1518">
        <f>'MATRIZ PLURIANUAL (2)'!AE25</f>
        <v>140961959</v>
      </c>
      <c r="AG26" s="1518">
        <f>'MATRIZ PLURIANUAL (2)'!AF25</f>
        <v>0</v>
      </c>
      <c r="AH26" s="1518">
        <f>'MATRIZ PLURIANUAL (2)'!AG25</f>
        <v>0</v>
      </c>
      <c r="AI26" s="1518">
        <f>'MATRIZ PLURIANUAL (2)'!AH25</f>
        <v>4865042041.7000008</v>
      </c>
      <c r="AJ26" s="1518">
        <f>'MATRIZ PLURIANUAL (2)'!AI25</f>
        <v>0</v>
      </c>
      <c r="AK26" s="1518">
        <f>'MATRIZ PLURIANUAL (2)'!AJ25</f>
        <v>37149374.5</v>
      </c>
      <c r="AL26" s="1518">
        <f>'MATRIZ PLURIANUAL (2)'!AK25</f>
        <v>5444673269.7000008</v>
      </c>
      <c r="AM26" s="1518">
        <f>'MATRIZ PLURIANUAL (2)'!AL25</f>
        <v>416683220.502415</v>
      </c>
      <c r="AN26" s="1518">
        <f>'MATRIZ PLURIANUAL (2)'!AM25</f>
        <v>134650017.77000001</v>
      </c>
      <c r="AO26" s="1518">
        <f>'MATRIZ PLURIANUAL (2)'!AN25</f>
        <v>0</v>
      </c>
      <c r="AP26" s="1518">
        <f>'MATRIZ PLURIANUAL (2)'!AO25</f>
        <v>0</v>
      </c>
      <c r="AQ26" s="1518">
        <f>'MATRIZ PLURIANUAL (2)'!AP25</f>
        <v>4918168308.5</v>
      </c>
      <c r="AR26" s="1518">
        <f>'MATRIZ PLURIANUAL (2)'!AQ25</f>
        <v>0</v>
      </c>
      <c r="AS26" s="1518">
        <f>'MATRIZ PLURIANUAL (2)'!AR25</f>
        <v>26004562.150000002</v>
      </c>
      <c r="AT26" s="1522">
        <f>'MATRIZ PLURIANUAL (2)'!AS25</f>
        <v>5495506108.9224148</v>
      </c>
      <c r="AU26" s="1135"/>
    </row>
    <row r="27" spans="1:47" s="1030" customFormat="1" ht="279" customHeight="1">
      <c r="A27" s="1134"/>
      <c r="B27" s="1548"/>
      <c r="C27" s="1550"/>
      <c r="D27" s="1155" t="s">
        <v>726</v>
      </c>
      <c r="E27" s="1518"/>
      <c r="F27" s="1518"/>
      <c r="G27" s="1518"/>
      <c r="H27" s="1518"/>
      <c r="I27" s="1518"/>
      <c r="J27" s="1518"/>
      <c r="K27" s="1518"/>
      <c r="L27" s="1518"/>
      <c r="M27" s="1518">
        <f t="shared" si="0"/>
        <v>0</v>
      </c>
      <c r="N27" s="1523"/>
      <c r="O27" s="1518"/>
      <c r="P27" s="1518"/>
      <c r="Q27" s="1518"/>
      <c r="R27" s="1518"/>
      <c r="S27" s="1518"/>
      <c r="T27" s="1518"/>
      <c r="U27" s="1518"/>
      <c r="V27" s="1518"/>
      <c r="W27" s="1518"/>
      <c r="X27" s="1518"/>
      <c r="Y27" s="1518"/>
      <c r="Z27" s="1518"/>
      <c r="AA27" s="1518"/>
      <c r="AB27" s="1518"/>
      <c r="AC27" s="1518"/>
      <c r="AD27" s="1518"/>
      <c r="AE27" s="1518"/>
      <c r="AF27" s="1518"/>
      <c r="AG27" s="1518"/>
      <c r="AH27" s="1518"/>
      <c r="AI27" s="1518"/>
      <c r="AJ27" s="1518"/>
      <c r="AK27" s="1518"/>
      <c r="AL27" s="1518"/>
      <c r="AM27" s="1518"/>
      <c r="AN27" s="1518"/>
      <c r="AO27" s="1518"/>
      <c r="AP27" s="1518"/>
      <c r="AQ27" s="1518"/>
      <c r="AR27" s="1518"/>
      <c r="AS27" s="1518"/>
      <c r="AT27" s="1522"/>
      <c r="AU27" s="1135"/>
    </row>
    <row r="28" spans="1:47" s="1030" customFormat="1" ht="279" customHeight="1">
      <c r="A28" s="1134"/>
      <c r="B28" s="1548"/>
      <c r="C28" s="1550"/>
      <c r="D28" s="1155" t="s">
        <v>727</v>
      </c>
      <c r="E28" s="1518"/>
      <c r="F28" s="1518"/>
      <c r="G28" s="1518"/>
      <c r="H28" s="1518"/>
      <c r="I28" s="1518"/>
      <c r="J28" s="1518"/>
      <c r="K28" s="1518"/>
      <c r="L28" s="1518"/>
      <c r="M28" s="1518">
        <f t="shared" si="0"/>
        <v>0</v>
      </c>
      <c r="N28" s="1523"/>
      <c r="O28" s="1518"/>
      <c r="P28" s="1518"/>
      <c r="Q28" s="1518"/>
      <c r="R28" s="1518"/>
      <c r="S28" s="1518"/>
      <c r="T28" s="1518"/>
      <c r="U28" s="1518"/>
      <c r="V28" s="1518"/>
      <c r="W28" s="1518"/>
      <c r="X28" s="1518"/>
      <c r="Y28" s="1518"/>
      <c r="Z28" s="1518"/>
      <c r="AA28" s="1518"/>
      <c r="AB28" s="1518"/>
      <c r="AC28" s="1518"/>
      <c r="AD28" s="1518"/>
      <c r="AE28" s="1518"/>
      <c r="AF28" s="1518"/>
      <c r="AG28" s="1518"/>
      <c r="AH28" s="1518"/>
      <c r="AI28" s="1518"/>
      <c r="AJ28" s="1518"/>
      <c r="AK28" s="1518"/>
      <c r="AL28" s="1518"/>
      <c r="AM28" s="1518"/>
      <c r="AN28" s="1518"/>
      <c r="AO28" s="1518"/>
      <c r="AP28" s="1518"/>
      <c r="AQ28" s="1518"/>
      <c r="AR28" s="1518"/>
      <c r="AS28" s="1518"/>
      <c r="AT28" s="1522"/>
      <c r="AU28" s="1135"/>
    </row>
    <row r="29" spans="1:47" s="1030" customFormat="1" ht="279" customHeight="1">
      <c r="A29" s="1134"/>
      <c r="B29" s="1548"/>
      <c r="C29" s="1550"/>
      <c r="D29" s="1155" t="s">
        <v>728</v>
      </c>
      <c r="E29" s="1518"/>
      <c r="F29" s="1518"/>
      <c r="G29" s="1518"/>
      <c r="H29" s="1518"/>
      <c r="I29" s="1518"/>
      <c r="J29" s="1518"/>
      <c r="K29" s="1518"/>
      <c r="L29" s="1518"/>
      <c r="M29" s="1518">
        <f t="shared" si="0"/>
        <v>0</v>
      </c>
      <c r="N29" s="1523"/>
      <c r="O29" s="1518"/>
      <c r="P29" s="1518"/>
      <c r="Q29" s="1518"/>
      <c r="R29" s="1518"/>
      <c r="S29" s="1518"/>
      <c r="T29" s="1518"/>
      <c r="U29" s="1518"/>
      <c r="V29" s="1518"/>
      <c r="W29" s="1518"/>
      <c r="X29" s="1518"/>
      <c r="Y29" s="1518"/>
      <c r="Z29" s="1518"/>
      <c r="AA29" s="1518"/>
      <c r="AB29" s="1518"/>
      <c r="AC29" s="1518"/>
      <c r="AD29" s="1518"/>
      <c r="AE29" s="1518"/>
      <c r="AF29" s="1518"/>
      <c r="AG29" s="1518"/>
      <c r="AH29" s="1518"/>
      <c r="AI29" s="1518"/>
      <c r="AJ29" s="1518"/>
      <c r="AK29" s="1518"/>
      <c r="AL29" s="1518"/>
      <c r="AM29" s="1518"/>
      <c r="AN29" s="1518"/>
      <c r="AO29" s="1518"/>
      <c r="AP29" s="1518"/>
      <c r="AQ29" s="1518"/>
      <c r="AR29" s="1518"/>
      <c r="AS29" s="1518"/>
      <c r="AT29" s="1522"/>
      <c r="AU29" s="1135"/>
    </row>
    <row r="30" spans="1:47" s="1030" customFormat="1" ht="279" customHeight="1">
      <c r="A30" s="1134"/>
      <c r="B30" s="1548"/>
      <c r="C30" s="1550"/>
      <c r="D30" s="1155" t="s">
        <v>729</v>
      </c>
      <c r="E30" s="1518"/>
      <c r="F30" s="1518"/>
      <c r="G30" s="1518"/>
      <c r="H30" s="1518"/>
      <c r="I30" s="1518"/>
      <c r="J30" s="1518"/>
      <c r="K30" s="1518"/>
      <c r="L30" s="1518"/>
      <c r="M30" s="1518">
        <f t="shared" si="0"/>
        <v>0</v>
      </c>
      <c r="N30" s="1523"/>
      <c r="O30" s="1518"/>
      <c r="P30" s="1518"/>
      <c r="Q30" s="1518"/>
      <c r="R30" s="1518"/>
      <c r="S30" s="1518"/>
      <c r="T30" s="1518"/>
      <c r="U30" s="1518"/>
      <c r="V30" s="1518"/>
      <c r="W30" s="1518"/>
      <c r="X30" s="1518"/>
      <c r="Y30" s="1518"/>
      <c r="Z30" s="1518"/>
      <c r="AA30" s="1518"/>
      <c r="AB30" s="1518"/>
      <c r="AC30" s="1518"/>
      <c r="AD30" s="1518"/>
      <c r="AE30" s="1518"/>
      <c r="AF30" s="1518"/>
      <c r="AG30" s="1518"/>
      <c r="AH30" s="1518"/>
      <c r="AI30" s="1518"/>
      <c r="AJ30" s="1518"/>
      <c r="AK30" s="1518"/>
      <c r="AL30" s="1518"/>
      <c r="AM30" s="1518"/>
      <c r="AN30" s="1518"/>
      <c r="AO30" s="1518"/>
      <c r="AP30" s="1518"/>
      <c r="AQ30" s="1518"/>
      <c r="AR30" s="1518"/>
      <c r="AS30" s="1518"/>
      <c r="AT30" s="1522"/>
      <c r="AU30" s="1135"/>
    </row>
    <row r="31" spans="1:47" s="1030" customFormat="1" ht="279" customHeight="1">
      <c r="A31" s="1134"/>
      <c r="B31" s="1548"/>
      <c r="C31" s="1546"/>
      <c r="D31" s="1155" t="s">
        <v>730</v>
      </c>
      <c r="E31" s="1518"/>
      <c r="F31" s="1518"/>
      <c r="G31" s="1518"/>
      <c r="H31" s="1518"/>
      <c r="I31" s="1518"/>
      <c r="J31" s="1518"/>
      <c r="K31" s="1518"/>
      <c r="L31" s="1518"/>
      <c r="M31" s="1518">
        <f t="shared" si="0"/>
        <v>0</v>
      </c>
      <c r="N31" s="1523"/>
      <c r="O31" s="1518"/>
      <c r="P31" s="1518"/>
      <c r="Q31" s="1518"/>
      <c r="R31" s="1518"/>
      <c r="S31" s="1518"/>
      <c r="T31" s="1518"/>
      <c r="U31" s="1518"/>
      <c r="V31" s="1518"/>
      <c r="W31" s="1518"/>
      <c r="X31" s="1518"/>
      <c r="Y31" s="1518"/>
      <c r="Z31" s="1518"/>
      <c r="AA31" s="1518"/>
      <c r="AB31" s="1518"/>
      <c r="AC31" s="1518"/>
      <c r="AD31" s="1518"/>
      <c r="AE31" s="1518"/>
      <c r="AF31" s="1518"/>
      <c r="AG31" s="1518"/>
      <c r="AH31" s="1518"/>
      <c r="AI31" s="1518"/>
      <c r="AJ31" s="1518"/>
      <c r="AK31" s="1518"/>
      <c r="AL31" s="1518"/>
      <c r="AM31" s="1518"/>
      <c r="AN31" s="1518"/>
      <c r="AO31" s="1518"/>
      <c r="AP31" s="1518"/>
      <c r="AQ31" s="1518"/>
      <c r="AR31" s="1518"/>
      <c r="AS31" s="1518"/>
      <c r="AT31" s="1522"/>
      <c r="AU31" s="1135"/>
    </row>
    <row r="32" spans="1:47" s="1030" customFormat="1" ht="279" customHeight="1">
      <c r="A32" s="1134"/>
      <c r="B32" s="1548"/>
      <c r="C32" s="1545" t="s">
        <v>130</v>
      </c>
      <c r="D32" s="1155" t="s">
        <v>731</v>
      </c>
      <c r="E32" s="1511">
        <f>'MATRIZ PLURIANUAL (2)'!E32</f>
        <v>1172929319.512749</v>
      </c>
      <c r="F32" s="1511">
        <f>'MATRIZ PLURIANUAL (2)'!F32</f>
        <v>2073093025.96</v>
      </c>
      <c r="G32" s="1511">
        <f>'MATRIZ PLURIANUAL (2)'!G32</f>
        <v>0</v>
      </c>
      <c r="H32" s="1511">
        <f>'MATRIZ PLURIANUAL (2)'!H32</f>
        <v>0</v>
      </c>
      <c r="I32" s="1511">
        <f>'MATRIZ PLURIANUAL (2)'!I32</f>
        <v>7534945408.2399998</v>
      </c>
      <c r="J32" s="1511">
        <f>'MATRIZ PLURIANUAL (2)'!J32</f>
        <v>0</v>
      </c>
      <c r="K32" s="1511">
        <f>'MATRIZ PLURIANUAL (2)'!K32</f>
        <v>69734682.99000001</v>
      </c>
      <c r="L32" s="1511">
        <f>'MATRIZ PLURIANUAL (2)'!L32</f>
        <v>10850702436.702749</v>
      </c>
      <c r="M32" s="1511">
        <f t="shared" si="0"/>
        <v>10850702436.702749</v>
      </c>
      <c r="N32" s="1519">
        <v>8.9999999999999993E-3</v>
      </c>
      <c r="O32" s="1511">
        <f>'MATRIZ PLURIANUAL (2)'!N32</f>
        <v>450000000</v>
      </c>
      <c r="P32" s="1511">
        <f>'MATRIZ PLURIANUAL (2)'!O32</f>
        <v>530778120.56999999</v>
      </c>
      <c r="Q32" s="1511">
        <f>'MATRIZ PLURIANUAL (2)'!P32</f>
        <v>0</v>
      </c>
      <c r="R32" s="1511">
        <f>'MATRIZ PLURIANUAL (2)'!Q32</f>
        <v>0</v>
      </c>
      <c r="S32" s="1511">
        <f>'MATRIZ PLURIANUAL (2)'!R32</f>
        <v>1000000000</v>
      </c>
      <c r="T32" s="1511">
        <f>'MATRIZ PLURIANUAL (2)'!S32</f>
        <v>0</v>
      </c>
      <c r="U32" s="1511">
        <f>'MATRIZ PLURIANUAL (2)'!T32</f>
        <v>0</v>
      </c>
      <c r="V32" s="1511">
        <f>'MATRIZ PLURIANUAL (2)'!U32</f>
        <v>1980778120.5699999</v>
      </c>
      <c r="W32" s="1511">
        <f>'MATRIZ PLURIANUAL (2)'!V32</f>
        <v>232007450.5113</v>
      </c>
      <c r="X32" s="1511">
        <f>'MATRIZ PLURIANUAL (2)'!W32</f>
        <v>511641100</v>
      </c>
      <c r="Y32" s="1511">
        <f>'MATRIZ PLURIANUAL (2)'!X32</f>
        <v>0</v>
      </c>
      <c r="Z32" s="1511">
        <f>'MATRIZ PLURIANUAL (2)'!Y32</f>
        <v>0</v>
      </c>
      <c r="AA32" s="1511">
        <f>'MATRIZ PLURIANUAL (2)'!Z32</f>
        <v>2225019198.1199999</v>
      </c>
      <c r="AB32" s="1511">
        <f>'MATRIZ PLURIANUAL (2)'!AA32</f>
        <v>0</v>
      </c>
      <c r="AC32" s="1511">
        <f>'MATRIZ PLURIANUAL (2)'!AB32</f>
        <v>31842321</v>
      </c>
      <c r="AD32" s="1511">
        <f>'MATRIZ PLURIANUAL (2)'!AC32</f>
        <v>3000510069.6313</v>
      </c>
      <c r="AE32" s="1511">
        <f>'MATRIZ PLURIANUAL (2)'!AD32</f>
        <v>240911936.69999999</v>
      </c>
      <c r="AF32" s="1511">
        <f>'MATRIZ PLURIANUAL (2)'!AE32</f>
        <v>513734257</v>
      </c>
      <c r="AG32" s="1511">
        <f>'MATRIZ PLURIANUAL (2)'!AF32</f>
        <v>0</v>
      </c>
      <c r="AH32" s="1511">
        <f>'MATRIZ PLURIANUAL (2)'!AG32</f>
        <v>0</v>
      </c>
      <c r="AI32" s="1511">
        <f>'MATRIZ PLURIANUAL (2)'!AH32</f>
        <v>2139025225.02</v>
      </c>
      <c r="AJ32" s="1511">
        <f>'MATRIZ PLURIANUAL (2)'!AI32</f>
        <v>0</v>
      </c>
      <c r="AK32" s="1511">
        <f>'MATRIZ PLURIANUAL (2)'!AJ32</f>
        <v>22289624.699999999</v>
      </c>
      <c r="AL32" s="1511">
        <f>'MATRIZ PLURIANUAL (2)'!AK32</f>
        <v>2915961043.4200001</v>
      </c>
      <c r="AM32" s="1511">
        <f>'MATRIZ PLURIANUAL (2)'!AL32</f>
        <v>250009932.30144897</v>
      </c>
      <c r="AN32" s="1511">
        <f>'MATRIZ PLURIANUAL (2)'!AM32</f>
        <v>516939548.38999999</v>
      </c>
      <c r="AO32" s="1511">
        <f>'MATRIZ PLURIANUAL (2)'!AN32</f>
        <v>0</v>
      </c>
      <c r="AP32" s="1511">
        <f>'MATRIZ PLURIANUAL (2)'!AO32</f>
        <v>0</v>
      </c>
      <c r="AQ32" s="1511">
        <f>'MATRIZ PLURIANUAL (2)'!AP32</f>
        <v>2170900985.0999999</v>
      </c>
      <c r="AR32" s="1511">
        <f>'MATRIZ PLURIANUAL (2)'!AQ32</f>
        <v>0</v>
      </c>
      <c r="AS32" s="1511">
        <f>'MATRIZ PLURIANUAL (2)'!AR32</f>
        <v>15602737.289999999</v>
      </c>
      <c r="AT32" s="1515">
        <f>'MATRIZ PLURIANUAL (2)'!AS32</f>
        <v>2953453203.0814486</v>
      </c>
      <c r="AU32" s="1135"/>
    </row>
    <row r="33" spans="1:47" s="1030" customFormat="1" ht="279" customHeight="1">
      <c r="A33" s="1134"/>
      <c r="B33" s="1548"/>
      <c r="C33" s="1550"/>
      <c r="D33" s="1155" t="s">
        <v>732</v>
      </c>
      <c r="E33" s="1513"/>
      <c r="F33" s="1513"/>
      <c r="G33" s="1513"/>
      <c r="H33" s="1513"/>
      <c r="I33" s="1513"/>
      <c r="J33" s="1513"/>
      <c r="K33" s="1513"/>
      <c r="L33" s="1513"/>
      <c r="M33" s="1513">
        <f t="shared" si="0"/>
        <v>0</v>
      </c>
      <c r="N33" s="1520"/>
      <c r="O33" s="1513"/>
      <c r="P33" s="1513"/>
      <c r="Q33" s="1513"/>
      <c r="R33" s="1513"/>
      <c r="S33" s="1513"/>
      <c r="T33" s="1513"/>
      <c r="U33" s="1513"/>
      <c r="V33" s="1513"/>
      <c r="W33" s="1513"/>
      <c r="X33" s="1513"/>
      <c r="Y33" s="1513"/>
      <c r="Z33" s="1513"/>
      <c r="AA33" s="1513"/>
      <c r="AB33" s="1513"/>
      <c r="AC33" s="1513"/>
      <c r="AD33" s="1513"/>
      <c r="AE33" s="1513"/>
      <c r="AF33" s="1513"/>
      <c r="AG33" s="1513"/>
      <c r="AH33" s="1513"/>
      <c r="AI33" s="1513"/>
      <c r="AJ33" s="1513"/>
      <c r="AK33" s="1513"/>
      <c r="AL33" s="1513"/>
      <c r="AM33" s="1513"/>
      <c r="AN33" s="1513"/>
      <c r="AO33" s="1513"/>
      <c r="AP33" s="1513"/>
      <c r="AQ33" s="1513"/>
      <c r="AR33" s="1513"/>
      <c r="AS33" s="1513"/>
      <c r="AT33" s="1516"/>
      <c r="AU33" s="1135"/>
    </row>
    <row r="34" spans="1:47" s="1030" customFormat="1" ht="279" customHeight="1">
      <c r="A34" s="1134"/>
      <c r="B34" s="1548"/>
      <c r="C34" s="1550"/>
      <c r="D34" s="1155" t="s">
        <v>733</v>
      </c>
      <c r="E34" s="1513"/>
      <c r="F34" s="1513"/>
      <c r="G34" s="1513"/>
      <c r="H34" s="1513"/>
      <c r="I34" s="1513"/>
      <c r="J34" s="1513"/>
      <c r="K34" s="1513"/>
      <c r="L34" s="1513"/>
      <c r="M34" s="1513">
        <f t="shared" si="0"/>
        <v>0</v>
      </c>
      <c r="N34" s="1520"/>
      <c r="O34" s="1513"/>
      <c r="P34" s="1513"/>
      <c r="Q34" s="1513"/>
      <c r="R34" s="1513"/>
      <c r="S34" s="1513"/>
      <c r="T34" s="1513"/>
      <c r="U34" s="1513"/>
      <c r="V34" s="1513"/>
      <c r="W34" s="1513"/>
      <c r="X34" s="1513"/>
      <c r="Y34" s="1513"/>
      <c r="Z34" s="1513"/>
      <c r="AA34" s="1513"/>
      <c r="AB34" s="1513"/>
      <c r="AC34" s="1513"/>
      <c r="AD34" s="1513"/>
      <c r="AE34" s="1513"/>
      <c r="AF34" s="1513"/>
      <c r="AG34" s="1513"/>
      <c r="AH34" s="1513"/>
      <c r="AI34" s="1513"/>
      <c r="AJ34" s="1513"/>
      <c r="AK34" s="1513"/>
      <c r="AL34" s="1513"/>
      <c r="AM34" s="1513"/>
      <c r="AN34" s="1513"/>
      <c r="AO34" s="1513"/>
      <c r="AP34" s="1513"/>
      <c r="AQ34" s="1513"/>
      <c r="AR34" s="1513"/>
      <c r="AS34" s="1513"/>
      <c r="AT34" s="1516"/>
      <c r="AU34" s="1135"/>
    </row>
    <row r="35" spans="1:47" s="1030" customFormat="1" ht="279" customHeight="1">
      <c r="A35" s="1134"/>
      <c r="B35" s="1548"/>
      <c r="C35" s="1550"/>
      <c r="D35" s="1155" t="s">
        <v>734</v>
      </c>
      <c r="E35" s="1513"/>
      <c r="F35" s="1513"/>
      <c r="G35" s="1513"/>
      <c r="H35" s="1513"/>
      <c r="I35" s="1513"/>
      <c r="J35" s="1513"/>
      <c r="K35" s="1513"/>
      <c r="L35" s="1513"/>
      <c r="M35" s="1513">
        <f t="shared" si="0"/>
        <v>0</v>
      </c>
      <c r="N35" s="1520"/>
      <c r="O35" s="1513"/>
      <c r="P35" s="1513"/>
      <c r="Q35" s="1513"/>
      <c r="R35" s="1513"/>
      <c r="S35" s="1513"/>
      <c r="T35" s="1513"/>
      <c r="U35" s="1513"/>
      <c r="V35" s="1513"/>
      <c r="W35" s="1513"/>
      <c r="X35" s="1513"/>
      <c r="Y35" s="1513"/>
      <c r="Z35" s="1513"/>
      <c r="AA35" s="1513"/>
      <c r="AB35" s="1513"/>
      <c r="AC35" s="1513"/>
      <c r="AD35" s="1513"/>
      <c r="AE35" s="1513"/>
      <c r="AF35" s="1513"/>
      <c r="AG35" s="1513"/>
      <c r="AH35" s="1513"/>
      <c r="AI35" s="1513"/>
      <c r="AJ35" s="1513"/>
      <c r="AK35" s="1513"/>
      <c r="AL35" s="1513"/>
      <c r="AM35" s="1513"/>
      <c r="AN35" s="1513"/>
      <c r="AO35" s="1513"/>
      <c r="AP35" s="1513"/>
      <c r="AQ35" s="1513"/>
      <c r="AR35" s="1513"/>
      <c r="AS35" s="1513"/>
      <c r="AT35" s="1516"/>
      <c r="AU35" s="1135"/>
    </row>
    <row r="36" spans="1:47" s="1030" customFormat="1" ht="279" customHeight="1">
      <c r="A36" s="1134"/>
      <c r="B36" s="1548"/>
      <c r="C36" s="1546"/>
      <c r="D36" s="1155" t="s">
        <v>735</v>
      </c>
      <c r="E36" s="1512"/>
      <c r="F36" s="1512"/>
      <c r="G36" s="1512"/>
      <c r="H36" s="1512"/>
      <c r="I36" s="1512"/>
      <c r="J36" s="1512"/>
      <c r="K36" s="1512"/>
      <c r="L36" s="1512"/>
      <c r="M36" s="1512">
        <f t="shared" si="0"/>
        <v>0</v>
      </c>
      <c r="N36" s="1521"/>
      <c r="O36" s="1512"/>
      <c r="P36" s="1512"/>
      <c r="Q36" s="1512"/>
      <c r="R36" s="1512"/>
      <c r="S36" s="1512"/>
      <c r="T36" s="1512"/>
      <c r="U36" s="1512"/>
      <c r="V36" s="1512"/>
      <c r="W36" s="1512"/>
      <c r="X36" s="1512"/>
      <c r="Y36" s="1512"/>
      <c r="Z36" s="1512"/>
      <c r="AA36" s="1512"/>
      <c r="AB36" s="1512"/>
      <c r="AC36" s="1512"/>
      <c r="AD36" s="1512"/>
      <c r="AE36" s="1512"/>
      <c r="AF36" s="1512"/>
      <c r="AG36" s="1512"/>
      <c r="AH36" s="1512"/>
      <c r="AI36" s="1512"/>
      <c r="AJ36" s="1512"/>
      <c r="AK36" s="1512"/>
      <c r="AL36" s="1512"/>
      <c r="AM36" s="1512"/>
      <c r="AN36" s="1512"/>
      <c r="AO36" s="1512"/>
      <c r="AP36" s="1512"/>
      <c r="AQ36" s="1512"/>
      <c r="AR36" s="1512"/>
      <c r="AS36" s="1512"/>
      <c r="AT36" s="1517"/>
      <c r="AU36" s="1135"/>
    </row>
    <row r="37" spans="1:47" s="1030" customFormat="1" ht="279" customHeight="1">
      <c r="A37" s="1134"/>
      <c r="B37" s="1548"/>
      <c r="C37" s="1545" t="s">
        <v>131</v>
      </c>
      <c r="D37" s="1155" t="s">
        <v>736</v>
      </c>
      <c r="E37" s="1518">
        <f>'MATRIZ PLURIANUAL (2)'!E38</f>
        <v>2674256875.0727487</v>
      </c>
      <c r="F37" s="1518">
        <f>'MATRIZ PLURIANUAL (2)'!F38</f>
        <v>9106080833.0299988</v>
      </c>
      <c r="G37" s="1518">
        <f>'MATRIZ PLURIANUAL (2)'!G38</f>
        <v>0</v>
      </c>
      <c r="H37" s="1518">
        <f>'MATRIZ PLURIANUAL (2)'!H38</f>
        <v>0</v>
      </c>
      <c r="I37" s="1518">
        <f>'MATRIZ PLURIANUAL (2)'!I38</f>
        <v>8034945408.2399998</v>
      </c>
      <c r="J37" s="1518">
        <f>'MATRIZ PLURIANUAL (2)'!J38</f>
        <v>0</v>
      </c>
      <c r="K37" s="1518">
        <f>'MATRIZ PLURIANUAL (2)'!K38</f>
        <v>81958276.379999995</v>
      </c>
      <c r="L37" s="1518">
        <f>'MATRIZ PLURIANUAL (2)'!L38</f>
        <v>19897241392.722748</v>
      </c>
      <c r="M37" s="1518">
        <f t="shared" si="0"/>
        <v>19897241392.722748</v>
      </c>
      <c r="N37" s="1523">
        <v>1.6E-2</v>
      </c>
      <c r="O37" s="1518">
        <f>'MATRIZ PLURIANUAL (2)'!N38</f>
        <v>1951327555.5599999</v>
      </c>
      <c r="P37" s="1518">
        <f>'MATRIZ PLURIANUAL (2)'!O38</f>
        <v>6496138276.249999</v>
      </c>
      <c r="Q37" s="1518">
        <f>'MATRIZ PLURIANUAL (2)'!P38</f>
        <v>0</v>
      </c>
      <c r="R37" s="1518">
        <f>'MATRIZ PLURIANUAL (2)'!Q38</f>
        <v>0</v>
      </c>
      <c r="S37" s="1518">
        <f>'MATRIZ PLURIANUAL (2)'!R38</f>
        <v>1500000000</v>
      </c>
      <c r="T37" s="1518">
        <f>'MATRIZ PLURIANUAL (2)'!S38</f>
        <v>0</v>
      </c>
      <c r="U37" s="1518">
        <f>'MATRIZ PLURIANUAL (2)'!T38</f>
        <v>12223593.390000001</v>
      </c>
      <c r="V37" s="1518">
        <f>'MATRIZ PLURIANUAL (2)'!U38</f>
        <v>9959689425.1999989</v>
      </c>
      <c r="W37" s="1518">
        <f>'MATRIZ PLURIANUAL (2)'!V38</f>
        <v>232007450.5113</v>
      </c>
      <c r="X37" s="1518">
        <f>'MATRIZ PLURIANUAL (2)'!W38</f>
        <v>848422200</v>
      </c>
      <c r="Y37" s="1518">
        <f>'MATRIZ PLURIANUAL (2)'!X38</f>
        <v>0</v>
      </c>
      <c r="Z37" s="1518">
        <f>'MATRIZ PLURIANUAL (2)'!Y38</f>
        <v>0</v>
      </c>
      <c r="AA37" s="1518">
        <f>'MATRIZ PLURIANUAL (2)'!Z38</f>
        <v>2225019198.1199999</v>
      </c>
      <c r="AB37" s="1518">
        <f>'MATRIZ PLURIANUAL (2)'!AA38</f>
        <v>0</v>
      </c>
      <c r="AC37" s="1518">
        <f>'MATRIZ PLURIANUAL (2)'!AB38</f>
        <v>31842321</v>
      </c>
      <c r="AD37" s="1518">
        <f>'MATRIZ PLURIANUAL (2)'!AC38</f>
        <v>3337291169.6313</v>
      </c>
      <c r="AE37" s="1518">
        <f>'MATRIZ PLURIANUAL (2)'!AD38</f>
        <v>240911936.69999999</v>
      </c>
      <c r="AF37" s="1518">
        <f>'MATRIZ PLURIANUAL (2)'!AE38</f>
        <v>869826714</v>
      </c>
      <c r="AG37" s="1518">
        <f>'MATRIZ PLURIANUAL (2)'!AF38</f>
        <v>0</v>
      </c>
      <c r="AH37" s="1518">
        <f>'MATRIZ PLURIANUAL (2)'!AG38</f>
        <v>0</v>
      </c>
      <c r="AI37" s="1518">
        <f>'MATRIZ PLURIANUAL (2)'!AH38</f>
        <v>2139025225.02</v>
      </c>
      <c r="AJ37" s="1518">
        <f>'MATRIZ PLURIANUAL (2)'!AI38</f>
        <v>0</v>
      </c>
      <c r="AK37" s="1518">
        <f>'MATRIZ PLURIANUAL (2)'!AJ38</f>
        <v>22289624.699999999</v>
      </c>
      <c r="AL37" s="1518">
        <f>'MATRIZ PLURIANUAL (2)'!AK38</f>
        <v>3272053500.4200001</v>
      </c>
      <c r="AM37" s="1518">
        <f>'MATRIZ PLURIANUAL (2)'!AL38</f>
        <v>250009932.30144897</v>
      </c>
      <c r="AN37" s="1518">
        <f>'MATRIZ PLURIANUAL (2)'!AM38</f>
        <v>891693642.77999997</v>
      </c>
      <c r="AO37" s="1518">
        <f>'MATRIZ PLURIANUAL (2)'!AN38</f>
        <v>0</v>
      </c>
      <c r="AP37" s="1518">
        <f>'MATRIZ PLURIANUAL (2)'!AO38</f>
        <v>0</v>
      </c>
      <c r="AQ37" s="1518">
        <f>'MATRIZ PLURIANUAL (2)'!AP38</f>
        <v>2170900985.0999999</v>
      </c>
      <c r="AR37" s="1518">
        <f>'MATRIZ PLURIANUAL (2)'!AQ38</f>
        <v>0</v>
      </c>
      <c r="AS37" s="1518">
        <f>'MATRIZ PLURIANUAL (2)'!AR38</f>
        <v>15602737.289999999</v>
      </c>
      <c r="AT37" s="1522">
        <f>'MATRIZ PLURIANUAL (2)'!AS38</f>
        <v>3328207297.4714489</v>
      </c>
      <c r="AU37" s="1135"/>
    </row>
    <row r="38" spans="1:47" s="1030" customFormat="1" ht="279" customHeight="1">
      <c r="A38" s="1134"/>
      <c r="B38" s="1548"/>
      <c r="C38" s="1550"/>
      <c r="D38" s="1155" t="s">
        <v>737</v>
      </c>
      <c r="E38" s="1518"/>
      <c r="F38" s="1518"/>
      <c r="G38" s="1518"/>
      <c r="H38" s="1518"/>
      <c r="I38" s="1518"/>
      <c r="J38" s="1518"/>
      <c r="K38" s="1518"/>
      <c r="L38" s="1518"/>
      <c r="M38" s="1518">
        <f t="shared" si="0"/>
        <v>0</v>
      </c>
      <c r="N38" s="1523"/>
      <c r="O38" s="1518"/>
      <c r="P38" s="1518"/>
      <c r="Q38" s="1518"/>
      <c r="R38" s="1518"/>
      <c r="S38" s="1518"/>
      <c r="T38" s="1518"/>
      <c r="U38" s="1518"/>
      <c r="V38" s="1518"/>
      <c r="W38" s="1518"/>
      <c r="X38" s="1518"/>
      <c r="Y38" s="1518"/>
      <c r="Z38" s="1518"/>
      <c r="AA38" s="1518"/>
      <c r="AB38" s="1518"/>
      <c r="AC38" s="1518"/>
      <c r="AD38" s="1518"/>
      <c r="AE38" s="1518"/>
      <c r="AF38" s="1518"/>
      <c r="AG38" s="1518"/>
      <c r="AH38" s="1518"/>
      <c r="AI38" s="1518"/>
      <c r="AJ38" s="1518"/>
      <c r="AK38" s="1518"/>
      <c r="AL38" s="1518"/>
      <c r="AM38" s="1518"/>
      <c r="AN38" s="1518"/>
      <c r="AO38" s="1518"/>
      <c r="AP38" s="1518"/>
      <c r="AQ38" s="1518"/>
      <c r="AR38" s="1518"/>
      <c r="AS38" s="1518"/>
      <c r="AT38" s="1522"/>
      <c r="AU38" s="1135"/>
    </row>
    <row r="39" spans="1:47" s="1030" customFormat="1" ht="279" customHeight="1">
      <c r="A39" s="1134"/>
      <c r="B39" s="1549"/>
      <c r="C39" s="1546"/>
      <c r="D39" s="1155" t="s">
        <v>738</v>
      </c>
      <c r="E39" s="1518"/>
      <c r="F39" s="1518"/>
      <c r="G39" s="1518"/>
      <c r="H39" s="1518"/>
      <c r="I39" s="1518"/>
      <c r="J39" s="1518"/>
      <c r="K39" s="1518"/>
      <c r="L39" s="1518"/>
      <c r="M39" s="1518">
        <f t="shared" si="0"/>
        <v>0</v>
      </c>
      <c r="N39" s="1523"/>
      <c r="O39" s="1518"/>
      <c r="P39" s="1518"/>
      <c r="Q39" s="1518"/>
      <c r="R39" s="1518"/>
      <c r="S39" s="1518"/>
      <c r="T39" s="1518"/>
      <c r="U39" s="1518"/>
      <c r="V39" s="1518"/>
      <c r="W39" s="1518"/>
      <c r="X39" s="1518"/>
      <c r="Y39" s="1518"/>
      <c r="Z39" s="1518"/>
      <c r="AA39" s="1518"/>
      <c r="AB39" s="1518"/>
      <c r="AC39" s="1518"/>
      <c r="AD39" s="1518"/>
      <c r="AE39" s="1518"/>
      <c r="AF39" s="1518"/>
      <c r="AG39" s="1518"/>
      <c r="AH39" s="1518"/>
      <c r="AI39" s="1518"/>
      <c r="AJ39" s="1518"/>
      <c r="AK39" s="1518"/>
      <c r="AL39" s="1518"/>
      <c r="AM39" s="1518"/>
      <c r="AN39" s="1518"/>
      <c r="AO39" s="1518"/>
      <c r="AP39" s="1518"/>
      <c r="AQ39" s="1518"/>
      <c r="AR39" s="1518"/>
      <c r="AS39" s="1518"/>
      <c r="AT39" s="1522"/>
      <c r="AU39" s="1135"/>
    </row>
    <row r="40" spans="1:47" s="1031" customFormat="1" ht="225" customHeight="1">
      <c r="A40" s="1136"/>
      <c r="B40" s="1159" t="s">
        <v>629</v>
      </c>
      <c r="C40" s="1160"/>
      <c r="D40" s="1161"/>
      <c r="E40" s="1204">
        <f>'MATRIZ PLURIANUAL (2)'!E42</f>
        <v>8355887669.2378302</v>
      </c>
      <c r="F40" s="1204">
        <f>'MATRIZ PLURIANUAL (2)'!F42</f>
        <v>4044215467.4700003</v>
      </c>
      <c r="G40" s="1204">
        <f>'MATRIZ PLURIANUAL (2)'!G42</f>
        <v>0</v>
      </c>
      <c r="H40" s="1204">
        <f>'MATRIZ PLURIANUAL (2)'!H42</f>
        <v>0</v>
      </c>
      <c r="I40" s="1204">
        <f>'MATRIZ PLURIANUAL (2)'!I42</f>
        <v>57207609853.410004</v>
      </c>
      <c r="J40" s="1204">
        <f>'MATRIZ PLURIANUAL (2)'!J42</f>
        <v>122900000000</v>
      </c>
      <c r="K40" s="1204">
        <f>'MATRIZ PLURIANUAL (2)'!K42</f>
        <v>14095788414.608999</v>
      </c>
      <c r="L40" s="1204">
        <f>'MATRIZ PLURIANUAL (2)'!L42</f>
        <v>206603501404.72684</v>
      </c>
      <c r="M40" s="1204">
        <f t="shared" si="0"/>
        <v>83703501404.726822</v>
      </c>
      <c r="N40" s="1205">
        <f>SUM(N41)</f>
        <v>6.0999999999999999E-2</v>
      </c>
      <c r="O40" s="1204">
        <f>'MATRIZ PLURIANUAL (2)'!N42</f>
        <v>2982113060.8599997</v>
      </c>
      <c r="P40" s="1204">
        <f>'MATRIZ PLURIANUAL (2)'!O42</f>
        <v>3446876866.2200003</v>
      </c>
      <c r="Q40" s="1204">
        <f>'MATRIZ PLURIANUAL (2)'!P42</f>
        <v>0</v>
      </c>
      <c r="R40" s="1204">
        <f>'MATRIZ PLURIANUAL (2)'!Q42</f>
        <v>0</v>
      </c>
      <c r="S40" s="1204">
        <f>'MATRIZ PLURIANUAL (2)'!R42</f>
        <v>8631182318.8299999</v>
      </c>
      <c r="T40" s="1204">
        <f>'MATRIZ PLURIANUAL (2)'!S42</f>
        <v>36100000000</v>
      </c>
      <c r="U40" s="1204">
        <f>'MATRIZ PLURIANUAL (2)'!T42</f>
        <v>13577427271.049999</v>
      </c>
      <c r="V40" s="1204">
        <f>'MATRIZ PLURIANUAL (2)'!U42</f>
        <v>64737599516.960007</v>
      </c>
      <c r="W40" s="1204">
        <f>'MATRIZ PLURIANUAL (2)'!V42</f>
        <v>1724588715.467</v>
      </c>
      <c r="X40" s="1204">
        <f>'MATRIZ PLURIANUAL (2)'!W42</f>
        <v>219862500</v>
      </c>
      <c r="Y40" s="1204">
        <f>'MATRIZ PLURIANUAL (2)'!X42</f>
        <v>0</v>
      </c>
      <c r="Z40" s="1204">
        <f>'MATRIZ PLURIANUAL (2)'!Y42</f>
        <v>0</v>
      </c>
      <c r="AA40" s="1204">
        <f>'MATRIZ PLURIANUAL (2)'!Z42</f>
        <v>16539309372.690002</v>
      </c>
      <c r="AB40" s="1204">
        <f>'MATRIZ PLURIANUAL (2)'!AA42</f>
        <v>34400000000</v>
      </c>
      <c r="AC40" s="1204">
        <f>'MATRIZ PLURIANUAL (2)'!AB42</f>
        <v>236694586.09999999</v>
      </c>
      <c r="AD40" s="1204">
        <f>'MATRIZ PLURIANUAL (2)'!AC42</f>
        <v>53120455174.256996</v>
      </c>
      <c r="AE40" s="1204">
        <f>'MATRIZ PLURIANUAL (2)'!AD42</f>
        <v>1790778729.47</v>
      </c>
      <c r="AF40" s="1204">
        <f>'MATRIZ PLURIANUAL (2)'!AE42</f>
        <v>198378375</v>
      </c>
      <c r="AG40" s="1204">
        <f>'MATRIZ PLURIANUAL (2)'!AF42</f>
        <v>0</v>
      </c>
      <c r="AH40" s="1204">
        <f>'MATRIZ PLURIANUAL (2)'!AG42</f>
        <v>0</v>
      </c>
      <c r="AI40" s="1204">
        <f>'MATRIZ PLURIANUAL (2)'!AH42</f>
        <v>15900087505.98</v>
      </c>
      <c r="AJ40" s="1204">
        <f>'MATRIZ PLURIANUAL (2)'!AI42</f>
        <v>28000000000</v>
      </c>
      <c r="AK40" s="1204">
        <f>'MATRIZ PLURIANUAL (2)'!AJ42</f>
        <v>165686210.26999998</v>
      </c>
      <c r="AL40" s="1204">
        <f>'MATRIZ PLURIANUAL (2)'!AK42</f>
        <v>46054930820.719994</v>
      </c>
      <c r="AM40" s="1204">
        <f>'MATRIZ PLURIANUAL (2)'!AL42</f>
        <v>1858407163.44083</v>
      </c>
      <c r="AN40" s="1204">
        <f>'MATRIZ PLURIANUAL (2)'!AM42</f>
        <v>179097726.25</v>
      </c>
      <c r="AO40" s="1204">
        <f>'MATRIZ PLURIANUAL (2)'!AN42</f>
        <v>0</v>
      </c>
      <c r="AP40" s="1204">
        <f>'MATRIZ PLURIANUAL (2)'!AO42</f>
        <v>0</v>
      </c>
      <c r="AQ40" s="1204">
        <f>'MATRIZ PLURIANUAL (2)'!AP42</f>
        <v>16137030655.91</v>
      </c>
      <c r="AR40" s="1204">
        <f>'MATRIZ PLURIANUAL (2)'!AQ42</f>
        <v>24400000000</v>
      </c>
      <c r="AS40" s="1204">
        <f>'MATRIZ PLURIANUAL (2)'!AR42</f>
        <v>115980347.18900001</v>
      </c>
      <c r="AT40" s="1206">
        <f>'MATRIZ PLURIANUAL (2)'!AS42</f>
        <v>42690515892.789833</v>
      </c>
      <c r="AU40" s="1137"/>
    </row>
    <row r="41" spans="1:47" s="1031" customFormat="1" ht="241.2" customHeight="1">
      <c r="A41" s="1136"/>
      <c r="B41" s="1547" t="s">
        <v>132</v>
      </c>
      <c r="C41" s="1545" t="s">
        <v>133</v>
      </c>
      <c r="D41" s="1155" t="s">
        <v>739</v>
      </c>
      <c r="E41" s="1511">
        <f>'MATRIZ PLURIANUAL (2)'!E43</f>
        <v>8355887669.2378302</v>
      </c>
      <c r="F41" s="1511">
        <f>'MATRIZ PLURIANUAL (2)'!F43</f>
        <v>4044215467.4700003</v>
      </c>
      <c r="G41" s="1511">
        <f>'MATRIZ PLURIANUAL (2)'!G43</f>
        <v>0</v>
      </c>
      <c r="H41" s="1511">
        <f>'MATRIZ PLURIANUAL (2)'!H43</f>
        <v>0</v>
      </c>
      <c r="I41" s="1511">
        <f>'MATRIZ PLURIANUAL (2)'!I43</f>
        <v>57207609853.410004</v>
      </c>
      <c r="J41" s="1511">
        <f>'MATRIZ PLURIANUAL (2)'!J43</f>
        <v>122900000000</v>
      </c>
      <c r="K41" s="1511">
        <f>'MATRIZ PLURIANUAL (2)'!K43</f>
        <v>14095788414.608999</v>
      </c>
      <c r="L41" s="1511">
        <f>'MATRIZ PLURIANUAL (2)'!L43</f>
        <v>206603501404.72684</v>
      </c>
      <c r="M41" s="1511">
        <f t="shared" si="0"/>
        <v>83703501404.726822</v>
      </c>
      <c r="N41" s="1519">
        <v>6.0999999999999999E-2</v>
      </c>
      <c r="O41" s="1511">
        <f>'MATRIZ PLURIANUAL (2)'!N43</f>
        <v>2982113060.8599997</v>
      </c>
      <c r="P41" s="1511">
        <f>'MATRIZ PLURIANUAL (2)'!O43</f>
        <v>3446876866.2200003</v>
      </c>
      <c r="Q41" s="1511">
        <f>'MATRIZ PLURIANUAL (2)'!P43</f>
        <v>0</v>
      </c>
      <c r="R41" s="1511">
        <f>'MATRIZ PLURIANUAL (2)'!Q43</f>
        <v>0</v>
      </c>
      <c r="S41" s="1511">
        <f>'MATRIZ PLURIANUAL (2)'!R43</f>
        <v>8631182318.8299999</v>
      </c>
      <c r="T41" s="1511">
        <f>'MATRIZ PLURIANUAL (2)'!S43</f>
        <v>36100000000</v>
      </c>
      <c r="U41" s="1511">
        <f>'MATRIZ PLURIANUAL (2)'!T43</f>
        <v>13577427271.049999</v>
      </c>
      <c r="V41" s="1511">
        <f>'MATRIZ PLURIANUAL (2)'!U43</f>
        <v>64737599516.960007</v>
      </c>
      <c r="W41" s="1511">
        <f>'MATRIZ PLURIANUAL (2)'!V43</f>
        <v>1724588715.467</v>
      </c>
      <c r="X41" s="1511">
        <f>'MATRIZ PLURIANUAL (2)'!W43</f>
        <v>219862500</v>
      </c>
      <c r="Y41" s="1511">
        <f>'MATRIZ PLURIANUAL (2)'!X43</f>
        <v>0</v>
      </c>
      <c r="Z41" s="1511">
        <f>'MATRIZ PLURIANUAL (2)'!Y43</f>
        <v>0</v>
      </c>
      <c r="AA41" s="1511">
        <f>'MATRIZ PLURIANUAL (2)'!Z43</f>
        <v>16539309372.690002</v>
      </c>
      <c r="AB41" s="1511">
        <f>'MATRIZ PLURIANUAL (2)'!AA43</f>
        <v>34400000000</v>
      </c>
      <c r="AC41" s="1511">
        <f>'MATRIZ PLURIANUAL (2)'!AB43</f>
        <v>236694586.09999999</v>
      </c>
      <c r="AD41" s="1511">
        <f>'MATRIZ PLURIANUAL (2)'!AC43</f>
        <v>53120455174.256996</v>
      </c>
      <c r="AE41" s="1511">
        <f>'MATRIZ PLURIANUAL (2)'!AD43</f>
        <v>1790778729.47</v>
      </c>
      <c r="AF41" s="1511">
        <f>'MATRIZ PLURIANUAL (2)'!AE43</f>
        <v>198378375</v>
      </c>
      <c r="AG41" s="1511">
        <f>'MATRIZ PLURIANUAL (2)'!AF43</f>
        <v>0</v>
      </c>
      <c r="AH41" s="1511">
        <f>'MATRIZ PLURIANUAL (2)'!AG43</f>
        <v>0</v>
      </c>
      <c r="AI41" s="1511">
        <f>'MATRIZ PLURIANUAL (2)'!AH43</f>
        <v>15900087505.98</v>
      </c>
      <c r="AJ41" s="1511">
        <f>'MATRIZ PLURIANUAL (2)'!AI43</f>
        <v>28000000000</v>
      </c>
      <c r="AK41" s="1511">
        <f>'MATRIZ PLURIANUAL (2)'!AJ43</f>
        <v>165686210.26999998</v>
      </c>
      <c r="AL41" s="1511">
        <f>'MATRIZ PLURIANUAL (2)'!AK43</f>
        <v>46054930820.719994</v>
      </c>
      <c r="AM41" s="1511">
        <f>'MATRIZ PLURIANUAL (2)'!AL43</f>
        <v>1858407163.44083</v>
      </c>
      <c r="AN41" s="1511">
        <f>'MATRIZ PLURIANUAL (2)'!AM43</f>
        <v>179097726.25</v>
      </c>
      <c r="AO41" s="1511">
        <f>'MATRIZ PLURIANUAL (2)'!AN43</f>
        <v>0</v>
      </c>
      <c r="AP41" s="1511">
        <f>'MATRIZ PLURIANUAL (2)'!AO43</f>
        <v>0</v>
      </c>
      <c r="AQ41" s="1511">
        <f>'MATRIZ PLURIANUAL (2)'!AP43</f>
        <v>16137030655.91</v>
      </c>
      <c r="AR41" s="1511">
        <f>'MATRIZ PLURIANUAL (2)'!AQ43</f>
        <v>24400000000</v>
      </c>
      <c r="AS41" s="1511">
        <f>'MATRIZ PLURIANUAL (2)'!AR43</f>
        <v>115980347.18900001</v>
      </c>
      <c r="AT41" s="1515">
        <f>'MATRIZ PLURIANUAL (2)'!AS43</f>
        <v>42690515892.789833</v>
      </c>
      <c r="AU41" s="1137"/>
    </row>
    <row r="42" spans="1:47" s="1031" customFormat="1" ht="241.2" customHeight="1">
      <c r="A42" s="1136"/>
      <c r="B42" s="1548"/>
      <c r="C42" s="1550"/>
      <c r="D42" s="1155" t="s">
        <v>740</v>
      </c>
      <c r="E42" s="1513"/>
      <c r="F42" s="1513"/>
      <c r="G42" s="1513"/>
      <c r="H42" s="1513"/>
      <c r="I42" s="1513"/>
      <c r="J42" s="1513"/>
      <c r="K42" s="1513"/>
      <c r="L42" s="1513"/>
      <c r="M42" s="1513">
        <f t="shared" si="0"/>
        <v>0</v>
      </c>
      <c r="N42" s="1520"/>
      <c r="O42" s="1513"/>
      <c r="P42" s="1513"/>
      <c r="Q42" s="1513"/>
      <c r="R42" s="1513"/>
      <c r="S42" s="1513"/>
      <c r="T42" s="1513"/>
      <c r="U42" s="1513"/>
      <c r="V42" s="1513"/>
      <c r="W42" s="1513"/>
      <c r="X42" s="1513"/>
      <c r="Y42" s="1513"/>
      <c r="Z42" s="1513"/>
      <c r="AA42" s="1513"/>
      <c r="AB42" s="1513"/>
      <c r="AC42" s="1513"/>
      <c r="AD42" s="1513"/>
      <c r="AE42" s="1513"/>
      <c r="AF42" s="1513"/>
      <c r="AG42" s="1513"/>
      <c r="AH42" s="1513"/>
      <c r="AI42" s="1513"/>
      <c r="AJ42" s="1513"/>
      <c r="AK42" s="1513"/>
      <c r="AL42" s="1513"/>
      <c r="AM42" s="1513"/>
      <c r="AN42" s="1513"/>
      <c r="AO42" s="1513"/>
      <c r="AP42" s="1513"/>
      <c r="AQ42" s="1513"/>
      <c r="AR42" s="1513"/>
      <c r="AS42" s="1513"/>
      <c r="AT42" s="1516"/>
      <c r="AU42" s="1137"/>
    </row>
    <row r="43" spans="1:47" s="1031" customFormat="1" ht="241.2" customHeight="1">
      <c r="A43" s="1136"/>
      <c r="B43" s="1548"/>
      <c r="C43" s="1550"/>
      <c r="D43" s="1155" t="s">
        <v>741</v>
      </c>
      <c r="E43" s="1513"/>
      <c r="F43" s="1513"/>
      <c r="G43" s="1513"/>
      <c r="H43" s="1513"/>
      <c r="I43" s="1513"/>
      <c r="J43" s="1513"/>
      <c r="K43" s="1513"/>
      <c r="L43" s="1513"/>
      <c r="M43" s="1513">
        <f t="shared" si="0"/>
        <v>0</v>
      </c>
      <c r="N43" s="1520"/>
      <c r="O43" s="1513"/>
      <c r="P43" s="1513"/>
      <c r="Q43" s="1513"/>
      <c r="R43" s="1513"/>
      <c r="S43" s="1513"/>
      <c r="T43" s="1513"/>
      <c r="U43" s="1513"/>
      <c r="V43" s="1513"/>
      <c r="W43" s="1513"/>
      <c r="X43" s="1513"/>
      <c r="Y43" s="1513"/>
      <c r="Z43" s="1513"/>
      <c r="AA43" s="1513"/>
      <c r="AB43" s="1513"/>
      <c r="AC43" s="1513"/>
      <c r="AD43" s="1513"/>
      <c r="AE43" s="1513"/>
      <c r="AF43" s="1513"/>
      <c r="AG43" s="1513"/>
      <c r="AH43" s="1513"/>
      <c r="AI43" s="1513"/>
      <c r="AJ43" s="1513"/>
      <c r="AK43" s="1513"/>
      <c r="AL43" s="1513"/>
      <c r="AM43" s="1513"/>
      <c r="AN43" s="1513"/>
      <c r="AO43" s="1513"/>
      <c r="AP43" s="1513"/>
      <c r="AQ43" s="1513"/>
      <c r="AR43" s="1513"/>
      <c r="AS43" s="1513"/>
      <c r="AT43" s="1516"/>
      <c r="AU43" s="1137"/>
    </row>
    <row r="44" spans="1:47" s="1031" customFormat="1" ht="241.2" customHeight="1">
      <c r="A44" s="1136"/>
      <c r="B44" s="1549"/>
      <c r="C44" s="1546"/>
      <c r="D44" s="1155" t="s">
        <v>742</v>
      </c>
      <c r="E44" s="1512"/>
      <c r="F44" s="1512"/>
      <c r="G44" s="1512"/>
      <c r="H44" s="1512"/>
      <c r="I44" s="1512"/>
      <c r="J44" s="1512"/>
      <c r="K44" s="1512"/>
      <c r="L44" s="1512"/>
      <c r="M44" s="1512">
        <f t="shared" si="0"/>
        <v>0</v>
      </c>
      <c r="N44" s="1521"/>
      <c r="O44" s="1512"/>
      <c r="P44" s="1512"/>
      <c r="Q44" s="1512"/>
      <c r="R44" s="1512"/>
      <c r="S44" s="1512"/>
      <c r="T44" s="1512"/>
      <c r="U44" s="1512"/>
      <c r="V44" s="1512"/>
      <c r="W44" s="1512"/>
      <c r="X44" s="1512"/>
      <c r="Y44" s="1512"/>
      <c r="Z44" s="1512"/>
      <c r="AA44" s="1512"/>
      <c r="AB44" s="1512"/>
      <c r="AC44" s="1512"/>
      <c r="AD44" s="1512"/>
      <c r="AE44" s="1512"/>
      <c r="AF44" s="1512"/>
      <c r="AG44" s="1512"/>
      <c r="AH44" s="1512"/>
      <c r="AI44" s="1512"/>
      <c r="AJ44" s="1512"/>
      <c r="AK44" s="1512"/>
      <c r="AL44" s="1512"/>
      <c r="AM44" s="1512"/>
      <c r="AN44" s="1512"/>
      <c r="AO44" s="1512"/>
      <c r="AP44" s="1512"/>
      <c r="AQ44" s="1512"/>
      <c r="AR44" s="1512"/>
      <c r="AS44" s="1512"/>
      <c r="AT44" s="1517"/>
      <c r="AU44" s="1137"/>
    </row>
    <row r="45" spans="1:47" s="1031" customFormat="1" ht="207" customHeight="1">
      <c r="A45" s="1136"/>
      <c r="B45" s="1162" t="s">
        <v>630</v>
      </c>
      <c r="C45" s="1163"/>
      <c r="D45" s="1164"/>
      <c r="E45" s="1207">
        <f>'MATRIZ PLURIANUAL (2)'!E48</f>
        <v>11877045931.396614</v>
      </c>
      <c r="F45" s="1207">
        <f>'MATRIZ PLURIANUAL (2)'!F48</f>
        <v>72611829777.649994</v>
      </c>
      <c r="G45" s="1207">
        <f>'MATRIZ PLURIANUAL (2)'!G48</f>
        <v>752905601773.56787</v>
      </c>
      <c r="H45" s="1207">
        <f>'MATRIZ PLURIANUAL (2)'!H48</f>
        <v>0</v>
      </c>
      <c r="I45" s="1207">
        <f>'MATRIZ PLURIANUAL (2)'!I48</f>
        <v>108672857768.95001</v>
      </c>
      <c r="J45" s="1207">
        <f>'MATRIZ PLURIANUAL (2)'!J48</f>
        <v>87116304145.928497</v>
      </c>
      <c r="K45" s="1207">
        <f>'MATRIZ PLURIANUAL (2)'!K48</f>
        <v>2101948854.3850002</v>
      </c>
      <c r="L45" s="1207">
        <f>'MATRIZ PLURIANUAL (2)'!L48</f>
        <v>1035285588251.8779</v>
      </c>
      <c r="M45" s="1207">
        <f>E45+F45+G45+H45+I45+K45</f>
        <v>948169284105.94946</v>
      </c>
      <c r="N45" s="1208">
        <f>SUM(N46:N80)</f>
        <v>0.77900000000000003</v>
      </c>
      <c r="O45" s="1207">
        <f>'MATRIZ PLURIANUAL (2)'!N48</f>
        <v>3563358757</v>
      </c>
      <c r="P45" s="1207">
        <f>'MATRIZ PLURIANUAL (2)'!O48</f>
        <v>23418432366.400002</v>
      </c>
      <c r="Q45" s="1207">
        <f>'MATRIZ PLURIANUAL (2)'!P48</f>
        <v>186152127921.75</v>
      </c>
      <c r="R45" s="1207">
        <f>'MATRIZ PLURIANUAL (2)'!Q48</f>
        <v>0</v>
      </c>
      <c r="S45" s="1207">
        <f>'MATRIZ PLURIANUAL (2)'!R48</f>
        <v>36520985574.190002</v>
      </c>
      <c r="T45" s="1207">
        <f>'MATRIZ PLURIANUAL (2)'!S48</f>
        <v>673071310.5553</v>
      </c>
      <c r="U45" s="1207">
        <f>'MATRIZ PLURIANUAL (2)'!T48</f>
        <v>1300000000</v>
      </c>
      <c r="V45" s="1207">
        <f>'MATRIZ PLURIANUAL (2)'!U48</f>
        <v>251627975929.89529</v>
      </c>
      <c r="W45" s="1207">
        <f>'MATRIZ PLURIANUAL (2)'!V48</f>
        <v>2668085680.8799505</v>
      </c>
      <c r="X45" s="1207">
        <f>'MATRIZ PLURIANUAL (2)'!W48</f>
        <v>19033692500</v>
      </c>
      <c r="Y45" s="1207">
        <f>'MATRIZ PLURIANUAL (2)'!X48</f>
        <v>187041300600.41428</v>
      </c>
      <c r="Z45" s="1207">
        <f>'MATRIZ PLURIANUAL (2)'!Y48</f>
        <v>0</v>
      </c>
      <c r="AA45" s="1207">
        <f>'MATRIZ PLURIANUAL (2)'!Z48</f>
        <v>24587720778.379997</v>
      </c>
      <c r="AB45" s="1207">
        <f>'MATRIZ PLURIANUAL (2)'!AA48</f>
        <v>27932511125.3232</v>
      </c>
      <c r="AC45" s="1207">
        <f>'MATRIZ PLURIANUAL (2)'!AB48</f>
        <v>366186691.5</v>
      </c>
      <c r="AD45" s="1207">
        <f>'MATRIZ PLURIANUAL (2)'!AC48</f>
        <v>261629497376.49744</v>
      </c>
      <c r="AE45" s="1207">
        <f>'MATRIZ PLURIANUAL (2)'!AD48</f>
        <v>2770487272.0500002</v>
      </c>
      <c r="AF45" s="1207">
        <f>'MATRIZ PLURIANUAL (2)'!AE48</f>
        <v>18666685375</v>
      </c>
      <c r="AG45" s="1207">
        <f>'MATRIZ PLURIANUAL (2)'!AF48</f>
        <v>188911583677.31885</v>
      </c>
      <c r="AH45" s="1207">
        <f>'MATRIZ PLURIANUAL (2)'!AG48</f>
        <v>0</v>
      </c>
      <c r="AI45" s="1207">
        <f>'MATRIZ PLURIANUAL (2)'!AH48</f>
        <v>23598790087.730003</v>
      </c>
      <c r="AJ45" s="1207">
        <f>'MATRIZ PLURIANUAL (2)'!AI48</f>
        <v>26029832216.93</v>
      </c>
      <c r="AK45" s="1207">
        <f>'MATRIZ PLURIANUAL (2)'!AJ48</f>
        <v>256330684.05000007</v>
      </c>
      <c r="AL45" s="1207">
        <f>'MATRIZ PLURIANUAL (2)'!AK48</f>
        <v>260233709313.07892</v>
      </c>
      <c r="AM45" s="1207">
        <f>'MATRIZ PLURIANUAL (2)'!AL48</f>
        <v>2875114221.4666629</v>
      </c>
      <c r="AN45" s="1207">
        <f>'MATRIZ PLURIANUAL (2)'!AM48</f>
        <v>11493019536.25</v>
      </c>
      <c r="AO45" s="1207">
        <f>'MATRIZ PLURIANUAL (2)'!AN48</f>
        <v>190800589574.08466</v>
      </c>
      <c r="AP45" s="1207">
        <f>'MATRIZ PLURIANUAL (2)'!AO48</f>
        <v>0</v>
      </c>
      <c r="AQ45" s="1207">
        <f>'MATRIZ PLURIANUAL (2)'!AP48</f>
        <v>23965361328.650002</v>
      </c>
      <c r="AR45" s="1207">
        <f>'MATRIZ PLURIANUAL (2)'!AQ48</f>
        <v>32480889493.119999</v>
      </c>
      <c r="AS45" s="1207">
        <f>'MATRIZ PLURIANUAL (2)'!AR48</f>
        <v>179431478.83499998</v>
      </c>
      <c r="AT45" s="1209">
        <f>'MATRIZ PLURIANUAL (2)'!AS48</f>
        <v>261794405632.40631</v>
      </c>
      <c r="AU45" s="1137"/>
    </row>
    <row r="46" spans="1:47" s="1030" customFormat="1" ht="315" customHeight="1">
      <c r="A46" s="1134"/>
      <c r="B46" s="1547" t="s">
        <v>134</v>
      </c>
      <c r="C46" s="1545" t="s">
        <v>135</v>
      </c>
      <c r="D46" s="1165" t="s">
        <v>743</v>
      </c>
      <c r="E46" s="1511">
        <f>'MATRIZ PLURIANUAL (2)'!E49</f>
        <v>1927811518.700664</v>
      </c>
      <c r="F46" s="1511">
        <f>'MATRIZ PLURIANUAL (2)'!F49</f>
        <v>48505021079.989998</v>
      </c>
      <c r="G46" s="1511">
        <f>'MATRIZ PLURIANUAL (2)'!G49</f>
        <v>752905601773.56787</v>
      </c>
      <c r="H46" s="1511">
        <f>'MATRIZ PLURIANUAL (2)'!H49</f>
        <v>0</v>
      </c>
      <c r="I46" s="1511">
        <f>'MATRIZ PLURIANUAL (2)'!I49</f>
        <v>35137995793.380005</v>
      </c>
      <c r="J46" s="1511">
        <f>'MATRIZ PLURIANUAL (2)'!J49</f>
        <v>70882037540.743195</v>
      </c>
      <c r="K46" s="1511">
        <f>'MATRIZ PLURIANUAL (2)'!K49</f>
        <v>185959154.63999999</v>
      </c>
      <c r="L46" s="1511">
        <f>'MATRIZ PLURIANUAL (2)'!L49</f>
        <v>909544426861.02173</v>
      </c>
      <c r="M46" s="1511">
        <f>E46+F46+G46+H46+I46+K46</f>
        <v>838662389320.27856</v>
      </c>
      <c r="N46" s="1519">
        <v>0.68899999999999995</v>
      </c>
      <c r="O46" s="1511">
        <f>'MATRIZ PLURIANUAL (2)'!N49</f>
        <v>0</v>
      </c>
      <c r="P46" s="1511">
        <f>'MATRIZ PLURIANUAL (2)'!O49</f>
        <v>16597841891.24</v>
      </c>
      <c r="Q46" s="1511">
        <f>'MATRIZ PLURIANUAL (2)'!P49</f>
        <v>186152127921.75</v>
      </c>
      <c r="R46" s="1511">
        <f>'MATRIZ PLURIANUAL (2)'!Q49</f>
        <v>0</v>
      </c>
      <c r="S46" s="1511">
        <f>'MATRIZ PLURIANUAL (2)'!R49</f>
        <v>25008186316.740002</v>
      </c>
      <c r="T46" s="1511">
        <f>'MATRIZ PLURIANUAL (2)'!S49</f>
        <v>0</v>
      </c>
      <c r="U46" s="1511">
        <f>'MATRIZ PLURIANUAL (2)'!T49</f>
        <v>0</v>
      </c>
      <c r="V46" s="1511">
        <f>'MATRIZ PLURIANUAL (2)'!U49</f>
        <v>227758156129.72998</v>
      </c>
      <c r="W46" s="1511">
        <f>'MATRIZ PLURIANUAL (2)'!V49</f>
        <v>618686534.69679999</v>
      </c>
      <c r="X46" s="1511">
        <f>'MATRIZ PLURIANUAL (2)'!W49</f>
        <v>13067611340</v>
      </c>
      <c r="Y46" s="1511">
        <f>'MATRIZ PLURIANUAL (2)'!X49</f>
        <v>187041300600.41428</v>
      </c>
      <c r="Z46" s="1511">
        <f>'MATRIZ PLURIANUAL (2)'!Y49</f>
        <v>0</v>
      </c>
      <c r="AA46" s="1511">
        <f>'MATRIZ PLURIANUAL (2)'!Z49</f>
        <v>3501147324.3199997</v>
      </c>
      <c r="AB46" s="1511">
        <f>'MATRIZ PLURIANUAL (2)'!AA49</f>
        <v>22501345610.1432</v>
      </c>
      <c r="AC46" s="1511">
        <f>'MATRIZ PLURIANUAL (2)'!AB49</f>
        <v>84912856</v>
      </c>
      <c r="AD46" s="1511">
        <f>'MATRIZ PLURIANUAL (2)'!AC49</f>
        <v>226815004265.57428</v>
      </c>
      <c r="AE46" s="1511">
        <f>'MATRIZ PLURIANUAL (2)'!AD49</f>
        <v>642431831.20000005</v>
      </c>
      <c r="AF46" s="1511">
        <f>'MATRIZ PLURIANUAL (2)'!AE49</f>
        <v>12912164465</v>
      </c>
      <c r="AG46" s="1511">
        <f>'MATRIZ PLURIANUAL (2)'!AF49</f>
        <v>188911583677.31885</v>
      </c>
      <c r="AH46" s="1511">
        <f>'MATRIZ PLURIANUAL (2)'!AG49</f>
        <v>0</v>
      </c>
      <c r="AI46" s="1511">
        <f>'MATRIZ PLURIANUAL (2)'!AH49</f>
        <v>3271830062.7200003</v>
      </c>
      <c r="AJ46" s="1511">
        <f>'MATRIZ PLURIANUAL (2)'!AI49</f>
        <v>21001345610.139999</v>
      </c>
      <c r="AK46" s="1511">
        <f>'MATRIZ PLURIANUAL (2)'!AJ49</f>
        <v>59438999.200000003</v>
      </c>
      <c r="AL46" s="1511">
        <f>'MATRIZ PLURIANUAL (2)'!AK49</f>
        <v>226798794645.57886</v>
      </c>
      <c r="AM46" s="1511">
        <f>'MATRIZ PLURIANUAL (2)'!AL49</f>
        <v>666693152.803864</v>
      </c>
      <c r="AN46" s="1511">
        <f>'MATRIZ PLURIANUAL (2)'!AM49</f>
        <v>5927403383.75</v>
      </c>
      <c r="AO46" s="1511">
        <f>'MATRIZ PLURIANUAL (2)'!AN49</f>
        <v>190800589574.08466</v>
      </c>
      <c r="AP46" s="1511">
        <f>'MATRIZ PLURIANUAL (2)'!AO49</f>
        <v>0</v>
      </c>
      <c r="AQ46" s="1511">
        <f>'MATRIZ PLURIANUAL (2)'!AP49</f>
        <v>3356832089.6000004</v>
      </c>
      <c r="AR46" s="1511">
        <f>'MATRIZ PLURIANUAL (2)'!AQ49</f>
        <v>27379346320.459999</v>
      </c>
      <c r="AS46" s="1511">
        <f>'MATRIZ PLURIANUAL (2)'!AR49</f>
        <v>41607299.439999998</v>
      </c>
      <c r="AT46" s="1515">
        <f>'MATRIZ PLURIANUAL (2)'!AS49</f>
        <v>228172471820.13852</v>
      </c>
      <c r="AU46" s="1135"/>
    </row>
    <row r="47" spans="1:47" s="1030" customFormat="1" ht="315" customHeight="1">
      <c r="A47" s="1134"/>
      <c r="B47" s="1548"/>
      <c r="C47" s="1546"/>
      <c r="D47" s="1155" t="s">
        <v>744</v>
      </c>
      <c r="E47" s="1512"/>
      <c r="F47" s="1512"/>
      <c r="G47" s="1512"/>
      <c r="H47" s="1512"/>
      <c r="I47" s="1512"/>
      <c r="J47" s="1512"/>
      <c r="K47" s="1512"/>
      <c r="L47" s="1512"/>
      <c r="M47" s="1512">
        <f t="shared" si="0"/>
        <v>0</v>
      </c>
      <c r="N47" s="1521"/>
      <c r="O47" s="1512"/>
      <c r="P47" s="1512"/>
      <c r="Q47" s="1512"/>
      <c r="R47" s="1512"/>
      <c r="S47" s="1512"/>
      <c r="T47" s="1512"/>
      <c r="U47" s="1512"/>
      <c r="V47" s="1512"/>
      <c r="W47" s="1512"/>
      <c r="X47" s="1512"/>
      <c r="Y47" s="1512"/>
      <c r="Z47" s="1512"/>
      <c r="AA47" s="1512"/>
      <c r="AB47" s="1512"/>
      <c r="AC47" s="1512"/>
      <c r="AD47" s="1512"/>
      <c r="AE47" s="1512"/>
      <c r="AF47" s="1512"/>
      <c r="AG47" s="1512"/>
      <c r="AH47" s="1512"/>
      <c r="AI47" s="1512"/>
      <c r="AJ47" s="1512"/>
      <c r="AK47" s="1512"/>
      <c r="AL47" s="1512"/>
      <c r="AM47" s="1512"/>
      <c r="AN47" s="1512"/>
      <c r="AO47" s="1512"/>
      <c r="AP47" s="1512"/>
      <c r="AQ47" s="1512"/>
      <c r="AR47" s="1512"/>
      <c r="AS47" s="1512"/>
      <c r="AT47" s="1517"/>
      <c r="AU47" s="1135"/>
    </row>
    <row r="48" spans="1:47" s="1030" customFormat="1" ht="315" customHeight="1">
      <c r="A48" s="1134"/>
      <c r="B48" s="1548"/>
      <c r="C48" s="1545" t="s">
        <v>136</v>
      </c>
      <c r="D48" s="1155" t="s">
        <v>745</v>
      </c>
      <c r="E48" s="1518">
        <f>'MATRIZ PLURIANUAL (2)'!E51</f>
        <v>922929319.51274884</v>
      </c>
      <c r="F48" s="1518">
        <f>'MATRIZ PLURIANUAL (2)'!F51</f>
        <v>1939625517.6600001</v>
      </c>
      <c r="G48" s="1518">
        <f>'MATRIZ PLURIANUAL (2)'!G51</f>
        <v>0</v>
      </c>
      <c r="H48" s="1518">
        <f>'MATRIZ PLURIANUAL (2)'!H51</f>
        <v>0</v>
      </c>
      <c r="I48" s="1518">
        <f>'MATRIZ PLURIANUAL (2)'!I51</f>
        <v>8034945408.2399998</v>
      </c>
      <c r="J48" s="1518">
        <f>'MATRIZ PLURIANUAL (2)'!J51</f>
        <v>0</v>
      </c>
      <c r="K48" s="1518">
        <f>'MATRIZ PLURIANUAL (2)'!K51</f>
        <v>69734682.99000001</v>
      </c>
      <c r="L48" s="1518">
        <f>'MATRIZ PLURIANUAL (2)'!L51</f>
        <v>10967234928.402748</v>
      </c>
      <c r="M48" s="1518">
        <f>E48+F48+G48+H48+I48+K48</f>
        <v>10967234928.402748</v>
      </c>
      <c r="N48" s="1523">
        <v>8.9999999999999993E-3</v>
      </c>
      <c r="O48" s="1518">
        <f>'MATRIZ PLURIANUAL (2)'!N51</f>
        <v>200000000</v>
      </c>
      <c r="P48" s="1518">
        <f>'MATRIZ PLURIANUAL (2)'!O51</f>
        <v>198758315.16000003</v>
      </c>
      <c r="Q48" s="1518">
        <f>'MATRIZ PLURIANUAL (2)'!P51</f>
        <v>0</v>
      </c>
      <c r="R48" s="1518">
        <f>'MATRIZ PLURIANUAL (2)'!Q51</f>
        <v>0</v>
      </c>
      <c r="S48" s="1518">
        <f>'MATRIZ PLURIANUAL (2)'!R51</f>
        <v>1500000000</v>
      </c>
      <c r="T48" s="1518">
        <f>'MATRIZ PLURIANUAL (2)'!S51</f>
        <v>0</v>
      </c>
      <c r="U48" s="1518">
        <f>'MATRIZ PLURIANUAL (2)'!T51</f>
        <v>0</v>
      </c>
      <c r="V48" s="1518">
        <f>'MATRIZ PLURIANUAL (2)'!U51</f>
        <v>1898758315.1600001</v>
      </c>
      <c r="W48" s="1518">
        <f>'MATRIZ PLURIANUAL (2)'!V51</f>
        <v>232007450.5113</v>
      </c>
      <c r="X48" s="1518">
        <f>'MATRIZ PLURIANUAL (2)'!W51</f>
        <v>628255000</v>
      </c>
      <c r="Y48" s="1518">
        <f>'MATRIZ PLURIANUAL (2)'!X51</f>
        <v>0</v>
      </c>
      <c r="Z48" s="1518">
        <f>'MATRIZ PLURIANUAL (2)'!Y51</f>
        <v>0</v>
      </c>
      <c r="AA48" s="1518">
        <f>'MATRIZ PLURIANUAL (2)'!Z51</f>
        <v>2225019198.1199999</v>
      </c>
      <c r="AB48" s="1518">
        <f>'MATRIZ PLURIANUAL (2)'!AA51</f>
        <v>0</v>
      </c>
      <c r="AC48" s="1518">
        <f>'MATRIZ PLURIANUAL (2)'!AB51</f>
        <v>31842321</v>
      </c>
      <c r="AD48" s="1518">
        <f>'MATRIZ PLURIANUAL (2)'!AC51</f>
        <v>3117123969.6313</v>
      </c>
      <c r="AE48" s="1518">
        <f>'MATRIZ PLURIANUAL (2)'!AD51</f>
        <v>240911936.69999999</v>
      </c>
      <c r="AF48" s="1518">
        <f>'MATRIZ PLURIANUAL (2)'!AE51</f>
        <v>578076750</v>
      </c>
      <c r="AG48" s="1518">
        <f>'MATRIZ PLURIANUAL (2)'!AF51</f>
        <v>0</v>
      </c>
      <c r="AH48" s="1518">
        <f>'MATRIZ PLURIANUAL (2)'!AG51</f>
        <v>0</v>
      </c>
      <c r="AI48" s="1518">
        <f>'MATRIZ PLURIANUAL (2)'!AH51</f>
        <v>2139025225.02</v>
      </c>
      <c r="AJ48" s="1518">
        <f>'MATRIZ PLURIANUAL (2)'!AI51</f>
        <v>0</v>
      </c>
      <c r="AK48" s="1518">
        <f>'MATRIZ PLURIANUAL (2)'!AJ51</f>
        <v>22289624.699999999</v>
      </c>
      <c r="AL48" s="1518">
        <f>'MATRIZ PLURIANUAL (2)'!AK51</f>
        <v>2980303536.4200001</v>
      </c>
      <c r="AM48" s="1518">
        <f>'MATRIZ PLURIANUAL (2)'!AL51</f>
        <v>250009932.30144897</v>
      </c>
      <c r="AN48" s="1518">
        <f>'MATRIZ PLURIANUAL (2)'!AM51</f>
        <v>534535452.5</v>
      </c>
      <c r="AO48" s="1518">
        <f>'MATRIZ PLURIANUAL (2)'!AN51</f>
        <v>0</v>
      </c>
      <c r="AP48" s="1518">
        <f>'MATRIZ PLURIANUAL (2)'!AO51</f>
        <v>0</v>
      </c>
      <c r="AQ48" s="1518">
        <f>'MATRIZ PLURIANUAL (2)'!AP51</f>
        <v>2170900985.0999999</v>
      </c>
      <c r="AR48" s="1518">
        <f>'MATRIZ PLURIANUAL (2)'!AQ51</f>
        <v>0</v>
      </c>
      <c r="AS48" s="1518">
        <f>'MATRIZ PLURIANUAL (2)'!AR51</f>
        <v>15602737.289999999</v>
      </c>
      <c r="AT48" s="1522">
        <f>'MATRIZ PLURIANUAL (2)'!AS51</f>
        <v>2971049107.1914487</v>
      </c>
      <c r="AU48" s="1135"/>
    </row>
    <row r="49" spans="1:47" s="1030" customFormat="1" ht="315" customHeight="1">
      <c r="A49" s="1134"/>
      <c r="B49" s="1548"/>
      <c r="C49" s="1546"/>
      <c r="D49" s="1155" t="s">
        <v>746</v>
      </c>
      <c r="E49" s="1518"/>
      <c r="F49" s="1518"/>
      <c r="G49" s="1518"/>
      <c r="H49" s="1518"/>
      <c r="I49" s="1518"/>
      <c r="J49" s="1518"/>
      <c r="K49" s="1518"/>
      <c r="L49" s="1518"/>
      <c r="M49" s="1518">
        <f t="shared" si="0"/>
        <v>0</v>
      </c>
      <c r="N49" s="1523"/>
      <c r="O49" s="1518"/>
      <c r="P49" s="1518"/>
      <c r="Q49" s="1518"/>
      <c r="R49" s="1518"/>
      <c r="S49" s="1518"/>
      <c r="T49" s="1518"/>
      <c r="U49" s="1518"/>
      <c r="V49" s="1518"/>
      <c r="W49" s="1518"/>
      <c r="X49" s="1518"/>
      <c r="Y49" s="1518"/>
      <c r="Z49" s="1518"/>
      <c r="AA49" s="1518"/>
      <c r="AB49" s="1518"/>
      <c r="AC49" s="1518"/>
      <c r="AD49" s="1518"/>
      <c r="AE49" s="1518"/>
      <c r="AF49" s="1518"/>
      <c r="AG49" s="1518"/>
      <c r="AH49" s="1518"/>
      <c r="AI49" s="1518"/>
      <c r="AJ49" s="1518"/>
      <c r="AK49" s="1518"/>
      <c r="AL49" s="1518"/>
      <c r="AM49" s="1518"/>
      <c r="AN49" s="1518"/>
      <c r="AO49" s="1518"/>
      <c r="AP49" s="1518"/>
      <c r="AQ49" s="1518"/>
      <c r="AR49" s="1518"/>
      <c r="AS49" s="1518"/>
      <c r="AT49" s="1522"/>
      <c r="AU49" s="1135"/>
    </row>
    <row r="50" spans="1:47" s="1030" customFormat="1" ht="315" customHeight="1">
      <c r="A50" s="1134"/>
      <c r="B50" s="1548"/>
      <c r="C50" s="1545" t="s">
        <v>137</v>
      </c>
      <c r="D50" s="1155" t="s">
        <v>747</v>
      </c>
      <c r="E50" s="1511">
        <f>'MATRIZ PLURIANUAL (2)'!E54</f>
        <v>1112929319.512749</v>
      </c>
      <c r="F50" s="1511">
        <f>'MATRIZ PLURIANUAL (2)'!F54</f>
        <v>0</v>
      </c>
      <c r="G50" s="1511">
        <f>'MATRIZ PLURIANUAL (2)'!G54</f>
        <v>0</v>
      </c>
      <c r="H50" s="1511">
        <f>'MATRIZ PLURIANUAL (2)'!H54</f>
        <v>0</v>
      </c>
      <c r="I50" s="1511">
        <f>'MATRIZ PLURIANUAL (2)'!I54</f>
        <v>7534945408.2399998</v>
      </c>
      <c r="J50" s="1511">
        <f>'MATRIZ PLURIANUAL (2)'!J54</f>
        <v>0</v>
      </c>
      <c r="K50" s="1511">
        <f>'MATRIZ PLURIANUAL (2)'!K54</f>
        <v>69734682.99000001</v>
      </c>
      <c r="L50" s="1511">
        <f>'MATRIZ PLURIANUAL (2)'!L54</f>
        <v>8717609410.7427483</v>
      </c>
      <c r="M50" s="1511">
        <f t="shared" si="0"/>
        <v>8717609410.7427483</v>
      </c>
      <c r="N50" s="1519">
        <v>7.0000000000000001E-3</v>
      </c>
      <c r="O50" s="1511">
        <f>'MATRIZ PLURIANUAL (2)'!N54</f>
        <v>390000000</v>
      </c>
      <c r="P50" s="1511">
        <f>'MATRIZ PLURIANUAL (2)'!O54</f>
        <v>0</v>
      </c>
      <c r="Q50" s="1511">
        <f>'MATRIZ PLURIANUAL (2)'!P54</f>
        <v>0</v>
      </c>
      <c r="R50" s="1511">
        <f>'MATRIZ PLURIANUAL (2)'!Q54</f>
        <v>0</v>
      </c>
      <c r="S50" s="1511">
        <f>'MATRIZ PLURIANUAL (2)'!R54</f>
        <v>1000000000</v>
      </c>
      <c r="T50" s="1511">
        <f>'MATRIZ PLURIANUAL (2)'!S54</f>
        <v>0</v>
      </c>
      <c r="U50" s="1511">
        <f>'MATRIZ PLURIANUAL (2)'!T54</f>
        <v>0</v>
      </c>
      <c r="V50" s="1511">
        <f>'MATRIZ PLURIANUAL (2)'!U54</f>
        <v>1390000000</v>
      </c>
      <c r="W50" s="1511">
        <f>'MATRIZ PLURIANUAL (2)'!V54</f>
        <v>232007450.5113</v>
      </c>
      <c r="X50" s="1511">
        <f>'MATRIZ PLURIANUAL (2)'!W54</f>
        <v>0</v>
      </c>
      <c r="Y50" s="1511">
        <f>'MATRIZ PLURIANUAL (2)'!X54</f>
        <v>0</v>
      </c>
      <c r="Z50" s="1511">
        <f>'MATRIZ PLURIANUAL (2)'!Y54</f>
        <v>0</v>
      </c>
      <c r="AA50" s="1511">
        <f>'MATRIZ PLURIANUAL (2)'!Z54</f>
        <v>2225019198.1199999</v>
      </c>
      <c r="AB50" s="1511">
        <f>'MATRIZ PLURIANUAL (2)'!AA54</f>
        <v>0</v>
      </c>
      <c r="AC50" s="1511">
        <f>'MATRIZ PLURIANUAL (2)'!AB54</f>
        <v>31842321</v>
      </c>
      <c r="AD50" s="1511">
        <f>'MATRIZ PLURIANUAL (2)'!AC54</f>
        <v>2488868969.6313</v>
      </c>
      <c r="AE50" s="1511">
        <f>'MATRIZ PLURIANUAL (2)'!AD54</f>
        <v>240911936.69999999</v>
      </c>
      <c r="AF50" s="1511">
        <f>'MATRIZ PLURIANUAL (2)'!AE54</f>
        <v>0</v>
      </c>
      <c r="AG50" s="1511">
        <f>'MATRIZ PLURIANUAL (2)'!AF54</f>
        <v>0</v>
      </c>
      <c r="AH50" s="1511">
        <f>'MATRIZ PLURIANUAL (2)'!AG54</f>
        <v>0</v>
      </c>
      <c r="AI50" s="1511">
        <f>'MATRIZ PLURIANUAL (2)'!AH54</f>
        <v>2139025225.02</v>
      </c>
      <c r="AJ50" s="1511">
        <f>'MATRIZ PLURIANUAL (2)'!AI54</f>
        <v>0</v>
      </c>
      <c r="AK50" s="1511">
        <f>'MATRIZ PLURIANUAL (2)'!AJ54</f>
        <v>22289624.699999999</v>
      </c>
      <c r="AL50" s="1511">
        <f>'MATRIZ PLURIANUAL (2)'!AK54</f>
        <v>2402226786.4199996</v>
      </c>
      <c r="AM50" s="1511">
        <f>'MATRIZ PLURIANUAL (2)'!AL54</f>
        <v>250009932.30144897</v>
      </c>
      <c r="AN50" s="1511">
        <f>'MATRIZ PLURIANUAL (2)'!AM54</f>
        <v>0</v>
      </c>
      <c r="AO50" s="1511">
        <f>'MATRIZ PLURIANUAL (2)'!AN54</f>
        <v>0</v>
      </c>
      <c r="AP50" s="1511">
        <f>'MATRIZ PLURIANUAL (2)'!AO54</f>
        <v>0</v>
      </c>
      <c r="AQ50" s="1511">
        <f>'MATRIZ PLURIANUAL (2)'!AP54</f>
        <v>2170900985.0999999</v>
      </c>
      <c r="AR50" s="1511">
        <f>'MATRIZ PLURIANUAL (2)'!AQ54</f>
        <v>0</v>
      </c>
      <c r="AS50" s="1511">
        <f>'MATRIZ PLURIANUAL (2)'!AR54</f>
        <v>15602737.289999999</v>
      </c>
      <c r="AT50" s="1515">
        <f>'MATRIZ PLURIANUAL (2)'!AS54</f>
        <v>2436513654.6914487</v>
      </c>
      <c r="AU50" s="1135"/>
    </row>
    <row r="51" spans="1:47" s="1030" customFormat="1" ht="315" customHeight="1">
      <c r="A51" s="1134"/>
      <c r="B51" s="1548"/>
      <c r="C51" s="1546"/>
      <c r="D51" s="1155" t="s">
        <v>748</v>
      </c>
      <c r="E51" s="1512"/>
      <c r="F51" s="1512"/>
      <c r="G51" s="1512"/>
      <c r="H51" s="1512"/>
      <c r="I51" s="1512"/>
      <c r="J51" s="1512"/>
      <c r="K51" s="1512"/>
      <c r="L51" s="1512"/>
      <c r="M51" s="1512">
        <f t="shared" si="0"/>
        <v>0</v>
      </c>
      <c r="N51" s="1521"/>
      <c r="O51" s="1512"/>
      <c r="P51" s="1512"/>
      <c r="Q51" s="1512"/>
      <c r="R51" s="1512"/>
      <c r="S51" s="1512"/>
      <c r="T51" s="1512"/>
      <c r="U51" s="1512"/>
      <c r="V51" s="1512"/>
      <c r="W51" s="1512"/>
      <c r="X51" s="1512"/>
      <c r="Y51" s="1512"/>
      <c r="Z51" s="1512"/>
      <c r="AA51" s="1512"/>
      <c r="AB51" s="1512"/>
      <c r="AC51" s="1512"/>
      <c r="AD51" s="1512"/>
      <c r="AE51" s="1512"/>
      <c r="AF51" s="1512"/>
      <c r="AG51" s="1512"/>
      <c r="AH51" s="1512"/>
      <c r="AI51" s="1512"/>
      <c r="AJ51" s="1512"/>
      <c r="AK51" s="1512"/>
      <c r="AL51" s="1512"/>
      <c r="AM51" s="1512"/>
      <c r="AN51" s="1512"/>
      <c r="AO51" s="1512"/>
      <c r="AP51" s="1512"/>
      <c r="AQ51" s="1512"/>
      <c r="AR51" s="1512"/>
      <c r="AS51" s="1512"/>
      <c r="AT51" s="1517"/>
      <c r="AU51" s="1135"/>
    </row>
    <row r="52" spans="1:47" s="1030" customFormat="1" ht="315" customHeight="1">
      <c r="A52" s="1134"/>
      <c r="B52" s="1548"/>
      <c r="C52" s="1166" t="s">
        <v>138</v>
      </c>
      <c r="D52" s="1155" t="s">
        <v>749</v>
      </c>
      <c r="E52" s="1210">
        <f>'MATRIZ PLURIANUAL (2)'!E57</f>
        <v>340976439.83758301</v>
      </c>
      <c r="F52" s="1210">
        <f>'MATRIZ PLURIANUAL (2)'!F57</f>
        <v>0</v>
      </c>
      <c r="G52" s="1210">
        <f>'MATRIZ PLURIANUAL (2)'!G57</f>
        <v>0</v>
      </c>
      <c r="H52" s="1210">
        <f>'MATRIZ PLURIANUAL (2)'!H57</f>
        <v>0</v>
      </c>
      <c r="I52" s="1210">
        <f>'MATRIZ PLURIANUAL (2)'!I57</f>
        <v>2478315136.0799999</v>
      </c>
      <c r="J52" s="1210">
        <f>'MATRIZ PLURIANUAL (2)'!J57</f>
        <v>0</v>
      </c>
      <c r="K52" s="1210">
        <f>'MATRIZ PLURIANUAL (2)'!K57</f>
        <v>23244894.329999998</v>
      </c>
      <c r="L52" s="1210">
        <f>'MATRIZ PLURIANUAL (2)'!L57</f>
        <v>2842536470.2475829</v>
      </c>
      <c r="M52" s="1210">
        <f t="shared" si="0"/>
        <v>2842536470.2475829</v>
      </c>
      <c r="N52" s="1211">
        <v>2E-3</v>
      </c>
      <c r="O52" s="1210">
        <f>'MATRIZ PLURIANUAL (2)'!N57</f>
        <v>100000000</v>
      </c>
      <c r="P52" s="1210">
        <f>'MATRIZ PLURIANUAL (2)'!O57</f>
        <v>0</v>
      </c>
      <c r="Q52" s="1210">
        <f>'MATRIZ PLURIANUAL (2)'!P57</f>
        <v>0</v>
      </c>
      <c r="R52" s="1210">
        <f>'MATRIZ PLURIANUAL (2)'!Q57</f>
        <v>0</v>
      </c>
      <c r="S52" s="1210">
        <f>'MATRIZ PLURIANUAL (2)'!R57</f>
        <v>300000000</v>
      </c>
      <c r="T52" s="1210">
        <f>'MATRIZ PLURIANUAL (2)'!S57</f>
        <v>0</v>
      </c>
      <c r="U52" s="1210">
        <f>'MATRIZ PLURIANUAL (2)'!T57</f>
        <v>0</v>
      </c>
      <c r="V52" s="1210">
        <f>'MATRIZ PLURIANUAL (2)'!U57</f>
        <v>400000000</v>
      </c>
      <c r="W52" s="1210">
        <f>'MATRIZ PLURIANUAL (2)'!V57</f>
        <v>77335816.837099999</v>
      </c>
      <c r="X52" s="1210">
        <f>'MATRIZ PLURIANUAL (2)'!W57</f>
        <v>0</v>
      </c>
      <c r="Y52" s="1210">
        <f>'MATRIZ PLURIANUAL (2)'!X57</f>
        <v>0</v>
      </c>
      <c r="Z52" s="1210">
        <f>'MATRIZ PLURIANUAL (2)'!Y57</f>
        <v>0</v>
      </c>
      <c r="AA52" s="1210">
        <f>'MATRIZ PLURIANUAL (2)'!Z57</f>
        <v>741673066.03999996</v>
      </c>
      <c r="AB52" s="1210">
        <f>'MATRIZ PLURIANUAL (2)'!AA57</f>
        <v>0</v>
      </c>
      <c r="AC52" s="1210">
        <f>'MATRIZ PLURIANUAL (2)'!AB57</f>
        <v>10614107</v>
      </c>
      <c r="AD52" s="1210">
        <f>'MATRIZ PLURIANUAL (2)'!AC57</f>
        <v>829622989.87709999</v>
      </c>
      <c r="AE52" s="1210">
        <f>'MATRIZ PLURIANUAL (2)'!AD57</f>
        <v>80303978.900000006</v>
      </c>
      <c r="AF52" s="1210">
        <f>'MATRIZ PLURIANUAL (2)'!AE57</f>
        <v>0</v>
      </c>
      <c r="AG52" s="1210">
        <f>'MATRIZ PLURIANUAL (2)'!AF57</f>
        <v>0</v>
      </c>
      <c r="AH52" s="1210">
        <f>'MATRIZ PLURIANUAL (2)'!AG57</f>
        <v>0</v>
      </c>
      <c r="AI52" s="1210">
        <f>'MATRIZ PLURIANUAL (2)'!AH57</f>
        <v>713008408.34000003</v>
      </c>
      <c r="AJ52" s="1210">
        <f>'MATRIZ PLURIANUAL (2)'!AI57</f>
        <v>0</v>
      </c>
      <c r="AK52" s="1210">
        <f>'MATRIZ PLURIANUAL (2)'!AJ57</f>
        <v>7429874.9000000004</v>
      </c>
      <c r="AL52" s="1210">
        <f>'MATRIZ PLURIANUAL (2)'!AK57</f>
        <v>800742262.13999999</v>
      </c>
      <c r="AM52" s="1210">
        <f>'MATRIZ PLURIANUAL (2)'!AL57</f>
        <v>83336644.100483</v>
      </c>
      <c r="AN52" s="1210">
        <f>'MATRIZ PLURIANUAL (2)'!AM57</f>
        <v>0</v>
      </c>
      <c r="AO52" s="1210">
        <f>'MATRIZ PLURIANUAL (2)'!AN57</f>
        <v>0</v>
      </c>
      <c r="AP52" s="1210">
        <f>'MATRIZ PLURIANUAL (2)'!AO57</f>
        <v>0</v>
      </c>
      <c r="AQ52" s="1210">
        <f>'MATRIZ PLURIANUAL (2)'!AP57</f>
        <v>723633661.70000005</v>
      </c>
      <c r="AR52" s="1210">
        <f>'MATRIZ PLURIANUAL (2)'!AQ57</f>
        <v>0</v>
      </c>
      <c r="AS52" s="1210">
        <f>'MATRIZ PLURIANUAL (2)'!AR57</f>
        <v>5200912.43</v>
      </c>
      <c r="AT52" s="1212">
        <f>'MATRIZ PLURIANUAL (2)'!AS57</f>
        <v>812171218.23048294</v>
      </c>
      <c r="AU52" s="1135"/>
    </row>
    <row r="53" spans="1:47" s="1030" customFormat="1" ht="315" customHeight="1">
      <c r="A53" s="1134"/>
      <c r="B53" s="1548"/>
      <c r="C53" s="1545" t="s">
        <v>139</v>
      </c>
      <c r="D53" s="1155" t="s">
        <v>750</v>
      </c>
      <c r="E53" s="1511">
        <f>'MATRIZ PLURIANUAL (2)'!E59</f>
        <v>631952879.67516601</v>
      </c>
      <c r="F53" s="1511">
        <f>'MATRIZ PLURIANUAL (2)'!F59</f>
        <v>0</v>
      </c>
      <c r="G53" s="1511">
        <f>'MATRIZ PLURIANUAL (2)'!G59</f>
        <v>0</v>
      </c>
      <c r="H53" s="1511">
        <f>'MATRIZ PLURIANUAL (2)'!H59</f>
        <v>0</v>
      </c>
      <c r="I53" s="1511">
        <f>'MATRIZ PLURIANUAL (2)'!I59</f>
        <v>4656630272.1599998</v>
      </c>
      <c r="J53" s="1511">
        <f>'MATRIZ PLURIANUAL (2)'!J59</f>
        <v>0</v>
      </c>
      <c r="K53" s="1511">
        <f>'MATRIZ PLURIANUAL (2)'!K59</f>
        <v>46489788.659999996</v>
      </c>
      <c r="L53" s="1511">
        <f>'MATRIZ PLURIANUAL (2)'!L59</f>
        <v>5335072940.4951658</v>
      </c>
      <c r="M53" s="1511">
        <f t="shared" si="0"/>
        <v>5335072940.4951658</v>
      </c>
      <c r="N53" s="1519">
        <v>4.0000000000000001E-3</v>
      </c>
      <c r="O53" s="1511">
        <f>'MATRIZ PLURIANUAL (2)'!N59</f>
        <v>150000000</v>
      </c>
      <c r="P53" s="1511">
        <f>'MATRIZ PLURIANUAL (2)'!O59</f>
        <v>0</v>
      </c>
      <c r="Q53" s="1511">
        <f>'MATRIZ PLURIANUAL (2)'!P59</f>
        <v>0</v>
      </c>
      <c r="R53" s="1511">
        <f>'MATRIZ PLURIANUAL (2)'!Q59</f>
        <v>0</v>
      </c>
      <c r="S53" s="1511">
        <f>'MATRIZ PLURIANUAL (2)'!R59</f>
        <v>300000000</v>
      </c>
      <c r="T53" s="1511">
        <f>'MATRIZ PLURIANUAL (2)'!S59</f>
        <v>0</v>
      </c>
      <c r="U53" s="1511">
        <f>'MATRIZ PLURIANUAL (2)'!T59</f>
        <v>0</v>
      </c>
      <c r="V53" s="1511">
        <f>'MATRIZ PLURIANUAL (2)'!U59</f>
        <v>450000000</v>
      </c>
      <c r="W53" s="1511">
        <f>'MATRIZ PLURIANUAL (2)'!V59</f>
        <v>154671633.6742</v>
      </c>
      <c r="X53" s="1511">
        <f>'MATRIZ PLURIANUAL (2)'!W59</f>
        <v>0</v>
      </c>
      <c r="Y53" s="1511">
        <f>'MATRIZ PLURIANUAL (2)'!X59</f>
        <v>0</v>
      </c>
      <c r="Z53" s="1511">
        <f>'MATRIZ PLURIANUAL (2)'!Y59</f>
        <v>0</v>
      </c>
      <c r="AA53" s="1511">
        <f>'MATRIZ PLURIANUAL (2)'!Z59</f>
        <v>1483346132.0799999</v>
      </c>
      <c r="AB53" s="1511">
        <f>'MATRIZ PLURIANUAL (2)'!AA59</f>
        <v>0</v>
      </c>
      <c r="AC53" s="1511">
        <f>'MATRIZ PLURIANUAL (2)'!AB59</f>
        <v>21228214</v>
      </c>
      <c r="AD53" s="1511">
        <f>'MATRIZ PLURIANUAL (2)'!AC59</f>
        <v>1659245979.7542</v>
      </c>
      <c r="AE53" s="1511">
        <f>'MATRIZ PLURIANUAL (2)'!AD59</f>
        <v>160607957.80000001</v>
      </c>
      <c r="AF53" s="1511">
        <f>'MATRIZ PLURIANUAL (2)'!AE59</f>
        <v>0</v>
      </c>
      <c r="AG53" s="1511">
        <f>'MATRIZ PLURIANUAL (2)'!AF59</f>
        <v>0</v>
      </c>
      <c r="AH53" s="1511">
        <f>'MATRIZ PLURIANUAL (2)'!AG59</f>
        <v>0</v>
      </c>
      <c r="AI53" s="1511">
        <f>'MATRIZ PLURIANUAL (2)'!AH59</f>
        <v>1426016816.6800001</v>
      </c>
      <c r="AJ53" s="1511">
        <f>'MATRIZ PLURIANUAL (2)'!AI59</f>
        <v>0</v>
      </c>
      <c r="AK53" s="1511">
        <f>'MATRIZ PLURIANUAL (2)'!AJ59</f>
        <v>14859749.800000001</v>
      </c>
      <c r="AL53" s="1511">
        <f>'MATRIZ PLURIANUAL (2)'!AK59</f>
        <v>1601484524.28</v>
      </c>
      <c r="AM53" s="1511">
        <f>'MATRIZ PLURIANUAL (2)'!AL59</f>
        <v>166673288.200966</v>
      </c>
      <c r="AN53" s="1511">
        <f>'MATRIZ PLURIANUAL (2)'!AM59</f>
        <v>0</v>
      </c>
      <c r="AO53" s="1511">
        <f>'MATRIZ PLURIANUAL (2)'!AN59</f>
        <v>0</v>
      </c>
      <c r="AP53" s="1511">
        <f>'MATRIZ PLURIANUAL (2)'!AO59</f>
        <v>0</v>
      </c>
      <c r="AQ53" s="1511">
        <f>'MATRIZ PLURIANUAL (2)'!AP59</f>
        <v>1447267323.4000001</v>
      </c>
      <c r="AR53" s="1511">
        <f>'MATRIZ PLURIANUAL (2)'!AQ59</f>
        <v>0</v>
      </c>
      <c r="AS53" s="1511">
        <f>'MATRIZ PLURIANUAL (2)'!AR59</f>
        <v>10401824.859999999</v>
      </c>
      <c r="AT53" s="1515">
        <f>'MATRIZ PLURIANUAL (2)'!AS59</f>
        <v>1624342436.4609659</v>
      </c>
      <c r="AU53" s="1135"/>
    </row>
    <row r="54" spans="1:47" s="1030" customFormat="1" ht="315" customHeight="1">
      <c r="A54" s="1134"/>
      <c r="B54" s="1548"/>
      <c r="C54" s="1546"/>
      <c r="D54" s="1155" t="s">
        <v>751</v>
      </c>
      <c r="E54" s="1512"/>
      <c r="F54" s="1512"/>
      <c r="G54" s="1512"/>
      <c r="H54" s="1512"/>
      <c r="I54" s="1512"/>
      <c r="J54" s="1512"/>
      <c r="K54" s="1512"/>
      <c r="L54" s="1512"/>
      <c r="M54" s="1512">
        <f t="shared" si="0"/>
        <v>0</v>
      </c>
      <c r="N54" s="1521"/>
      <c r="O54" s="1512"/>
      <c r="P54" s="1512"/>
      <c r="Q54" s="1512"/>
      <c r="R54" s="1512"/>
      <c r="S54" s="1512"/>
      <c r="T54" s="1512"/>
      <c r="U54" s="1512"/>
      <c r="V54" s="1512"/>
      <c r="W54" s="1512"/>
      <c r="X54" s="1512"/>
      <c r="Y54" s="1512"/>
      <c r="Z54" s="1512"/>
      <c r="AA54" s="1512"/>
      <c r="AB54" s="1512"/>
      <c r="AC54" s="1512"/>
      <c r="AD54" s="1512"/>
      <c r="AE54" s="1512"/>
      <c r="AF54" s="1512"/>
      <c r="AG54" s="1512"/>
      <c r="AH54" s="1512"/>
      <c r="AI54" s="1512"/>
      <c r="AJ54" s="1512"/>
      <c r="AK54" s="1512"/>
      <c r="AL54" s="1512"/>
      <c r="AM54" s="1512"/>
      <c r="AN54" s="1512"/>
      <c r="AO54" s="1512"/>
      <c r="AP54" s="1512"/>
      <c r="AQ54" s="1512"/>
      <c r="AR54" s="1512"/>
      <c r="AS54" s="1512"/>
      <c r="AT54" s="1517"/>
      <c r="AU54" s="1135"/>
    </row>
    <row r="55" spans="1:47" s="1030" customFormat="1" ht="315" customHeight="1">
      <c r="A55" s="1134"/>
      <c r="B55" s="1548"/>
      <c r="C55" s="1166" t="s">
        <v>140</v>
      </c>
      <c r="D55" s="1155" t="s">
        <v>752</v>
      </c>
      <c r="E55" s="1210">
        <f>'MATRIZ PLURIANUAL (2)'!E61</f>
        <v>330976439.83758301</v>
      </c>
      <c r="F55" s="1210">
        <f>'MATRIZ PLURIANUAL (2)'!F61</f>
        <v>0</v>
      </c>
      <c r="G55" s="1210">
        <f>'MATRIZ PLURIANUAL (2)'!G61</f>
        <v>0</v>
      </c>
      <c r="H55" s="1210">
        <f>'MATRIZ PLURIANUAL (2)'!H61</f>
        <v>0</v>
      </c>
      <c r="I55" s="1210">
        <f>'MATRIZ PLURIANUAL (2)'!I61</f>
        <v>2478315136.0799999</v>
      </c>
      <c r="J55" s="1210">
        <f>'MATRIZ PLURIANUAL (2)'!J61</f>
        <v>0</v>
      </c>
      <c r="K55" s="1210">
        <f>'MATRIZ PLURIANUAL (2)'!K61</f>
        <v>23244894.329999998</v>
      </c>
      <c r="L55" s="1210">
        <f>'MATRIZ PLURIANUAL (2)'!L61</f>
        <v>2832536470.2475829</v>
      </c>
      <c r="M55" s="1210">
        <f t="shared" si="0"/>
        <v>2832536470.2475829</v>
      </c>
      <c r="N55" s="1211">
        <v>2E-3</v>
      </c>
      <c r="O55" s="1210">
        <f>'MATRIZ PLURIANUAL (2)'!N61</f>
        <v>90000000</v>
      </c>
      <c r="P55" s="1210">
        <f>'MATRIZ PLURIANUAL (2)'!O61</f>
        <v>0</v>
      </c>
      <c r="Q55" s="1210">
        <f>'MATRIZ PLURIANUAL (2)'!P61</f>
        <v>0</v>
      </c>
      <c r="R55" s="1210">
        <f>'MATRIZ PLURIANUAL (2)'!Q61</f>
        <v>0</v>
      </c>
      <c r="S55" s="1210">
        <f>'MATRIZ PLURIANUAL (2)'!R61</f>
        <v>300000000</v>
      </c>
      <c r="T55" s="1210">
        <f>'MATRIZ PLURIANUAL (2)'!S61</f>
        <v>0</v>
      </c>
      <c r="U55" s="1210">
        <f>'MATRIZ PLURIANUAL (2)'!T61</f>
        <v>0</v>
      </c>
      <c r="V55" s="1210">
        <f>'MATRIZ PLURIANUAL (2)'!U61</f>
        <v>390000000</v>
      </c>
      <c r="W55" s="1210">
        <f>'MATRIZ PLURIANUAL (2)'!V61</f>
        <v>77335816.837099999</v>
      </c>
      <c r="X55" s="1210">
        <f>'MATRIZ PLURIANUAL (2)'!W61</f>
        <v>0</v>
      </c>
      <c r="Y55" s="1210">
        <f>'MATRIZ PLURIANUAL (2)'!X61</f>
        <v>0</v>
      </c>
      <c r="Z55" s="1210">
        <f>'MATRIZ PLURIANUAL (2)'!Y61</f>
        <v>0</v>
      </c>
      <c r="AA55" s="1210">
        <f>'MATRIZ PLURIANUAL (2)'!Z61</f>
        <v>741673066.03999996</v>
      </c>
      <c r="AB55" s="1210">
        <f>'MATRIZ PLURIANUAL (2)'!AA61</f>
        <v>0</v>
      </c>
      <c r="AC55" s="1210">
        <f>'MATRIZ PLURIANUAL (2)'!AB61</f>
        <v>10614107</v>
      </c>
      <c r="AD55" s="1210">
        <f>'MATRIZ PLURIANUAL (2)'!AC61</f>
        <v>829622989.87709999</v>
      </c>
      <c r="AE55" s="1210">
        <f>'MATRIZ PLURIANUAL (2)'!AD61</f>
        <v>80303978.900000006</v>
      </c>
      <c r="AF55" s="1210">
        <f>'MATRIZ PLURIANUAL (2)'!AE61</f>
        <v>0</v>
      </c>
      <c r="AG55" s="1210">
        <f>'MATRIZ PLURIANUAL (2)'!AF61</f>
        <v>0</v>
      </c>
      <c r="AH55" s="1210">
        <f>'MATRIZ PLURIANUAL (2)'!AG61</f>
        <v>0</v>
      </c>
      <c r="AI55" s="1210">
        <f>'MATRIZ PLURIANUAL (2)'!AH61</f>
        <v>713008408.34000003</v>
      </c>
      <c r="AJ55" s="1210">
        <f>'MATRIZ PLURIANUAL (2)'!AI61</f>
        <v>0</v>
      </c>
      <c r="AK55" s="1210">
        <f>'MATRIZ PLURIANUAL (2)'!AJ61</f>
        <v>7429874.9000000004</v>
      </c>
      <c r="AL55" s="1210">
        <f>'MATRIZ PLURIANUAL (2)'!AK61</f>
        <v>800742262.13999999</v>
      </c>
      <c r="AM55" s="1210">
        <f>'MATRIZ PLURIANUAL (2)'!AL61</f>
        <v>83336644.100483</v>
      </c>
      <c r="AN55" s="1210">
        <f>'MATRIZ PLURIANUAL (2)'!AM61</f>
        <v>0</v>
      </c>
      <c r="AO55" s="1210">
        <f>'MATRIZ PLURIANUAL (2)'!AN61</f>
        <v>0</v>
      </c>
      <c r="AP55" s="1210">
        <f>'MATRIZ PLURIANUAL (2)'!AO61</f>
        <v>0</v>
      </c>
      <c r="AQ55" s="1210">
        <f>'MATRIZ PLURIANUAL (2)'!AP61</f>
        <v>723633661.70000005</v>
      </c>
      <c r="AR55" s="1210">
        <f>'MATRIZ PLURIANUAL (2)'!AQ61</f>
        <v>0</v>
      </c>
      <c r="AS55" s="1210">
        <f>'MATRIZ PLURIANUAL (2)'!AR61</f>
        <v>5200912.43</v>
      </c>
      <c r="AT55" s="1212">
        <f>'MATRIZ PLURIANUAL (2)'!AS61</f>
        <v>812171218.23048294</v>
      </c>
      <c r="AU55" s="1135"/>
    </row>
    <row r="56" spans="1:47" s="1030" customFormat="1" ht="315" customHeight="1">
      <c r="A56" s="1134"/>
      <c r="B56" s="1548"/>
      <c r="C56" s="1166" t="s">
        <v>141</v>
      </c>
      <c r="D56" s="1155" t="s">
        <v>753</v>
      </c>
      <c r="E56" s="1210">
        <f>'MATRIZ PLURIANUAL (2)'!E63</f>
        <v>571952879.67516601</v>
      </c>
      <c r="F56" s="1210">
        <f>'MATRIZ PLURIANUAL (2)'!F63</f>
        <v>0</v>
      </c>
      <c r="G56" s="1210">
        <f>'MATRIZ PLURIANUAL (2)'!G63</f>
        <v>0</v>
      </c>
      <c r="H56" s="1210">
        <f>'MATRIZ PLURIANUAL (2)'!H63</f>
        <v>0</v>
      </c>
      <c r="I56" s="1210">
        <f>'MATRIZ PLURIANUAL (2)'!I63</f>
        <v>4556630272.1599998</v>
      </c>
      <c r="J56" s="1210">
        <f>'MATRIZ PLURIANUAL (2)'!J63</f>
        <v>0</v>
      </c>
      <c r="K56" s="1210">
        <f>'MATRIZ PLURIANUAL (2)'!K63</f>
        <v>46489788.659999996</v>
      </c>
      <c r="L56" s="1210">
        <f>'MATRIZ PLURIANUAL (2)'!L63</f>
        <v>5175072940.4951658</v>
      </c>
      <c r="M56" s="1210">
        <f t="shared" si="0"/>
        <v>5175072940.4951658</v>
      </c>
      <c r="N56" s="1211">
        <v>4.0000000000000001E-3</v>
      </c>
      <c r="O56" s="1210">
        <f>'MATRIZ PLURIANUAL (2)'!N63</f>
        <v>90000000</v>
      </c>
      <c r="P56" s="1210">
        <f>'MATRIZ PLURIANUAL (2)'!O63</f>
        <v>0</v>
      </c>
      <c r="Q56" s="1210">
        <f>'MATRIZ PLURIANUAL (2)'!P63</f>
        <v>0</v>
      </c>
      <c r="R56" s="1210">
        <f>'MATRIZ PLURIANUAL (2)'!Q63</f>
        <v>0</v>
      </c>
      <c r="S56" s="1210">
        <f>'MATRIZ PLURIANUAL (2)'!R63</f>
        <v>200000000</v>
      </c>
      <c r="T56" s="1210">
        <f>'MATRIZ PLURIANUAL (2)'!S63</f>
        <v>0</v>
      </c>
      <c r="U56" s="1210">
        <f>'MATRIZ PLURIANUAL (2)'!T63</f>
        <v>0</v>
      </c>
      <c r="V56" s="1210">
        <f>'MATRIZ PLURIANUAL (2)'!U63</f>
        <v>290000000</v>
      </c>
      <c r="W56" s="1210">
        <f>'MATRIZ PLURIANUAL (2)'!V63</f>
        <v>154671633.6742</v>
      </c>
      <c r="X56" s="1210">
        <f>'MATRIZ PLURIANUAL (2)'!W63</f>
        <v>0</v>
      </c>
      <c r="Y56" s="1210">
        <f>'MATRIZ PLURIANUAL (2)'!X63</f>
        <v>0</v>
      </c>
      <c r="Z56" s="1210">
        <f>'MATRIZ PLURIANUAL (2)'!Y63</f>
        <v>0</v>
      </c>
      <c r="AA56" s="1210">
        <f>'MATRIZ PLURIANUAL (2)'!Z63</f>
        <v>1483346132.0799999</v>
      </c>
      <c r="AB56" s="1210">
        <f>'MATRIZ PLURIANUAL (2)'!AA63</f>
        <v>0</v>
      </c>
      <c r="AC56" s="1210">
        <f>'MATRIZ PLURIANUAL (2)'!AB63</f>
        <v>21228214</v>
      </c>
      <c r="AD56" s="1210">
        <f>'MATRIZ PLURIANUAL (2)'!AC63</f>
        <v>1659245979.7542</v>
      </c>
      <c r="AE56" s="1210">
        <f>'MATRIZ PLURIANUAL (2)'!AD63</f>
        <v>160607957.80000001</v>
      </c>
      <c r="AF56" s="1210">
        <f>'MATRIZ PLURIANUAL (2)'!AE63</f>
        <v>0</v>
      </c>
      <c r="AG56" s="1210">
        <f>'MATRIZ PLURIANUAL (2)'!AF63</f>
        <v>0</v>
      </c>
      <c r="AH56" s="1210">
        <f>'MATRIZ PLURIANUAL (2)'!AG63</f>
        <v>0</v>
      </c>
      <c r="AI56" s="1210">
        <f>'MATRIZ PLURIANUAL (2)'!AH63</f>
        <v>1426016816.6800001</v>
      </c>
      <c r="AJ56" s="1210">
        <f>'MATRIZ PLURIANUAL (2)'!AI63</f>
        <v>0</v>
      </c>
      <c r="AK56" s="1210">
        <f>'MATRIZ PLURIANUAL (2)'!AJ63</f>
        <v>14859749.800000001</v>
      </c>
      <c r="AL56" s="1210">
        <f>'MATRIZ PLURIANUAL (2)'!AK63</f>
        <v>1601484524.28</v>
      </c>
      <c r="AM56" s="1210">
        <f>'MATRIZ PLURIANUAL (2)'!AL63</f>
        <v>166673288.200966</v>
      </c>
      <c r="AN56" s="1210">
        <f>'MATRIZ PLURIANUAL (2)'!AM63</f>
        <v>0</v>
      </c>
      <c r="AO56" s="1210">
        <f>'MATRIZ PLURIANUAL (2)'!AN63</f>
        <v>0</v>
      </c>
      <c r="AP56" s="1210">
        <f>'MATRIZ PLURIANUAL (2)'!AO63</f>
        <v>0</v>
      </c>
      <c r="AQ56" s="1210">
        <f>'MATRIZ PLURIANUAL (2)'!AP63</f>
        <v>1447267323.4000001</v>
      </c>
      <c r="AR56" s="1210">
        <f>'MATRIZ PLURIANUAL (2)'!AQ63</f>
        <v>0</v>
      </c>
      <c r="AS56" s="1210">
        <f>'MATRIZ PLURIANUAL (2)'!AR63</f>
        <v>10401824.859999999</v>
      </c>
      <c r="AT56" s="1212">
        <f>'MATRIZ PLURIANUAL (2)'!AS63</f>
        <v>1624342436.4609659</v>
      </c>
      <c r="AU56" s="1135"/>
    </row>
    <row r="57" spans="1:47" s="1030" customFormat="1" ht="315" customHeight="1">
      <c r="A57" s="1134"/>
      <c r="B57" s="1548"/>
      <c r="C57" s="1166" t="s">
        <v>142</v>
      </c>
      <c r="D57" s="1155" t="s">
        <v>754</v>
      </c>
      <c r="E57" s="1210">
        <f>'MATRIZ PLURIANUAL (2)'!E65</f>
        <v>240976439.83758301</v>
      </c>
      <c r="F57" s="1210">
        <f>'MATRIZ PLURIANUAL (2)'!F65</f>
        <v>7378278540</v>
      </c>
      <c r="G57" s="1210">
        <f>'MATRIZ PLURIANUAL (2)'!G65</f>
        <v>0</v>
      </c>
      <c r="H57" s="1210">
        <f>'MATRIZ PLURIANUAL (2)'!H65</f>
        <v>0</v>
      </c>
      <c r="I57" s="1210">
        <f>'MATRIZ PLURIANUAL (2)'!I65</f>
        <v>2178315136.0799999</v>
      </c>
      <c r="J57" s="1210">
        <f>'MATRIZ PLURIANUAL (2)'!J65</f>
        <v>0</v>
      </c>
      <c r="K57" s="1210">
        <f>'MATRIZ PLURIANUAL (2)'!K65</f>
        <v>23244894.329999998</v>
      </c>
      <c r="L57" s="1210">
        <f>'MATRIZ PLURIANUAL (2)'!L65</f>
        <v>9820815010.2475834</v>
      </c>
      <c r="M57" s="1210">
        <f t="shared" si="0"/>
        <v>9820815010.2475834</v>
      </c>
      <c r="N57" s="1211">
        <v>7.0000000000000001E-3</v>
      </c>
      <c r="O57" s="1210">
        <f>'MATRIZ PLURIANUAL (2)'!N65</f>
        <v>0</v>
      </c>
      <c r="P57" s="1210">
        <f>'MATRIZ PLURIANUAL (2)'!O65</f>
        <v>2924606000</v>
      </c>
      <c r="Q57" s="1210">
        <f>'MATRIZ PLURIANUAL (2)'!P65</f>
        <v>0</v>
      </c>
      <c r="R57" s="1210">
        <f>'MATRIZ PLURIANUAL (2)'!Q65</f>
        <v>0</v>
      </c>
      <c r="S57" s="1210">
        <f>'MATRIZ PLURIANUAL (2)'!R65</f>
        <v>0</v>
      </c>
      <c r="T57" s="1210">
        <f>'MATRIZ PLURIANUAL (2)'!S65</f>
        <v>0</v>
      </c>
      <c r="U57" s="1210">
        <f>'MATRIZ PLURIANUAL (2)'!T65</f>
        <v>0</v>
      </c>
      <c r="V57" s="1210">
        <f>'MATRIZ PLURIANUAL (2)'!U65</f>
        <v>2924606000</v>
      </c>
      <c r="W57" s="1210">
        <f>'MATRIZ PLURIANUAL (2)'!V65</f>
        <v>77335816.837099999</v>
      </c>
      <c r="X57" s="1210">
        <f>'MATRIZ PLURIANUAL (2)'!W65</f>
        <v>1640600000</v>
      </c>
      <c r="Y57" s="1210">
        <f>'MATRIZ PLURIANUAL (2)'!X65</f>
        <v>0</v>
      </c>
      <c r="Z57" s="1210">
        <f>'MATRIZ PLURIANUAL (2)'!Y65</f>
        <v>0</v>
      </c>
      <c r="AA57" s="1210">
        <f>'MATRIZ PLURIANUAL (2)'!Z65</f>
        <v>741673066.03999996</v>
      </c>
      <c r="AB57" s="1210">
        <f>'MATRIZ PLURIANUAL (2)'!AA65</f>
        <v>0</v>
      </c>
      <c r="AC57" s="1210">
        <f>'MATRIZ PLURIANUAL (2)'!AB65</f>
        <v>10614107</v>
      </c>
      <c r="AD57" s="1210">
        <f>'MATRIZ PLURIANUAL (2)'!AC65</f>
        <v>2470222989.8771</v>
      </c>
      <c r="AE57" s="1210">
        <f>'MATRIZ PLURIANUAL (2)'!AD65</f>
        <v>80303978.900000006</v>
      </c>
      <c r="AF57" s="1210">
        <f>'MATRIZ PLURIANUAL (2)'!AE65</f>
        <v>1479218000</v>
      </c>
      <c r="AG57" s="1210">
        <f>'MATRIZ PLURIANUAL (2)'!AF65</f>
        <v>0</v>
      </c>
      <c r="AH57" s="1210">
        <f>'MATRIZ PLURIANUAL (2)'!AG65</f>
        <v>0</v>
      </c>
      <c r="AI57" s="1210">
        <f>'MATRIZ PLURIANUAL (2)'!AH65</f>
        <v>713008408.34000003</v>
      </c>
      <c r="AJ57" s="1210">
        <f>'MATRIZ PLURIANUAL (2)'!AI65</f>
        <v>0</v>
      </c>
      <c r="AK57" s="1210">
        <f>'MATRIZ PLURIANUAL (2)'!AJ65</f>
        <v>7429874.9000000004</v>
      </c>
      <c r="AL57" s="1210">
        <f>'MATRIZ PLURIANUAL (2)'!AK65</f>
        <v>2279960262.1400003</v>
      </c>
      <c r="AM57" s="1210">
        <f>'MATRIZ PLURIANUAL (2)'!AL65</f>
        <v>83336644.100483</v>
      </c>
      <c r="AN57" s="1210">
        <f>'MATRIZ PLURIANUAL (2)'!AM65</f>
        <v>1333854540</v>
      </c>
      <c r="AO57" s="1210">
        <f>'MATRIZ PLURIANUAL (2)'!AN65</f>
        <v>0</v>
      </c>
      <c r="AP57" s="1210">
        <f>'MATRIZ PLURIANUAL (2)'!AO65</f>
        <v>0</v>
      </c>
      <c r="AQ57" s="1210">
        <f>'MATRIZ PLURIANUAL (2)'!AP65</f>
        <v>723633661.70000005</v>
      </c>
      <c r="AR57" s="1210">
        <f>'MATRIZ PLURIANUAL (2)'!AQ65</f>
        <v>0</v>
      </c>
      <c r="AS57" s="1210">
        <f>'MATRIZ PLURIANUAL (2)'!AR65</f>
        <v>5200912.43</v>
      </c>
      <c r="AT57" s="1212">
        <f>'MATRIZ PLURIANUAL (2)'!AS65</f>
        <v>2146025758.2304831</v>
      </c>
      <c r="AU57" s="1135"/>
    </row>
    <row r="58" spans="1:47" s="1030" customFormat="1" ht="315" customHeight="1">
      <c r="A58" s="1134"/>
      <c r="B58" s="1548"/>
      <c r="C58" s="1545" t="s">
        <v>143</v>
      </c>
      <c r="D58" s="1155" t="s">
        <v>755</v>
      </c>
      <c r="E58" s="1511">
        <f>'MATRIZ PLURIANUAL (2)'!E67</f>
        <v>451464659.75637442</v>
      </c>
      <c r="F58" s="1511">
        <f>'MATRIZ PLURIANUAL (2)'!F67</f>
        <v>400000000</v>
      </c>
      <c r="G58" s="1511">
        <f>'MATRIZ PLURIANUAL (2)'!G67</f>
        <v>0</v>
      </c>
      <c r="H58" s="1511">
        <f>'MATRIZ PLURIANUAL (2)'!H67</f>
        <v>0</v>
      </c>
      <c r="I58" s="1511">
        <f>'MATRIZ PLURIANUAL (2)'!I67</f>
        <v>4337472704.1199999</v>
      </c>
      <c r="J58" s="1511">
        <f>'MATRIZ PLURIANUAL (2)'!J67</f>
        <v>5529266605.1852999</v>
      </c>
      <c r="K58" s="1511">
        <f>'MATRIZ PLURIANUAL (2)'!K67</f>
        <v>34867341.495000005</v>
      </c>
      <c r="L58" s="1511">
        <f>'MATRIZ PLURIANUAL (2)'!L67</f>
        <v>10753071310.556675</v>
      </c>
      <c r="M58" s="1511">
        <f t="shared" si="0"/>
        <v>5223804705.3713741</v>
      </c>
      <c r="N58" s="1519">
        <v>4.0000000000000001E-3</v>
      </c>
      <c r="O58" s="1511">
        <f>'MATRIZ PLURIANUAL (2)'!N67</f>
        <v>90000000</v>
      </c>
      <c r="P58" s="1511">
        <f>'MATRIZ PLURIANUAL (2)'!O67</f>
        <v>100000000</v>
      </c>
      <c r="Q58" s="1511">
        <f>'MATRIZ PLURIANUAL (2)'!P67</f>
        <v>0</v>
      </c>
      <c r="R58" s="1511">
        <f>'MATRIZ PLURIANUAL (2)'!Q67</f>
        <v>0</v>
      </c>
      <c r="S58" s="1511">
        <f>'MATRIZ PLURIANUAL (2)'!R67</f>
        <v>1070000000</v>
      </c>
      <c r="T58" s="1511">
        <f>'MATRIZ PLURIANUAL (2)'!S67</f>
        <v>543071310.5553</v>
      </c>
      <c r="U58" s="1511">
        <f>'MATRIZ PLURIANUAL (2)'!T67</f>
        <v>0</v>
      </c>
      <c r="V58" s="1511">
        <f>'MATRIZ PLURIANUAL (2)'!U67</f>
        <v>1803071310.5553</v>
      </c>
      <c r="W58" s="1511">
        <f>'MATRIZ PLURIANUAL (2)'!V67</f>
        <v>116003725.25565</v>
      </c>
      <c r="X58" s="1511">
        <f>'MATRIZ PLURIANUAL (2)'!W67</f>
        <v>100000000</v>
      </c>
      <c r="Y58" s="1511">
        <f>'MATRIZ PLURIANUAL (2)'!X67</f>
        <v>0</v>
      </c>
      <c r="Z58" s="1511">
        <f>'MATRIZ PLURIANUAL (2)'!Y67</f>
        <v>0</v>
      </c>
      <c r="AA58" s="1511">
        <f>'MATRIZ PLURIANUAL (2)'!Z67</f>
        <v>1112509599.0599999</v>
      </c>
      <c r="AB58" s="1511">
        <f>'MATRIZ PLURIANUAL (2)'!AA67</f>
        <v>1705565515.1800001</v>
      </c>
      <c r="AC58" s="1511">
        <f>'MATRIZ PLURIANUAL (2)'!AB67</f>
        <v>15921160.5</v>
      </c>
      <c r="AD58" s="1511">
        <f>'MATRIZ PLURIANUAL (2)'!AC67</f>
        <v>3049999999.9956503</v>
      </c>
      <c r="AE58" s="1511">
        <f>'MATRIZ PLURIANUAL (2)'!AD67</f>
        <v>120455968.34999999</v>
      </c>
      <c r="AF58" s="1511">
        <f>'MATRIZ PLURIANUAL (2)'!AE67</f>
        <v>100000000</v>
      </c>
      <c r="AG58" s="1511">
        <f>'MATRIZ PLURIANUAL (2)'!AF67</f>
        <v>0</v>
      </c>
      <c r="AH58" s="1511">
        <f>'MATRIZ PLURIANUAL (2)'!AG67</f>
        <v>0</v>
      </c>
      <c r="AI58" s="1511">
        <f>'MATRIZ PLURIANUAL (2)'!AH67</f>
        <v>1069512612.51</v>
      </c>
      <c r="AJ58" s="1511">
        <f>'MATRIZ PLURIANUAL (2)'!AI67</f>
        <v>1598886606.79</v>
      </c>
      <c r="AK58" s="1511">
        <f>'MATRIZ PLURIANUAL (2)'!AJ67</f>
        <v>11144812.35</v>
      </c>
      <c r="AL58" s="1511">
        <f>'MATRIZ PLURIANUAL (2)'!AK67</f>
        <v>2899999999.9999995</v>
      </c>
      <c r="AM58" s="1511">
        <f>'MATRIZ PLURIANUAL (2)'!AL67</f>
        <v>125004966.15072449</v>
      </c>
      <c r="AN58" s="1511">
        <f>'MATRIZ PLURIANUAL (2)'!AM67</f>
        <v>100000000</v>
      </c>
      <c r="AO58" s="1511">
        <f>'MATRIZ PLURIANUAL (2)'!AN67</f>
        <v>0</v>
      </c>
      <c r="AP58" s="1511">
        <f>'MATRIZ PLURIANUAL (2)'!AO67</f>
        <v>0</v>
      </c>
      <c r="AQ58" s="1511">
        <f>'MATRIZ PLURIANUAL (2)'!AP67</f>
        <v>1085450492.55</v>
      </c>
      <c r="AR58" s="1511">
        <f>'MATRIZ PLURIANUAL (2)'!AQ67</f>
        <v>1681743172.6600001</v>
      </c>
      <c r="AS58" s="1511">
        <f>'MATRIZ PLURIANUAL (2)'!AR67</f>
        <v>7801368.6449999996</v>
      </c>
      <c r="AT58" s="1515">
        <f>'MATRIZ PLURIANUAL (2)'!AS67</f>
        <v>3000000000.0057244</v>
      </c>
      <c r="AU58" s="1135"/>
    </row>
    <row r="59" spans="1:47" s="1030" customFormat="1" ht="315" customHeight="1">
      <c r="A59" s="1134"/>
      <c r="B59" s="1548"/>
      <c r="C59" s="1550"/>
      <c r="D59" s="1155" t="s">
        <v>756</v>
      </c>
      <c r="E59" s="1513"/>
      <c r="F59" s="1513"/>
      <c r="G59" s="1513"/>
      <c r="H59" s="1513"/>
      <c r="I59" s="1513"/>
      <c r="J59" s="1513"/>
      <c r="K59" s="1513"/>
      <c r="L59" s="1513"/>
      <c r="M59" s="1513">
        <f t="shared" si="0"/>
        <v>0</v>
      </c>
      <c r="N59" s="1520"/>
      <c r="O59" s="1513"/>
      <c r="P59" s="1513"/>
      <c r="Q59" s="1513"/>
      <c r="R59" s="1513"/>
      <c r="S59" s="1513"/>
      <c r="T59" s="1513"/>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6"/>
      <c r="AU59" s="1135"/>
    </row>
    <row r="60" spans="1:47" s="1030" customFormat="1" ht="315" customHeight="1">
      <c r="A60" s="1134"/>
      <c r="B60" s="1548"/>
      <c r="C60" s="1550"/>
      <c r="D60" s="1155" t="s">
        <v>757</v>
      </c>
      <c r="E60" s="1513"/>
      <c r="F60" s="1513"/>
      <c r="G60" s="1513"/>
      <c r="H60" s="1513"/>
      <c r="I60" s="1513"/>
      <c r="J60" s="1513"/>
      <c r="K60" s="1513"/>
      <c r="L60" s="1513"/>
      <c r="M60" s="1513">
        <f t="shared" si="0"/>
        <v>0</v>
      </c>
      <c r="N60" s="1520"/>
      <c r="O60" s="1513"/>
      <c r="P60" s="1513"/>
      <c r="Q60" s="1513"/>
      <c r="R60" s="1513"/>
      <c r="S60" s="1513"/>
      <c r="T60" s="1513"/>
      <c r="U60" s="1513"/>
      <c r="V60" s="1513"/>
      <c r="W60" s="1513"/>
      <c r="X60" s="1513"/>
      <c r="Y60" s="1513"/>
      <c r="Z60" s="1513"/>
      <c r="AA60" s="1513"/>
      <c r="AB60" s="1513"/>
      <c r="AC60" s="1513"/>
      <c r="AD60" s="1513"/>
      <c r="AE60" s="1513"/>
      <c r="AF60" s="1513"/>
      <c r="AG60" s="1513"/>
      <c r="AH60" s="1513"/>
      <c r="AI60" s="1513"/>
      <c r="AJ60" s="1513"/>
      <c r="AK60" s="1513"/>
      <c r="AL60" s="1513"/>
      <c r="AM60" s="1513"/>
      <c r="AN60" s="1513"/>
      <c r="AO60" s="1513"/>
      <c r="AP60" s="1513"/>
      <c r="AQ60" s="1513"/>
      <c r="AR60" s="1513"/>
      <c r="AS60" s="1513"/>
      <c r="AT60" s="1516"/>
      <c r="AU60" s="1135"/>
    </row>
    <row r="61" spans="1:47" s="1030" customFormat="1" ht="315" customHeight="1">
      <c r="A61" s="1134"/>
      <c r="B61" s="1548"/>
      <c r="C61" s="1550"/>
      <c r="D61" s="1155" t="s">
        <v>758</v>
      </c>
      <c r="E61" s="1513"/>
      <c r="F61" s="1513"/>
      <c r="G61" s="1513"/>
      <c r="H61" s="1513"/>
      <c r="I61" s="1513"/>
      <c r="J61" s="1513"/>
      <c r="K61" s="1513"/>
      <c r="L61" s="1513"/>
      <c r="M61" s="1513">
        <f t="shared" si="0"/>
        <v>0</v>
      </c>
      <c r="N61" s="1520"/>
      <c r="O61" s="1513"/>
      <c r="P61" s="1513"/>
      <c r="Q61" s="1513"/>
      <c r="R61" s="1513"/>
      <c r="S61" s="1513"/>
      <c r="T61" s="1513"/>
      <c r="U61" s="1513"/>
      <c r="V61" s="1513"/>
      <c r="W61" s="1513"/>
      <c r="X61" s="1513"/>
      <c r="Y61" s="1513"/>
      <c r="Z61" s="1513"/>
      <c r="AA61" s="1513"/>
      <c r="AB61" s="1513"/>
      <c r="AC61" s="1513"/>
      <c r="AD61" s="1513"/>
      <c r="AE61" s="1513"/>
      <c r="AF61" s="1513"/>
      <c r="AG61" s="1513"/>
      <c r="AH61" s="1513"/>
      <c r="AI61" s="1513"/>
      <c r="AJ61" s="1513"/>
      <c r="AK61" s="1513"/>
      <c r="AL61" s="1513"/>
      <c r="AM61" s="1513"/>
      <c r="AN61" s="1513"/>
      <c r="AO61" s="1513"/>
      <c r="AP61" s="1513"/>
      <c r="AQ61" s="1513"/>
      <c r="AR61" s="1513"/>
      <c r="AS61" s="1513"/>
      <c r="AT61" s="1516"/>
      <c r="AU61" s="1135"/>
    </row>
    <row r="62" spans="1:47" s="1030" customFormat="1" ht="315" customHeight="1">
      <c r="A62" s="1134"/>
      <c r="B62" s="1548"/>
      <c r="C62" s="1550"/>
      <c r="D62" s="1155" t="s">
        <v>759</v>
      </c>
      <c r="E62" s="1513"/>
      <c r="F62" s="1513"/>
      <c r="G62" s="1513"/>
      <c r="H62" s="1513"/>
      <c r="I62" s="1513"/>
      <c r="J62" s="1513"/>
      <c r="K62" s="1513"/>
      <c r="L62" s="1513"/>
      <c r="M62" s="1513">
        <f t="shared" si="0"/>
        <v>0</v>
      </c>
      <c r="N62" s="1520"/>
      <c r="O62" s="1513"/>
      <c r="P62" s="1513"/>
      <c r="Q62" s="1513"/>
      <c r="R62" s="1513"/>
      <c r="S62" s="1513"/>
      <c r="T62" s="1513"/>
      <c r="U62" s="1513"/>
      <c r="V62" s="1513"/>
      <c r="W62" s="1513"/>
      <c r="X62" s="1513"/>
      <c r="Y62" s="1513"/>
      <c r="Z62" s="1513"/>
      <c r="AA62" s="1513"/>
      <c r="AB62" s="1513"/>
      <c r="AC62" s="1513"/>
      <c r="AD62" s="1513"/>
      <c r="AE62" s="1513"/>
      <c r="AF62" s="1513"/>
      <c r="AG62" s="1513"/>
      <c r="AH62" s="1513"/>
      <c r="AI62" s="1513"/>
      <c r="AJ62" s="1513"/>
      <c r="AK62" s="1513"/>
      <c r="AL62" s="1513"/>
      <c r="AM62" s="1513"/>
      <c r="AN62" s="1513"/>
      <c r="AO62" s="1513"/>
      <c r="AP62" s="1513"/>
      <c r="AQ62" s="1513"/>
      <c r="AR62" s="1513"/>
      <c r="AS62" s="1513"/>
      <c r="AT62" s="1516"/>
      <c r="AU62" s="1135"/>
    </row>
    <row r="63" spans="1:47" s="1030" customFormat="1" ht="315" customHeight="1">
      <c r="A63" s="1134"/>
      <c r="B63" s="1548"/>
      <c r="C63" s="1550"/>
      <c r="D63" s="1155" t="s">
        <v>760</v>
      </c>
      <c r="E63" s="1513"/>
      <c r="F63" s="1513"/>
      <c r="G63" s="1513"/>
      <c r="H63" s="1513"/>
      <c r="I63" s="1513"/>
      <c r="J63" s="1513"/>
      <c r="K63" s="1513"/>
      <c r="L63" s="1513"/>
      <c r="M63" s="1513">
        <f t="shared" si="0"/>
        <v>0</v>
      </c>
      <c r="N63" s="1520"/>
      <c r="O63" s="1513"/>
      <c r="P63" s="1513"/>
      <c r="Q63" s="1513"/>
      <c r="R63" s="1513"/>
      <c r="S63" s="1513"/>
      <c r="T63" s="1513"/>
      <c r="U63" s="1513"/>
      <c r="V63" s="1513"/>
      <c r="W63" s="1513"/>
      <c r="X63" s="1513"/>
      <c r="Y63" s="1513"/>
      <c r="Z63" s="1513"/>
      <c r="AA63" s="1513"/>
      <c r="AB63" s="1513"/>
      <c r="AC63" s="1513"/>
      <c r="AD63" s="1513"/>
      <c r="AE63" s="1513"/>
      <c r="AF63" s="1513"/>
      <c r="AG63" s="1513"/>
      <c r="AH63" s="1513"/>
      <c r="AI63" s="1513"/>
      <c r="AJ63" s="1513"/>
      <c r="AK63" s="1513"/>
      <c r="AL63" s="1513"/>
      <c r="AM63" s="1513"/>
      <c r="AN63" s="1513"/>
      <c r="AO63" s="1513"/>
      <c r="AP63" s="1513"/>
      <c r="AQ63" s="1513"/>
      <c r="AR63" s="1513"/>
      <c r="AS63" s="1513"/>
      <c r="AT63" s="1516"/>
      <c r="AU63" s="1135"/>
    </row>
    <row r="64" spans="1:47" s="1030" customFormat="1" ht="315" customHeight="1">
      <c r="A64" s="1134"/>
      <c r="B64" s="1548"/>
      <c r="C64" s="1550"/>
      <c r="D64" s="1155" t="s">
        <v>761</v>
      </c>
      <c r="E64" s="1513"/>
      <c r="F64" s="1513"/>
      <c r="G64" s="1513"/>
      <c r="H64" s="1513"/>
      <c r="I64" s="1513"/>
      <c r="J64" s="1513"/>
      <c r="K64" s="1513"/>
      <c r="L64" s="1513"/>
      <c r="M64" s="1513">
        <f t="shared" si="0"/>
        <v>0</v>
      </c>
      <c r="N64" s="1520"/>
      <c r="O64" s="1513"/>
      <c r="P64" s="1513"/>
      <c r="Q64" s="1513"/>
      <c r="R64" s="1513"/>
      <c r="S64" s="1513"/>
      <c r="T64" s="1513"/>
      <c r="U64" s="1513"/>
      <c r="V64" s="1513"/>
      <c r="W64" s="1513"/>
      <c r="X64" s="1513"/>
      <c r="Y64" s="1513"/>
      <c r="Z64" s="1513"/>
      <c r="AA64" s="1513"/>
      <c r="AB64" s="1513"/>
      <c r="AC64" s="1513"/>
      <c r="AD64" s="1513"/>
      <c r="AE64" s="1513"/>
      <c r="AF64" s="1513"/>
      <c r="AG64" s="1513"/>
      <c r="AH64" s="1513"/>
      <c r="AI64" s="1513"/>
      <c r="AJ64" s="1513"/>
      <c r="AK64" s="1513"/>
      <c r="AL64" s="1513"/>
      <c r="AM64" s="1513"/>
      <c r="AN64" s="1513"/>
      <c r="AO64" s="1513"/>
      <c r="AP64" s="1513"/>
      <c r="AQ64" s="1513"/>
      <c r="AR64" s="1513"/>
      <c r="AS64" s="1513"/>
      <c r="AT64" s="1516"/>
      <c r="AU64" s="1135"/>
    </row>
    <row r="65" spans="1:47" s="1030" customFormat="1" ht="315" customHeight="1">
      <c r="A65" s="1134"/>
      <c r="B65" s="1548"/>
      <c r="C65" s="1550"/>
      <c r="D65" s="1155" t="s">
        <v>762</v>
      </c>
      <c r="E65" s="1513"/>
      <c r="F65" s="1513"/>
      <c r="G65" s="1513"/>
      <c r="H65" s="1513"/>
      <c r="I65" s="1513"/>
      <c r="J65" s="1513"/>
      <c r="K65" s="1513"/>
      <c r="L65" s="1513"/>
      <c r="M65" s="1513">
        <f t="shared" si="0"/>
        <v>0</v>
      </c>
      <c r="N65" s="1520"/>
      <c r="O65" s="1513"/>
      <c r="P65" s="1513"/>
      <c r="Q65" s="1513"/>
      <c r="R65" s="1513"/>
      <c r="S65" s="1513"/>
      <c r="T65" s="1513"/>
      <c r="U65" s="1513"/>
      <c r="V65" s="1513"/>
      <c r="W65" s="1513"/>
      <c r="X65" s="1513"/>
      <c r="Y65" s="1513"/>
      <c r="Z65" s="1513"/>
      <c r="AA65" s="1513"/>
      <c r="AB65" s="1513"/>
      <c r="AC65" s="1513"/>
      <c r="AD65" s="1513"/>
      <c r="AE65" s="1513"/>
      <c r="AF65" s="1513"/>
      <c r="AG65" s="1513"/>
      <c r="AH65" s="1513"/>
      <c r="AI65" s="1513"/>
      <c r="AJ65" s="1513"/>
      <c r="AK65" s="1513"/>
      <c r="AL65" s="1513"/>
      <c r="AM65" s="1513"/>
      <c r="AN65" s="1513"/>
      <c r="AO65" s="1513"/>
      <c r="AP65" s="1513"/>
      <c r="AQ65" s="1513"/>
      <c r="AR65" s="1513"/>
      <c r="AS65" s="1513"/>
      <c r="AT65" s="1516"/>
      <c r="AU65" s="1135"/>
    </row>
    <row r="66" spans="1:47" s="1030" customFormat="1" ht="315" customHeight="1">
      <c r="A66" s="1134"/>
      <c r="B66" s="1548"/>
      <c r="C66" s="1546"/>
      <c r="D66" s="1155" t="s">
        <v>763</v>
      </c>
      <c r="E66" s="1512"/>
      <c r="F66" s="1512"/>
      <c r="G66" s="1512"/>
      <c r="H66" s="1512"/>
      <c r="I66" s="1512"/>
      <c r="J66" s="1512"/>
      <c r="K66" s="1512"/>
      <c r="L66" s="1512"/>
      <c r="M66" s="1512">
        <f t="shared" si="0"/>
        <v>0</v>
      </c>
      <c r="N66" s="1521"/>
      <c r="O66" s="1512"/>
      <c r="P66" s="1512"/>
      <c r="Q66" s="1512"/>
      <c r="R66" s="1512"/>
      <c r="S66" s="1512"/>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7"/>
      <c r="AU66" s="1135"/>
    </row>
    <row r="67" spans="1:47" s="1030" customFormat="1" ht="315" customHeight="1">
      <c r="A67" s="1134"/>
      <c r="B67" s="1548"/>
      <c r="C67" s="1545" t="s">
        <v>144</v>
      </c>
      <c r="D67" s="1155" t="s">
        <v>764</v>
      </c>
      <c r="E67" s="1511">
        <f>'MATRIZ PLURIANUAL (2)'!E72</f>
        <v>751952879.67516601</v>
      </c>
      <c r="F67" s="1511">
        <f>'MATRIZ PLURIANUAL (2)'!F72</f>
        <v>14388904640</v>
      </c>
      <c r="G67" s="1511">
        <f>'MATRIZ PLURIANUAL (2)'!G72</f>
        <v>0</v>
      </c>
      <c r="H67" s="1511">
        <f>'MATRIZ PLURIANUAL (2)'!H72</f>
        <v>0</v>
      </c>
      <c r="I67" s="1511">
        <f>'MATRIZ PLURIANUAL (2)'!I72</f>
        <v>12996141141.609999</v>
      </c>
      <c r="J67" s="1511">
        <f>'MATRIZ PLURIANUAL (2)'!J72</f>
        <v>4705000000</v>
      </c>
      <c r="K67" s="1511">
        <f>'MATRIZ PLURIANUAL (2)'!K72</f>
        <v>46489788.659999996</v>
      </c>
      <c r="L67" s="1511">
        <f>'MATRIZ PLURIANUAL (2)'!L72</f>
        <v>32888488449.945164</v>
      </c>
      <c r="M67" s="1511">
        <f t="shared" si="0"/>
        <v>28183488449.945164</v>
      </c>
      <c r="N67" s="1519">
        <v>2.3E-2</v>
      </c>
      <c r="O67" s="1511">
        <f>'MATRIZ PLURIANUAL (2)'!N72</f>
        <v>270000000</v>
      </c>
      <c r="P67" s="1511">
        <f>'MATRIZ PLURIANUAL (2)'!O72</f>
        <v>3597226160</v>
      </c>
      <c r="Q67" s="1511">
        <f>'MATRIZ PLURIANUAL (2)'!P72</f>
        <v>0</v>
      </c>
      <c r="R67" s="1511">
        <f>'MATRIZ PLURIANUAL (2)'!Q72</f>
        <v>0</v>
      </c>
      <c r="S67" s="1511">
        <f>'MATRIZ PLURIANUAL (2)'!R72</f>
        <v>2842799257.4499998</v>
      </c>
      <c r="T67" s="1511">
        <f>'MATRIZ PLURIANUAL (2)'!S72</f>
        <v>130000000</v>
      </c>
      <c r="U67" s="1511">
        <f>'MATRIZ PLURIANUAL (2)'!T72</f>
        <v>0</v>
      </c>
      <c r="V67" s="1511">
        <f>'MATRIZ PLURIANUAL (2)'!U72</f>
        <v>6840025417.4499998</v>
      </c>
      <c r="W67" s="1511">
        <f>'MATRIZ PLURIANUAL (2)'!V72</f>
        <v>154671633.6742</v>
      </c>
      <c r="X67" s="1511">
        <f>'MATRIZ PLURIANUAL (2)'!W72</f>
        <v>3597226160</v>
      </c>
      <c r="Y67" s="1511">
        <f>'MATRIZ PLURIANUAL (2)'!X72</f>
        <v>0</v>
      </c>
      <c r="Z67" s="1511">
        <f>'MATRIZ PLURIANUAL (2)'!Y72</f>
        <v>0</v>
      </c>
      <c r="AA67" s="1511">
        <f>'MATRIZ PLURIANUAL (2)'!Z72</f>
        <v>3415583336.0799999</v>
      </c>
      <c r="AB67" s="1511">
        <f>'MATRIZ PLURIANUAL (2)'!AA72</f>
        <v>1725600000</v>
      </c>
      <c r="AC67" s="1511">
        <f>'MATRIZ PLURIANUAL (2)'!AB72</f>
        <v>21228214</v>
      </c>
      <c r="AD67" s="1511">
        <f>'MATRIZ PLURIANUAL (2)'!AC72</f>
        <v>8914309343.7542</v>
      </c>
      <c r="AE67" s="1511">
        <f>'MATRIZ PLURIANUAL (2)'!AD72</f>
        <v>160607957.80000001</v>
      </c>
      <c r="AF67" s="1511">
        <f>'MATRIZ PLURIANUAL (2)'!AE72</f>
        <v>3597226160</v>
      </c>
      <c r="AG67" s="1511">
        <f>'MATRIZ PLURIANUAL (2)'!AF72</f>
        <v>0</v>
      </c>
      <c r="AH67" s="1511">
        <f>'MATRIZ PLURIANUAL (2)'!AG72</f>
        <v>0</v>
      </c>
      <c r="AI67" s="1511">
        <f>'MATRIZ PLURIANUAL (2)'!AH72</f>
        <v>3358254020.6800003</v>
      </c>
      <c r="AJ67" s="1511">
        <f>'MATRIZ PLURIANUAL (2)'!AI72</f>
        <v>1429599999.9999995</v>
      </c>
      <c r="AK67" s="1511">
        <f>'MATRIZ PLURIANUAL (2)'!AJ72</f>
        <v>14859749.800000001</v>
      </c>
      <c r="AL67" s="1511">
        <f>'MATRIZ PLURIANUAL (2)'!AK72</f>
        <v>8560547888.2799997</v>
      </c>
      <c r="AM67" s="1511">
        <f>'MATRIZ PLURIANUAL (2)'!AL72</f>
        <v>166673288.200966</v>
      </c>
      <c r="AN67" s="1511">
        <f>'MATRIZ PLURIANUAL (2)'!AM72</f>
        <v>3597226160</v>
      </c>
      <c r="AO67" s="1511">
        <f>'MATRIZ PLURIANUAL (2)'!AN72</f>
        <v>0</v>
      </c>
      <c r="AP67" s="1511">
        <f>'MATRIZ PLURIANUAL (2)'!AO72</f>
        <v>0</v>
      </c>
      <c r="AQ67" s="1511">
        <f>'MATRIZ PLURIANUAL (2)'!AP72</f>
        <v>3379504527.4000001</v>
      </c>
      <c r="AR67" s="1511">
        <f>'MATRIZ PLURIANUAL (2)'!AQ72</f>
        <v>1419800000</v>
      </c>
      <c r="AS67" s="1511">
        <f>'MATRIZ PLURIANUAL (2)'!AR72</f>
        <v>10401824.859999999</v>
      </c>
      <c r="AT67" s="1515">
        <f>'MATRIZ PLURIANUAL (2)'!AS72</f>
        <v>8573605800.4609652</v>
      </c>
      <c r="AU67" s="1135"/>
    </row>
    <row r="68" spans="1:47" s="1030" customFormat="1" ht="315" customHeight="1">
      <c r="A68" s="1134"/>
      <c r="B68" s="1548"/>
      <c r="C68" s="1550"/>
      <c r="D68" s="1155" t="s">
        <v>765</v>
      </c>
      <c r="E68" s="1513"/>
      <c r="F68" s="1513"/>
      <c r="G68" s="1513"/>
      <c r="H68" s="1513"/>
      <c r="I68" s="1513"/>
      <c r="J68" s="1513"/>
      <c r="K68" s="1513"/>
      <c r="L68" s="1513"/>
      <c r="M68" s="1513">
        <f t="shared" si="0"/>
        <v>0</v>
      </c>
      <c r="N68" s="1520"/>
      <c r="O68" s="1513"/>
      <c r="P68" s="1513"/>
      <c r="Q68" s="1513"/>
      <c r="R68" s="1513"/>
      <c r="S68" s="1513"/>
      <c r="T68" s="1513"/>
      <c r="U68" s="1513"/>
      <c r="V68" s="1513"/>
      <c r="W68" s="1513"/>
      <c r="X68" s="1513"/>
      <c r="Y68" s="1513"/>
      <c r="Z68" s="1513"/>
      <c r="AA68" s="1513"/>
      <c r="AB68" s="1513"/>
      <c r="AC68" s="1513"/>
      <c r="AD68" s="1513"/>
      <c r="AE68" s="1513"/>
      <c r="AF68" s="1513"/>
      <c r="AG68" s="1513"/>
      <c r="AH68" s="1513"/>
      <c r="AI68" s="1513"/>
      <c r="AJ68" s="1513"/>
      <c r="AK68" s="1513"/>
      <c r="AL68" s="1513"/>
      <c r="AM68" s="1513"/>
      <c r="AN68" s="1513"/>
      <c r="AO68" s="1513"/>
      <c r="AP68" s="1513"/>
      <c r="AQ68" s="1513"/>
      <c r="AR68" s="1513"/>
      <c r="AS68" s="1513"/>
      <c r="AT68" s="1516"/>
      <c r="AU68" s="1135"/>
    </row>
    <row r="69" spans="1:47" s="1030" customFormat="1" ht="315" customHeight="1">
      <c r="A69" s="1134"/>
      <c r="B69" s="1548"/>
      <c r="C69" s="1550"/>
      <c r="D69" s="1155" t="s">
        <v>766</v>
      </c>
      <c r="E69" s="1513"/>
      <c r="F69" s="1513"/>
      <c r="G69" s="1513"/>
      <c r="H69" s="1513"/>
      <c r="I69" s="1513"/>
      <c r="J69" s="1513"/>
      <c r="K69" s="1513"/>
      <c r="L69" s="1513"/>
      <c r="M69" s="1513">
        <f t="shared" si="0"/>
        <v>0</v>
      </c>
      <c r="N69" s="1520"/>
      <c r="O69" s="1513"/>
      <c r="P69" s="1513"/>
      <c r="Q69" s="1513"/>
      <c r="R69" s="1513"/>
      <c r="S69" s="1513"/>
      <c r="T69" s="1513"/>
      <c r="U69" s="1513"/>
      <c r="V69" s="1513"/>
      <c r="W69" s="1513"/>
      <c r="X69" s="1513"/>
      <c r="Y69" s="1513"/>
      <c r="Z69" s="1513"/>
      <c r="AA69" s="1513"/>
      <c r="AB69" s="1513"/>
      <c r="AC69" s="1513"/>
      <c r="AD69" s="1513"/>
      <c r="AE69" s="1513"/>
      <c r="AF69" s="1513"/>
      <c r="AG69" s="1513"/>
      <c r="AH69" s="1513"/>
      <c r="AI69" s="1513"/>
      <c r="AJ69" s="1513"/>
      <c r="AK69" s="1513"/>
      <c r="AL69" s="1513"/>
      <c r="AM69" s="1513"/>
      <c r="AN69" s="1513"/>
      <c r="AO69" s="1513"/>
      <c r="AP69" s="1513"/>
      <c r="AQ69" s="1513"/>
      <c r="AR69" s="1513"/>
      <c r="AS69" s="1513"/>
      <c r="AT69" s="1516"/>
      <c r="AU69" s="1135"/>
    </row>
    <row r="70" spans="1:47" s="1030" customFormat="1" ht="315" customHeight="1">
      <c r="A70" s="1134"/>
      <c r="B70" s="1548"/>
      <c r="C70" s="1550"/>
      <c r="D70" s="1155" t="s">
        <v>767</v>
      </c>
      <c r="E70" s="1513"/>
      <c r="F70" s="1513"/>
      <c r="G70" s="1513"/>
      <c r="H70" s="1513"/>
      <c r="I70" s="1513"/>
      <c r="J70" s="1513"/>
      <c r="K70" s="1513"/>
      <c r="L70" s="1513"/>
      <c r="M70" s="1513">
        <f t="shared" si="0"/>
        <v>0</v>
      </c>
      <c r="N70" s="1520"/>
      <c r="O70" s="1513"/>
      <c r="P70" s="1513"/>
      <c r="Q70" s="1513"/>
      <c r="R70" s="1513"/>
      <c r="S70" s="1513"/>
      <c r="T70" s="1513"/>
      <c r="U70" s="1513"/>
      <c r="V70" s="1513"/>
      <c r="W70" s="1513"/>
      <c r="X70" s="1513"/>
      <c r="Y70" s="1513"/>
      <c r="Z70" s="1513"/>
      <c r="AA70" s="1513"/>
      <c r="AB70" s="1513"/>
      <c r="AC70" s="1513"/>
      <c r="AD70" s="1513"/>
      <c r="AE70" s="1513"/>
      <c r="AF70" s="1513"/>
      <c r="AG70" s="1513"/>
      <c r="AH70" s="1513"/>
      <c r="AI70" s="1513"/>
      <c r="AJ70" s="1513"/>
      <c r="AK70" s="1513"/>
      <c r="AL70" s="1513"/>
      <c r="AM70" s="1513"/>
      <c r="AN70" s="1513"/>
      <c r="AO70" s="1513"/>
      <c r="AP70" s="1513"/>
      <c r="AQ70" s="1513"/>
      <c r="AR70" s="1513"/>
      <c r="AS70" s="1513"/>
      <c r="AT70" s="1516"/>
      <c r="AU70" s="1135"/>
    </row>
    <row r="71" spans="1:47" s="1030" customFormat="1" ht="315" customHeight="1">
      <c r="A71" s="1134"/>
      <c r="B71" s="1548"/>
      <c r="C71" s="1550"/>
      <c r="D71" s="1155" t="s">
        <v>768</v>
      </c>
      <c r="E71" s="1513"/>
      <c r="F71" s="1513"/>
      <c r="G71" s="1513"/>
      <c r="H71" s="1513"/>
      <c r="I71" s="1513"/>
      <c r="J71" s="1513"/>
      <c r="K71" s="1513"/>
      <c r="L71" s="1513"/>
      <c r="M71" s="1513">
        <f t="shared" si="0"/>
        <v>0</v>
      </c>
      <c r="N71" s="1520"/>
      <c r="O71" s="1513"/>
      <c r="P71" s="1513"/>
      <c r="Q71" s="1513"/>
      <c r="R71" s="1513"/>
      <c r="S71" s="1513"/>
      <c r="T71" s="1513"/>
      <c r="U71" s="1513"/>
      <c r="V71" s="1513"/>
      <c r="W71" s="1513"/>
      <c r="X71" s="1513"/>
      <c r="Y71" s="1513"/>
      <c r="Z71" s="1513"/>
      <c r="AA71" s="1513"/>
      <c r="AB71" s="1513"/>
      <c r="AC71" s="1513"/>
      <c r="AD71" s="1513"/>
      <c r="AE71" s="1513"/>
      <c r="AF71" s="1513"/>
      <c r="AG71" s="1513"/>
      <c r="AH71" s="1513"/>
      <c r="AI71" s="1513"/>
      <c r="AJ71" s="1513"/>
      <c r="AK71" s="1513"/>
      <c r="AL71" s="1513"/>
      <c r="AM71" s="1513"/>
      <c r="AN71" s="1513"/>
      <c r="AO71" s="1513"/>
      <c r="AP71" s="1513"/>
      <c r="AQ71" s="1513"/>
      <c r="AR71" s="1513"/>
      <c r="AS71" s="1513"/>
      <c r="AT71" s="1516"/>
      <c r="AU71" s="1135"/>
    </row>
    <row r="72" spans="1:47" s="1030" customFormat="1" ht="315" customHeight="1">
      <c r="A72" s="1134"/>
      <c r="B72" s="1548"/>
      <c r="C72" s="1550"/>
      <c r="D72" s="1155" t="s">
        <v>769</v>
      </c>
      <c r="E72" s="1513"/>
      <c r="F72" s="1513"/>
      <c r="G72" s="1513"/>
      <c r="H72" s="1513"/>
      <c r="I72" s="1513"/>
      <c r="J72" s="1513"/>
      <c r="K72" s="1513"/>
      <c r="L72" s="1513"/>
      <c r="M72" s="1513">
        <f t="shared" si="0"/>
        <v>0</v>
      </c>
      <c r="N72" s="1520"/>
      <c r="O72" s="1513"/>
      <c r="P72" s="1513"/>
      <c r="Q72" s="1513"/>
      <c r="R72" s="1513"/>
      <c r="S72" s="1513"/>
      <c r="T72" s="1513"/>
      <c r="U72" s="1513"/>
      <c r="V72" s="1513"/>
      <c r="W72" s="1513"/>
      <c r="X72" s="1513"/>
      <c r="Y72" s="1513"/>
      <c r="Z72" s="1513"/>
      <c r="AA72" s="1513"/>
      <c r="AB72" s="1513"/>
      <c r="AC72" s="1513"/>
      <c r="AD72" s="1513"/>
      <c r="AE72" s="1513"/>
      <c r="AF72" s="1513"/>
      <c r="AG72" s="1513"/>
      <c r="AH72" s="1513"/>
      <c r="AI72" s="1513"/>
      <c r="AJ72" s="1513"/>
      <c r="AK72" s="1513"/>
      <c r="AL72" s="1513"/>
      <c r="AM72" s="1513"/>
      <c r="AN72" s="1513"/>
      <c r="AO72" s="1513"/>
      <c r="AP72" s="1513"/>
      <c r="AQ72" s="1513"/>
      <c r="AR72" s="1513"/>
      <c r="AS72" s="1513"/>
      <c r="AT72" s="1516"/>
      <c r="AU72" s="1135"/>
    </row>
    <row r="73" spans="1:47" s="1030" customFormat="1" ht="315" customHeight="1">
      <c r="A73" s="1134"/>
      <c r="B73" s="1548"/>
      <c r="C73" s="1550"/>
      <c r="D73" s="1155" t="s">
        <v>770</v>
      </c>
      <c r="E73" s="1513"/>
      <c r="F73" s="1513"/>
      <c r="G73" s="1513"/>
      <c r="H73" s="1513"/>
      <c r="I73" s="1513"/>
      <c r="J73" s="1513"/>
      <c r="K73" s="1513"/>
      <c r="L73" s="1513"/>
      <c r="M73" s="1513">
        <f t="shared" si="0"/>
        <v>0</v>
      </c>
      <c r="N73" s="1520"/>
      <c r="O73" s="1513"/>
      <c r="P73" s="1513"/>
      <c r="Q73" s="1513"/>
      <c r="R73" s="1513"/>
      <c r="S73" s="1513"/>
      <c r="T73" s="1513"/>
      <c r="U73" s="1513"/>
      <c r="V73" s="1513"/>
      <c r="W73" s="1513"/>
      <c r="X73" s="1513"/>
      <c r="Y73" s="1513"/>
      <c r="Z73" s="1513"/>
      <c r="AA73" s="1513"/>
      <c r="AB73" s="1513"/>
      <c r="AC73" s="1513"/>
      <c r="AD73" s="1513"/>
      <c r="AE73" s="1513"/>
      <c r="AF73" s="1513"/>
      <c r="AG73" s="1513"/>
      <c r="AH73" s="1513"/>
      <c r="AI73" s="1513"/>
      <c r="AJ73" s="1513"/>
      <c r="AK73" s="1513"/>
      <c r="AL73" s="1513"/>
      <c r="AM73" s="1513"/>
      <c r="AN73" s="1513"/>
      <c r="AO73" s="1513"/>
      <c r="AP73" s="1513"/>
      <c r="AQ73" s="1513"/>
      <c r="AR73" s="1513"/>
      <c r="AS73" s="1513"/>
      <c r="AT73" s="1516"/>
      <c r="AU73" s="1135"/>
    </row>
    <row r="74" spans="1:47" s="1030" customFormat="1" ht="315" customHeight="1">
      <c r="A74" s="1134"/>
      <c r="B74" s="1548"/>
      <c r="C74" s="1550"/>
      <c r="D74" s="1155" t="s">
        <v>771</v>
      </c>
      <c r="E74" s="1513"/>
      <c r="F74" s="1513"/>
      <c r="G74" s="1513"/>
      <c r="H74" s="1513"/>
      <c r="I74" s="1513"/>
      <c r="J74" s="1513"/>
      <c r="K74" s="1513"/>
      <c r="L74" s="1513"/>
      <c r="M74" s="1513">
        <f t="shared" si="0"/>
        <v>0</v>
      </c>
      <c r="N74" s="1520"/>
      <c r="O74" s="1513"/>
      <c r="P74" s="1513"/>
      <c r="Q74" s="1513"/>
      <c r="R74" s="1513"/>
      <c r="S74" s="1513"/>
      <c r="T74" s="1513"/>
      <c r="U74" s="1513"/>
      <c r="V74" s="1513"/>
      <c r="W74" s="1513"/>
      <c r="X74" s="1513"/>
      <c r="Y74" s="1513"/>
      <c r="Z74" s="1513"/>
      <c r="AA74" s="1513"/>
      <c r="AB74" s="1513"/>
      <c r="AC74" s="1513"/>
      <c r="AD74" s="1513"/>
      <c r="AE74" s="1513"/>
      <c r="AF74" s="1513"/>
      <c r="AG74" s="1513"/>
      <c r="AH74" s="1513"/>
      <c r="AI74" s="1513"/>
      <c r="AJ74" s="1513"/>
      <c r="AK74" s="1513"/>
      <c r="AL74" s="1513"/>
      <c r="AM74" s="1513"/>
      <c r="AN74" s="1513"/>
      <c r="AO74" s="1513"/>
      <c r="AP74" s="1513"/>
      <c r="AQ74" s="1513"/>
      <c r="AR74" s="1513"/>
      <c r="AS74" s="1513"/>
      <c r="AT74" s="1516"/>
      <c r="AU74" s="1135"/>
    </row>
    <row r="75" spans="1:47" s="1030" customFormat="1" ht="315" customHeight="1">
      <c r="A75" s="1134"/>
      <c r="B75" s="1548"/>
      <c r="C75" s="1550"/>
      <c r="D75" s="1155" t="s">
        <v>772</v>
      </c>
      <c r="E75" s="1513"/>
      <c r="F75" s="1513"/>
      <c r="G75" s="1513"/>
      <c r="H75" s="1513"/>
      <c r="I75" s="1513"/>
      <c r="J75" s="1513"/>
      <c r="K75" s="1513"/>
      <c r="L75" s="1513"/>
      <c r="M75" s="1513">
        <f t="shared" si="0"/>
        <v>0</v>
      </c>
      <c r="N75" s="1520"/>
      <c r="O75" s="1513"/>
      <c r="P75" s="1513"/>
      <c r="Q75" s="1513"/>
      <c r="R75" s="1513"/>
      <c r="S75" s="1513"/>
      <c r="T75" s="1513"/>
      <c r="U75" s="1513"/>
      <c r="V75" s="1513"/>
      <c r="W75" s="1513"/>
      <c r="X75" s="1513"/>
      <c r="Y75" s="1513"/>
      <c r="Z75" s="1513"/>
      <c r="AA75" s="1513"/>
      <c r="AB75" s="1513"/>
      <c r="AC75" s="1513"/>
      <c r="AD75" s="1513"/>
      <c r="AE75" s="1513"/>
      <c r="AF75" s="1513"/>
      <c r="AG75" s="1513"/>
      <c r="AH75" s="1513"/>
      <c r="AI75" s="1513"/>
      <c r="AJ75" s="1513"/>
      <c r="AK75" s="1513"/>
      <c r="AL75" s="1513"/>
      <c r="AM75" s="1513"/>
      <c r="AN75" s="1513"/>
      <c r="AO75" s="1513"/>
      <c r="AP75" s="1513"/>
      <c r="AQ75" s="1513"/>
      <c r="AR75" s="1513"/>
      <c r="AS75" s="1513"/>
      <c r="AT75" s="1516"/>
      <c r="AU75" s="1135"/>
    </row>
    <row r="76" spans="1:47" s="1030" customFormat="1" ht="315" customHeight="1">
      <c r="A76" s="1134"/>
      <c r="B76" s="1548"/>
      <c r="C76" s="1550"/>
      <c r="D76" s="1155" t="s">
        <v>773</v>
      </c>
      <c r="E76" s="1513"/>
      <c r="F76" s="1513"/>
      <c r="G76" s="1513"/>
      <c r="H76" s="1513"/>
      <c r="I76" s="1513"/>
      <c r="J76" s="1513"/>
      <c r="K76" s="1513"/>
      <c r="L76" s="1513"/>
      <c r="M76" s="1513">
        <f t="shared" ref="M76:M106" si="1">E76+F76+G76+H76+I76+K76</f>
        <v>0</v>
      </c>
      <c r="N76" s="1520"/>
      <c r="O76" s="1513"/>
      <c r="P76" s="1513"/>
      <c r="Q76" s="1513"/>
      <c r="R76" s="1513"/>
      <c r="S76" s="1513"/>
      <c r="T76" s="1513"/>
      <c r="U76" s="1513"/>
      <c r="V76" s="1513"/>
      <c r="W76" s="1513"/>
      <c r="X76" s="1513"/>
      <c r="Y76" s="1513"/>
      <c r="Z76" s="1513"/>
      <c r="AA76" s="1513"/>
      <c r="AB76" s="1513"/>
      <c r="AC76" s="1513"/>
      <c r="AD76" s="1513"/>
      <c r="AE76" s="1513"/>
      <c r="AF76" s="1513"/>
      <c r="AG76" s="1513"/>
      <c r="AH76" s="1513"/>
      <c r="AI76" s="1513"/>
      <c r="AJ76" s="1513"/>
      <c r="AK76" s="1513"/>
      <c r="AL76" s="1513"/>
      <c r="AM76" s="1513"/>
      <c r="AN76" s="1513"/>
      <c r="AO76" s="1513"/>
      <c r="AP76" s="1513"/>
      <c r="AQ76" s="1513"/>
      <c r="AR76" s="1513"/>
      <c r="AS76" s="1513"/>
      <c r="AT76" s="1516"/>
      <c r="AU76" s="1135"/>
    </row>
    <row r="77" spans="1:47" s="1030" customFormat="1" ht="315" customHeight="1">
      <c r="A77" s="1134"/>
      <c r="B77" s="1548"/>
      <c r="C77" s="1550"/>
      <c r="D77" s="1155" t="s">
        <v>774</v>
      </c>
      <c r="E77" s="1513"/>
      <c r="F77" s="1513"/>
      <c r="G77" s="1513"/>
      <c r="H77" s="1513"/>
      <c r="I77" s="1513"/>
      <c r="J77" s="1513"/>
      <c r="K77" s="1513"/>
      <c r="L77" s="1513"/>
      <c r="M77" s="1513">
        <f t="shared" si="1"/>
        <v>0</v>
      </c>
      <c r="N77" s="1520"/>
      <c r="O77" s="1513"/>
      <c r="P77" s="1513"/>
      <c r="Q77" s="1513"/>
      <c r="R77" s="1513"/>
      <c r="S77" s="1513"/>
      <c r="T77" s="1513"/>
      <c r="U77" s="1513"/>
      <c r="V77" s="1513"/>
      <c r="W77" s="1513"/>
      <c r="X77" s="1513"/>
      <c r="Y77" s="1513"/>
      <c r="Z77" s="1513"/>
      <c r="AA77" s="1513"/>
      <c r="AB77" s="1513"/>
      <c r="AC77" s="1513"/>
      <c r="AD77" s="1513"/>
      <c r="AE77" s="1513"/>
      <c r="AF77" s="1513"/>
      <c r="AG77" s="1513"/>
      <c r="AH77" s="1513"/>
      <c r="AI77" s="1513"/>
      <c r="AJ77" s="1513"/>
      <c r="AK77" s="1513"/>
      <c r="AL77" s="1513"/>
      <c r="AM77" s="1513"/>
      <c r="AN77" s="1513"/>
      <c r="AO77" s="1513"/>
      <c r="AP77" s="1513"/>
      <c r="AQ77" s="1513"/>
      <c r="AR77" s="1513"/>
      <c r="AS77" s="1513"/>
      <c r="AT77" s="1516"/>
      <c r="AU77" s="1135"/>
    </row>
    <row r="78" spans="1:47" s="1030" customFormat="1" ht="315" customHeight="1">
      <c r="A78" s="1134"/>
      <c r="B78" s="1548"/>
      <c r="C78" s="1546"/>
      <c r="D78" s="1155" t="s">
        <v>775</v>
      </c>
      <c r="E78" s="1512"/>
      <c r="F78" s="1512"/>
      <c r="G78" s="1512"/>
      <c r="H78" s="1512"/>
      <c r="I78" s="1512"/>
      <c r="J78" s="1512"/>
      <c r="K78" s="1512"/>
      <c r="L78" s="1512"/>
      <c r="M78" s="1512">
        <f t="shared" si="1"/>
        <v>0</v>
      </c>
      <c r="N78" s="1521"/>
      <c r="O78" s="1512"/>
      <c r="P78" s="1512"/>
      <c r="Q78" s="1512"/>
      <c r="R78" s="1512"/>
      <c r="S78" s="1512"/>
      <c r="T78" s="1512"/>
      <c r="U78" s="1512"/>
      <c r="V78" s="1512"/>
      <c r="W78" s="1512"/>
      <c r="X78" s="1512"/>
      <c r="Y78" s="1512"/>
      <c r="Z78" s="1512"/>
      <c r="AA78" s="1512"/>
      <c r="AB78" s="1512"/>
      <c r="AC78" s="1512"/>
      <c r="AD78" s="1512"/>
      <c r="AE78" s="1512"/>
      <c r="AF78" s="1512"/>
      <c r="AG78" s="1512"/>
      <c r="AH78" s="1512"/>
      <c r="AI78" s="1512"/>
      <c r="AJ78" s="1512"/>
      <c r="AK78" s="1512"/>
      <c r="AL78" s="1512"/>
      <c r="AM78" s="1512"/>
      <c r="AN78" s="1512"/>
      <c r="AO78" s="1512"/>
      <c r="AP78" s="1512"/>
      <c r="AQ78" s="1512"/>
      <c r="AR78" s="1512"/>
      <c r="AS78" s="1512"/>
      <c r="AT78" s="1517"/>
      <c r="AU78" s="1135"/>
    </row>
    <row r="79" spans="1:47" s="1030" customFormat="1" ht="315" customHeight="1">
      <c r="A79" s="1134"/>
      <c r="B79" s="1548"/>
      <c r="C79" s="1166" t="s">
        <v>145</v>
      </c>
      <c r="D79" s="1155" t="s">
        <v>776</v>
      </c>
      <c r="E79" s="1210">
        <f>'MATRIZ PLURIANUAL (2)'!E74</f>
        <v>765311636.67516601</v>
      </c>
      <c r="F79" s="1210">
        <f>'MATRIZ PLURIANUAL (2)'!F74</f>
        <v>0</v>
      </c>
      <c r="G79" s="1210">
        <f>'MATRIZ PLURIANUAL (2)'!G74</f>
        <v>0</v>
      </c>
      <c r="H79" s="1210">
        <f>'MATRIZ PLURIANUAL (2)'!H74</f>
        <v>0</v>
      </c>
      <c r="I79" s="1210">
        <f>'MATRIZ PLURIANUAL (2)'!I74</f>
        <v>5356630272.1599998</v>
      </c>
      <c r="J79" s="1210">
        <f>'MATRIZ PLURIANUAL (2)'!J74</f>
        <v>3000000000</v>
      </c>
      <c r="K79" s="1210">
        <f>'MATRIZ PLURIANUAL (2)'!K74</f>
        <v>46489788.659999996</v>
      </c>
      <c r="L79" s="1210">
        <f>'MATRIZ PLURIANUAL (2)'!L74</f>
        <v>9168431697.4951668</v>
      </c>
      <c r="M79" s="1210">
        <f t="shared" si="1"/>
        <v>6168431697.4951658</v>
      </c>
      <c r="N79" s="1211">
        <v>6.0000000000000001E-3</v>
      </c>
      <c r="O79" s="1210">
        <f>'MATRIZ PLURIANUAL (2)'!N74</f>
        <v>283358757</v>
      </c>
      <c r="P79" s="1210">
        <f>'MATRIZ PLURIANUAL (2)'!O74</f>
        <v>0</v>
      </c>
      <c r="Q79" s="1210">
        <f>'MATRIZ PLURIANUAL (2)'!P74</f>
        <v>0</v>
      </c>
      <c r="R79" s="1210">
        <f>'MATRIZ PLURIANUAL (2)'!Q74</f>
        <v>0</v>
      </c>
      <c r="S79" s="1210">
        <f>'MATRIZ PLURIANUAL (2)'!R74</f>
        <v>1000000000</v>
      </c>
      <c r="T79" s="1210">
        <f>'MATRIZ PLURIANUAL (2)'!S74</f>
        <v>0</v>
      </c>
      <c r="U79" s="1210">
        <f>'MATRIZ PLURIANUAL (2)'!T74</f>
        <v>0</v>
      </c>
      <c r="V79" s="1210">
        <f>'MATRIZ PLURIANUAL (2)'!U74</f>
        <v>1283358757</v>
      </c>
      <c r="W79" s="1210">
        <f>'MATRIZ PLURIANUAL (2)'!V74</f>
        <v>154671633.6742</v>
      </c>
      <c r="X79" s="1210">
        <f>'MATRIZ PLURIANUAL (2)'!W74</f>
        <v>0</v>
      </c>
      <c r="Y79" s="1210">
        <f>'MATRIZ PLURIANUAL (2)'!X74</f>
        <v>0</v>
      </c>
      <c r="Z79" s="1210">
        <f>'MATRIZ PLURIANUAL (2)'!Y74</f>
        <v>0</v>
      </c>
      <c r="AA79" s="1210">
        <f>'MATRIZ PLURIANUAL (2)'!Z74</f>
        <v>1483346132.0799999</v>
      </c>
      <c r="AB79" s="1210">
        <f>'MATRIZ PLURIANUAL (2)'!AA74</f>
        <v>1000000000</v>
      </c>
      <c r="AC79" s="1210">
        <f>'MATRIZ PLURIANUAL (2)'!AB74</f>
        <v>21228214</v>
      </c>
      <c r="AD79" s="1210">
        <f>'MATRIZ PLURIANUAL (2)'!AC74</f>
        <v>2659245979.7542</v>
      </c>
      <c r="AE79" s="1210">
        <f>'MATRIZ PLURIANUAL (2)'!AD74</f>
        <v>160607957.80000001</v>
      </c>
      <c r="AF79" s="1210">
        <f>'MATRIZ PLURIANUAL (2)'!AE74</f>
        <v>0</v>
      </c>
      <c r="AG79" s="1210">
        <f>'MATRIZ PLURIANUAL (2)'!AF74</f>
        <v>0</v>
      </c>
      <c r="AH79" s="1210">
        <f>'MATRIZ PLURIANUAL (2)'!AG74</f>
        <v>0</v>
      </c>
      <c r="AI79" s="1210">
        <f>'MATRIZ PLURIANUAL (2)'!AH74</f>
        <v>1426016816.6800001</v>
      </c>
      <c r="AJ79" s="1210">
        <f>'MATRIZ PLURIANUAL (2)'!AI74</f>
        <v>1000000000</v>
      </c>
      <c r="AK79" s="1210">
        <f>'MATRIZ PLURIANUAL (2)'!AJ74</f>
        <v>14859749.800000001</v>
      </c>
      <c r="AL79" s="1210">
        <f>'MATRIZ PLURIANUAL (2)'!AK74</f>
        <v>2601484524.2800002</v>
      </c>
      <c r="AM79" s="1210">
        <f>'MATRIZ PLURIANUAL (2)'!AL74</f>
        <v>166673288.200966</v>
      </c>
      <c r="AN79" s="1210">
        <f>'MATRIZ PLURIANUAL (2)'!AM74</f>
        <v>0</v>
      </c>
      <c r="AO79" s="1210">
        <f>'MATRIZ PLURIANUAL (2)'!AN74</f>
        <v>0</v>
      </c>
      <c r="AP79" s="1210">
        <f>'MATRIZ PLURIANUAL (2)'!AO74</f>
        <v>0</v>
      </c>
      <c r="AQ79" s="1210">
        <f>'MATRIZ PLURIANUAL (2)'!AP74</f>
        <v>1447267323.4000001</v>
      </c>
      <c r="AR79" s="1210">
        <f>'MATRIZ PLURIANUAL (2)'!AQ74</f>
        <v>1000000000</v>
      </c>
      <c r="AS79" s="1210">
        <f>'MATRIZ PLURIANUAL (2)'!AR74</f>
        <v>10401824.859999999</v>
      </c>
      <c r="AT79" s="1212">
        <f>'MATRIZ PLURIANUAL (2)'!AS74</f>
        <v>2624342436.4609661</v>
      </c>
      <c r="AU79" s="1135"/>
    </row>
    <row r="80" spans="1:47" s="1030" customFormat="1" ht="315" customHeight="1">
      <c r="A80" s="1134"/>
      <c r="B80" s="1549"/>
      <c r="C80" s="1166" t="s">
        <v>146</v>
      </c>
      <c r="D80" s="1155" t="s">
        <v>777</v>
      </c>
      <c r="E80" s="1210">
        <f>'MATRIZ PLURIANUAL (2)'!E76</f>
        <v>3827811518.700664</v>
      </c>
      <c r="F80" s="1210">
        <f>'MATRIZ PLURIANUAL (2)'!F76</f>
        <v>0</v>
      </c>
      <c r="G80" s="1210">
        <f>'MATRIZ PLURIANUAL (2)'!G76</f>
        <v>0</v>
      </c>
      <c r="H80" s="1210">
        <f>'MATRIZ PLURIANUAL (2)'!H76</f>
        <v>0</v>
      </c>
      <c r="I80" s="1210">
        <f>'MATRIZ PLURIANUAL (2)'!I76</f>
        <v>18926521088.639999</v>
      </c>
      <c r="J80" s="1210">
        <f>'MATRIZ PLURIANUAL (2)'!J76</f>
        <v>3000000000</v>
      </c>
      <c r="K80" s="1210">
        <f>'MATRIZ PLURIANUAL (2)'!K76</f>
        <v>1485959154.6400001</v>
      </c>
      <c r="L80" s="1210">
        <f>'MATRIZ PLURIANUAL (2)'!L76</f>
        <v>27240291761.980663</v>
      </c>
      <c r="M80" s="1210">
        <f t="shared" si="1"/>
        <v>24240291761.980663</v>
      </c>
      <c r="N80" s="1211">
        <v>2.1999999999999999E-2</v>
      </c>
      <c r="O80" s="1210">
        <f>'MATRIZ PLURIANUAL (2)'!N76</f>
        <v>1900000000</v>
      </c>
      <c r="P80" s="1210">
        <f>'MATRIZ PLURIANUAL (2)'!O76</f>
        <v>0</v>
      </c>
      <c r="Q80" s="1210">
        <f>'MATRIZ PLURIANUAL (2)'!P76</f>
        <v>0</v>
      </c>
      <c r="R80" s="1210">
        <f>'MATRIZ PLURIANUAL (2)'!Q76</f>
        <v>0</v>
      </c>
      <c r="S80" s="1210">
        <f>'MATRIZ PLURIANUAL (2)'!R76</f>
        <v>3000000000</v>
      </c>
      <c r="T80" s="1210">
        <f>'MATRIZ PLURIANUAL (2)'!S76</f>
        <v>0</v>
      </c>
      <c r="U80" s="1210">
        <f>'MATRIZ PLURIANUAL (2)'!T76</f>
        <v>1300000000</v>
      </c>
      <c r="V80" s="1210">
        <f>'MATRIZ PLURIANUAL (2)'!U76</f>
        <v>6200000000</v>
      </c>
      <c r="W80" s="1210">
        <f>'MATRIZ PLURIANUAL (2)'!V76</f>
        <v>618686534.69679999</v>
      </c>
      <c r="X80" s="1210">
        <f>'MATRIZ PLURIANUAL (2)'!W76</f>
        <v>0</v>
      </c>
      <c r="Y80" s="1210">
        <f>'MATRIZ PLURIANUAL (2)'!X76</f>
        <v>0</v>
      </c>
      <c r="Z80" s="1210">
        <f>'MATRIZ PLURIANUAL (2)'!Y76</f>
        <v>0</v>
      </c>
      <c r="AA80" s="1210">
        <f>'MATRIZ PLURIANUAL (2)'!Z76</f>
        <v>5433384528.3199997</v>
      </c>
      <c r="AB80" s="1210">
        <f>'MATRIZ PLURIANUAL (2)'!AA76</f>
        <v>1000000000</v>
      </c>
      <c r="AC80" s="1210">
        <f>'MATRIZ PLURIANUAL (2)'!AB76</f>
        <v>84912856</v>
      </c>
      <c r="AD80" s="1210">
        <f>'MATRIZ PLURIANUAL (2)'!AC76</f>
        <v>7136983919.0167999</v>
      </c>
      <c r="AE80" s="1210">
        <f>'MATRIZ PLURIANUAL (2)'!AD76</f>
        <v>642431831.20000005</v>
      </c>
      <c r="AF80" s="1210">
        <f>'MATRIZ PLURIANUAL (2)'!AE76</f>
        <v>0</v>
      </c>
      <c r="AG80" s="1210">
        <f>'MATRIZ PLURIANUAL (2)'!AF76</f>
        <v>0</v>
      </c>
      <c r="AH80" s="1210">
        <f>'MATRIZ PLURIANUAL (2)'!AG76</f>
        <v>0</v>
      </c>
      <c r="AI80" s="1210">
        <f>'MATRIZ PLURIANUAL (2)'!AH76</f>
        <v>5204067266.7200003</v>
      </c>
      <c r="AJ80" s="1210">
        <f>'MATRIZ PLURIANUAL (2)'!AI76</f>
        <v>1000000000</v>
      </c>
      <c r="AK80" s="1210">
        <f>'MATRIZ PLURIANUAL (2)'!AJ76</f>
        <v>59438999.200000003</v>
      </c>
      <c r="AL80" s="1210">
        <f>'MATRIZ PLURIANUAL (2)'!AK76</f>
        <v>6905938097.1199999</v>
      </c>
      <c r="AM80" s="1210">
        <f>'MATRIZ PLURIANUAL (2)'!AL76</f>
        <v>666693152.803864</v>
      </c>
      <c r="AN80" s="1210">
        <f>'MATRIZ PLURIANUAL (2)'!AM76</f>
        <v>0</v>
      </c>
      <c r="AO80" s="1210">
        <f>'MATRIZ PLURIANUAL (2)'!AN76</f>
        <v>0</v>
      </c>
      <c r="AP80" s="1210">
        <f>'MATRIZ PLURIANUAL (2)'!AO76</f>
        <v>0</v>
      </c>
      <c r="AQ80" s="1210">
        <f>'MATRIZ PLURIANUAL (2)'!AP76</f>
        <v>5289069293.6000004</v>
      </c>
      <c r="AR80" s="1210">
        <f>'MATRIZ PLURIANUAL (2)'!AQ76</f>
        <v>1000000000</v>
      </c>
      <c r="AS80" s="1210">
        <f>'MATRIZ PLURIANUAL (2)'!AR76</f>
        <v>41607299.439999998</v>
      </c>
      <c r="AT80" s="1212">
        <f>'MATRIZ PLURIANUAL (2)'!AS76</f>
        <v>6997369745.8438635</v>
      </c>
      <c r="AU80" s="1135"/>
    </row>
    <row r="81" spans="1:47" s="1031" customFormat="1" ht="201" customHeight="1">
      <c r="A81" s="1136"/>
      <c r="B81" s="1167" t="s">
        <v>631</v>
      </c>
      <c r="C81" s="1168"/>
      <c r="D81" s="1169"/>
      <c r="E81" s="1213">
        <f>'MATRIZ PLURIANUAL (2)'!E78</f>
        <v>4612790885.5312614</v>
      </c>
      <c r="F81" s="1213">
        <f>'MATRIZ PLURIANUAL (2)'!F78</f>
        <v>5726771777.1599998</v>
      </c>
      <c r="G81" s="1213">
        <f>'MATRIZ PLURIANUAL (2)'!G78</f>
        <v>0</v>
      </c>
      <c r="H81" s="1213">
        <f>'MATRIZ PLURIANUAL (2)'!H78</f>
        <v>12628567563</v>
      </c>
      <c r="I81" s="1213">
        <f>'MATRIZ PLURIANUAL (2)'!I78</f>
        <v>43853468138.376007</v>
      </c>
      <c r="J81" s="1213">
        <f>'MATRIZ PLURIANUAL (2)'!J78</f>
        <v>400000000</v>
      </c>
      <c r="K81" s="1213">
        <f>'MATRIZ PLURIANUAL (2)'!K78</f>
        <v>549623393.81599998</v>
      </c>
      <c r="L81" s="1213">
        <f>'MATRIZ PLURIANUAL (2)'!L78</f>
        <v>67771221757.88327</v>
      </c>
      <c r="M81" s="1213">
        <f t="shared" si="1"/>
        <v>67371221757.88327</v>
      </c>
      <c r="N81" s="1214">
        <f>SUM(N82:N88)</f>
        <v>5.5999999999999994E-2</v>
      </c>
      <c r="O81" s="1213">
        <f>'MATRIZ PLURIANUAL (2)'!N78</f>
        <v>949949000</v>
      </c>
      <c r="P81" s="1213">
        <f>'MATRIZ PLURIANUAL (2)'!O78</f>
        <v>846204729.15999997</v>
      </c>
      <c r="Q81" s="1213">
        <f>'MATRIZ PLURIANUAL (2)'!P78</f>
        <v>0</v>
      </c>
      <c r="R81" s="1213">
        <f>'MATRIZ PLURIANUAL (2)'!Q78</f>
        <v>3644567563</v>
      </c>
      <c r="S81" s="1213">
        <f>'MATRIZ PLURIANUAL (2)'!R78</f>
        <v>13443078069.960011</v>
      </c>
      <c r="T81" s="1213">
        <f>'MATRIZ PLURIANUAL (2)'!S78</f>
        <v>100000000</v>
      </c>
      <c r="U81" s="1213">
        <f>'MATRIZ PLURIANUAL (2)'!T78</f>
        <v>196301000</v>
      </c>
      <c r="V81" s="1213">
        <f>'MATRIZ PLURIANUAL (2)'!U78</f>
        <v>19180100362.12001</v>
      </c>
      <c r="W81" s="1213">
        <f>'MATRIZ PLURIANUAL (2)'!V78</f>
        <v>1175504415.9239202</v>
      </c>
      <c r="X81" s="1213">
        <f>'MATRIZ PLURIANUAL (2)'!W78</f>
        <v>1660320000</v>
      </c>
      <c r="Y81" s="1213">
        <f>'MATRIZ PLURIANUAL (2)'!X78</f>
        <v>0</v>
      </c>
      <c r="Z81" s="1213">
        <f>'MATRIZ PLURIANUAL (2)'!Y78</f>
        <v>2921000000</v>
      </c>
      <c r="AA81" s="1213">
        <f>'MATRIZ PLURIANUAL (2)'!Z78</f>
        <v>10373430603.808001</v>
      </c>
      <c r="AB81" s="1213">
        <f>'MATRIZ PLURIANUAL (2)'!AA78</f>
        <v>100000000</v>
      </c>
      <c r="AC81" s="1213">
        <f>'MATRIZ PLURIANUAL (2)'!AB78</f>
        <v>161334426.40000001</v>
      </c>
      <c r="AD81" s="1213">
        <f>'MATRIZ PLURIANUAL (2)'!AC78</f>
        <v>16391589446.13192</v>
      </c>
      <c r="AE81" s="1213">
        <f>'MATRIZ PLURIANUAL (2)'!AD78</f>
        <v>1220620479.28</v>
      </c>
      <c r="AF81" s="1213">
        <f>'MATRIZ PLURIANUAL (2)'!AE78</f>
        <v>1623421600</v>
      </c>
      <c r="AG81" s="1213">
        <f>'MATRIZ PLURIANUAL (2)'!AF78</f>
        <v>0</v>
      </c>
      <c r="AH81" s="1213">
        <f>'MATRIZ PLURIANUAL (2)'!AG78</f>
        <v>2994000000</v>
      </c>
      <c r="AI81" s="1213">
        <f>'MATRIZ PLURIANUAL (2)'!AH78</f>
        <v>9937727806.7679996</v>
      </c>
      <c r="AJ81" s="1213">
        <f>'MATRIZ PLURIANUAL (2)'!AI78</f>
        <v>100000000</v>
      </c>
      <c r="AK81" s="1213">
        <f>'MATRIZ PLURIANUAL (2)'!AJ78</f>
        <v>112934098.48</v>
      </c>
      <c r="AL81" s="1213">
        <f>'MATRIZ PLURIANUAL (2)'!AK78</f>
        <v>15988703984.528002</v>
      </c>
      <c r="AM81" s="1213">
        <f>'MATRIZ PLURIANUAL (2)'!AL78</f>
        <v>1266716990.3273416</v>
      </c>
      <c r="AN81" s="1213">
        <f>'MATRIZ PLURIANUAL (2)'!AM78</f>
        <v>1596825448</v>
      </c>
      <c r="AO81" s="1213">
        <f>'MATRIZ PLURIANUAL (2)'!AN78</f>
        <v>0</v>
      </c>
      <c r="AP81" s="1213">
        <f>'MATRIZ PLURIANUAL (2)'!AO78</f>
        <v>3069000000</v>
      </c>
      <c r="AQ81" s="1213">
        <f>'MATRIZ PLURIANUAL (2)'!AP78</f>
        <v>10099231657.84</v>
      </c>
      <c r="AR81" s="1213">
        <f>'MATRIZ PLURIANUAL (2)'!AQ78</f>
        <v>100000000</v>
      </c>
      <c r="AS81" s="1213">
        <f>'MATRIZ PLURIANUAL (2)'!AR78</f>
        <v>79053868.936000004</v>
      </c>
      <c r="AT81" s="1215">
        <f>'MATRIZ PLURIANUAL (2)'!AS78</f>
        <v>16210827965.103342</v>
      </c>
      <c r="AU81" s="1137"/>
    </row>
    <row r="82" spans="1:47" s="1030" customFormat="1" ht="288" customHeight="1">
      <c r="A82" s="1134"/>
      <c r="B82" s="1547" t="s">
        <v>147</v>
      </c>
      <c r="C82" s="1545" t="s">
        <v>148</v>
      </c>
      <c r="D82" s="1155" t="s">
        <v>778</v>
      </c>
      <c r="E82" s="1511">
        <f>'MATRIZ PLURIANUAL (2)'!E79</f>
        <v>3166014398.3758302</v>
      </c>
      <c r="F82" s="1511">
        <f>'MATRIZ PLURIANUAL (2)'!F79</f>
        <v>3689995122.25</v>
      </c>
      <c r="G82" s="1511">
        <f>'MATRIZ PLURIANUAL (2)'!G79</f>
        <v>0</v>
      </c>
      <c r="H82" s="1511">
        <f>'MATRIZ PLURIANUAL (2)'!H79</f>
        <v>0</v>
      </c>
      <c r="I82" s="1511">
        <f>'MATRIZ PLURIANUAL (2)'!I79</f>
        <v>24129155882.760014</v>
      </c>
      <c r="J82" s="1511">
        <f>'MATRIZ PLURIANUAL (2)'!J79</f>
        <v>0</v>
      </c>
      <c r="K82" s="1511">
        <f>'MATRIZ PLURIANUAL (2)'!K79</f>
        <v>422448943.30000001</v>
      </c>
      <c r="L82" s="1511">
        <f>'MATRIZ PLURIANUAL (2)'!L79</f>
        <v>31407614346.685841</v>
      </c>
      <c r="M82" s="1511">
        <f t="shared" si="1"/>
        <v>31407614346.685841</v>
      </c>
      <c r="N82" s="1519">
        <v>3.3000000000000002E-2</v>
      </c>
      <c r="O82" s="1511">
        <f>'MATRIZ PLURIANUAL (2)'!N79</f>
        <v>756250000</v>
      </c>
      <c r="P82" s="1511">
        <f>'MATRIZ PLURIANUAL (2)'!O79</f>
        <v>412820251</v>
      </c>
      <c r="Q82" s="1511">
        <f>'MATRIZ PLURIANUAL (2)'!P79</f>
        <v>0</v>
      </c>
      <c r="R82" s="1511">
        <f>'MATRIZ PLURIANUAL (2)'!Q79</f>
        <v>0</v>
      </c>
      <c r="S82" s="1511">
        <f>'MATRIZ PLURIANUAL (2)'!R79</f>
        <v>5046004521.9600105</v>
      </c>
      <c r="T82" s="1511">
        <f>'MATRIZ PLURIANUAL (2)'!S79</f>
        <v>0</v>
      </c>
      <c r="U82" s="1511">
        <f>'MATRIZ PLURIANUAL (2)'!T79</f>
        <v>190000000</v>
      </c>
      <c r="V82" s="1511">
        <f>'MATRIZ PLURIANUAL (2)'!U79</f>
        <v>6405074772.9600105</v>
      </c>
      <c r="W82" s="1511">
        <f>'MATRIZ PLURIANUAL (2)'!V79</f>
        <v>773358168.37100005</v>
      </c>
      <c r="X82" s="1511">
        <f>'MATRIZ PLURIANUAL (2)'!W79</f>
        <v>1070162500</v>
      </c>
      <c r="Y82" s="1511">
        <f>'MATRIZ PLURIANUAL (2)'!X79</f>
        <v>0</v>
      </c>
      <c r="Z82" s="1511">
        <f>'MATRIZ PLURIANUAL (2)'!Y79</f>
        <v>0</v>
      </c>
      <c r="AA82" s="1511">
        <f>'MATRIZ PLURIANUAL (2)'!Z79</f>
        <v>6516730660.4000006</v>
      </c>
      <c r="AB82" s="1511">
        <f>'MATRIZ PLURIANUAL (2)'!AA79</f>
        <v>0</v>
      </c>
      <c r="AC82" s="1511">
        <f>'MATRIZ PLURIANUAL (2)'!AB79</f>
        <v>106141070</v>
      </c>
      <c r="AD82" s="1511">
        <f>'MATRIZ PLURIANUAL (2)'!AC79</f>
        <v>8466392398.7710009</v>
      </c>
      <c r="AE82" s="1511">
        <f>'MATRIZ PLURIANUAL (2)'!AD79</f>
        <v>803039789</v>
      </c>
      <c r="AF82" s="1511">
        <f>'MATRIZ PLURIANUAL (2)'!AE79</f>
        <v>1090987375</v>
      </c>
      <c r="AG82" s="1511">
        <f>'MATRIZ PLURIANUAL (2)'!AF79</f>
        <v>0</v>
      </c>
      <c r="AH82" s="1511">
        <f>'MATRIZ PLURIANUAL (2)'!AG79</f>
        <v>0</v>
      </c>
      <c r="AI82" s="1511">
        <f>'MATRIZ PLURIANUAL (2)'!AH79</f>
        <v>6230084083.4000006</v>
      </c>
      <c r="AJ82" s="1511">
        <f>'MATRIZ PLURIANUAL (2)'!AI79</f>
        <v>0</v>
      </c>
      <c r="AK82" s="1511">
        <f>'MATRIZ PLURIANUAL (2)'!AJ79</f>
        <v>74298749</v>
      </c>
      <c r="AL82" s="1511">
        <f>'MATRIZ PLURIANUAL (2)'!AK79</f>
        <v>8198409996.4000006</v>
      </c>
      <c r="AM82" s="1511">
        <f>'MATRIZ PLURIANUAL (2)'!AL79</f>
        <v>833366441.00483</v>
      </c>
      <c r="AN82" s="1511">
        <f>'MATRIZ PLURIANUAL (2)'!AM79</f>
        <v>1116024996.25</v>
      </c>
      <c r="AO82" s="1511">
        <f>'MATRIZ PLURIANUAL (2)'!AN79</f>
        <v>0</v>
      </c>
      <c r="AP82" s="1511">
        <f>'MATRIZ PLURIANUAL (2)'!AO79</f>
        <v>0</v>
      </c>
      <c r="AQ82" s="1511">
        <f>'MATRIZ PLURIANUAL (2)'!AP79</f>
        <v>6336336617</v>
      </c>
      <c r="AR82" s="1511">
        <f>'MATRIZ PLURIANUAL (2)'!AQ79</f>
        <v>0</v>
      </c>
      <c r="AS82" s="1511">
        <f>'MATRIZ PLURIANUAL (2)'!AR79</f>
        <v>52009124.300000004</v>
      </c>
      <c r="AT82" s="1515">
        <f>'MATRIZ PLURIANUAL (2)'!AS79</f>
        <v>8337737178.5548296</v>
      </c>
      <c r="AU82" s="1135"/>
    </row>
    <row r="83" spans="1:47" s="1030" customFormat="1" ht="288" customHeight="1">
      <c r="A83" s="1134"/>
      <c r="B83" s="1548"/>
      <c r="C83" s="1546"/>
      <c r="D83" s="1155" t="s">
        <v>779</v>
      </c>
      <c r="E83" s="1512"/>
      <c r="F83" s="1512"/>
      <c r="G83" s="1512"/>
      <c r="H83" s="1512"/>
      <c r="I83" s="1512"/>
      <c r="J83" s="1512"/>
      <c r="K83" s="1512"/>
      <c r="L83" s="1512"/>
      <c r="M83" s="1512">
        <f t="shared" si="1"/>
        <v>0</v>
      </c>
      <c r="N83" s="1521"/>
      <c r="O83" s="1512"/>
      <c r="P83" s="1512"/>
      <c r="Q83" s="1512"/>
      <c r="R83" s="1512"/>
      <c r="S83" s="1512"/>
      <c r="T83" s="1512"/>
      <c r="U83" s="1512"/>
      <c r="V83" s="1512"/>
      <c r="W83" s="1512"/>
      <c r="X83" s="1512"/>
      <c r="Y83" s="1512"/>
      <c r="Z83" s="1512"/>
      <c r="AA83" s="1512"/>
      <c r="AB83" s="1512"/>
      <c r="AC83" s="1512"/>
      <c r="AD83" s="1512"/>
      <c r="AE83" s="1512"/>
      <c r="AF83" s="1512"/>
      <c r="AG83" s="1512"/>
      <c r="AH83" s="1512"/>
      <c r="AI83" s="1512"/>
      <c r="AJ83" s="1512"/>
      <c r="AK83" s="1512"/>
      <c r="AL83" s="1512"/>
      <c r="AM83" s="1512"/>
      <c r="AN83" s="1512"/>
      <c r="AO83" s="1512"/>
      <c r="AP83" s="1512"/>
      <c r="AQ83" s="1512"/>
      <c r="AR83" s="1512"/>
      <c r="AS83" s="1512"/>
      <c r="AT83" s="1517"/>
      <c r="AU83" s="1135"/>
    </row>
    <row r="84" spans="1:47" s="1030" customFormat="1" ht="288" customHeight="1">
      <c r="A84" s="1134"/>
      <c r="B84" s="1548"/>
      <c r="C84" s="1166" t="s">
        <v>149</v>
      </c>
      <c r="D84" s="1155" t="s">
        <v>780</v>
      </c>
      <c r="E84" s="1210">
        <f>'MATRIZ PLURIANUAL (2)'!E82</f>
        <v>0</v>
      </c>
      <c r="F84" s="1210">
        <f>'MATRIZ PLURIANUAL (2)'!F82</f>
        <v>1383924041.75</v>
      </c>
      <c r="G84" s="1210">
        <f>'MATRIZ PLURIANUAL (2)'!G82</f>
        <v>0</v>
      </c>
      <c r="H84" s="1210">
        <f>'MATRIZ PLURIANUAL (2)'!H82</f>
        <v>12628567563</v>
      </c>
      <c r="I84" s="1210">
        <f>'MATRIZ PLURIANUAL (2)'!I82</f>
        <v>600000000</v>
      </c>
      <c r="J84" s="1210">
        <f>'MATRIZ PLURIANUAL (2)'!J82</f>
        <v>0</v>
      </c>
      <c r="K84" s="1210">
        <f>'MATRIZ PLURIANUAL (2)'!K82</f>
        <v>0</v>
      </c>
      <c r="L84" s="1210">
        <f>'MATRIZ PLURIANUAL (2)'!L82</f>
        <v>14612491604.75</v>
      </c>
      <c r="M84" s="1210">
        <f t="shared" si="1"/>
        <v>14612491604.75</v>
      </c>
      <c r="N84" s="1211">
        <v>1.0999999999999999E-2</v>
      </c>
      <c r="O84" s="1210">
        <f>'MATRIZ PLURIANUAL (2)'!N82</f>
        <v>0</v>
      </c>
      <c r="P84" s="1210">
        <f>'MATRIZ PLURIANUAL (2)'!O82</f>
        <v>401250000</v>
      </c>
      <c r="Q84" s="1210">
        <f>'MATRIZ PLURIANUAL (2)'!P82</f>
        <v>0</v>
      </c>
      <c r="R84" s="1210">
        <f>'MATRIZ PLURIANUAL (2)'!Q82</f>
        <v>3644567563</v>
      </c>
      <c r="S84" s="1210">
        <f>'MATRIZ PLURIANUAL (2)'!R82</f>
        <v>600000000</v>
      </c>
      <c r="T84" s="1210">
        <f>'MATRIZ PLURIANUAL (2)'!S82</f>
        <v>0</v>
      </c>
      <c r="U84" s="1210">
        <f>'MATRIZ PLURIANUAL (2)'!T82</f>
        <v>0</v>
      </c>
      <c r="V84" s="1210">
        <f>'MATRIZ PLURIANUAL (2)'!U82</f>
        <v>4645817563</v>
      </c>
      <c r="W84" s="1210">
        <f>'MATRIZ PLURIANUAL (2)'!V82</f>
        <v>0</v>
      </c>
      <c r="X84" s="1210">
        <f>'MATRIZ PLURIANUAL (2)'!W82</f>
        <v>361807500</v>
      </c>
      <c r="Y84" s="1210">
        <f>'MATRIZ PLURIANUAL (2)'!X82</f>
        <v>0</v>
      </c>
      <c r="Z84" s="1210">
        <f>'MATRIZ PLURIANUAL (2)'!Y82</f>
        <v>2921000000</v>
      </c>
      <c r="AA84" s="1210">
        <f>'MATRIZ PLURIANUAL (2)'!Z82</f>
        <v>0</v>
      </c>
      <c r="AB84" s="1210">
        <f>'MATRIZ PLURIANUAL (2)'!AA82</f>
        <v>0</v>
      </c>
      <c r="AC84" s="1210">
        <f>'MATRIZ PLURIANUAL (2)'!AB82</f>
        <v>0</v>
      </c>
      <c r="AD84" s="1210">
        <f>'MATRIZ PLURIANUAL (2)'!AC82</f>
        <v>3282807500</v>
      </c>
      <c r="AE84" s="1210">
        <f>'MATRIZ PLURIANUAL (2)'!AD82</f>
        <v>0</v>
      </c>
      <c r="AF84" s="1210">
        <f>'MATRIZ PLURIANUAL (2)'!AE82</f>
        <v>326329725</v>
      </c>
      <c r="AG84" s="1210">
        <f>'MATRIZ PLURIANUAL (2)'!AF82</f>
        <v>0</v>
      </c>
      <c r="AH84" s="1210">
        <f>'MATRIZ PLURIANUAL (2)'!AG82</f>
        <v>2994000000</v>
      </c>
      <c r="AI84" s="1210">
        <f>'MATRIZ PLURIANUAL (2)'!AH82</f>
        <v>0</v>
      </c>
      <c r="AJ84" s="1210">
        <f>'MATRIZ PLURIANUAL (2)'!AI82</f>
        <v>0</v>
      </c>
      <c r="AK84" s="1210">
        <f>'MATRIZ PLURIANUAL (2)'!AJ82</f>
        <v>0</v>
      </c>
      <c r="AL84" s="1210">
        <f>'MATRIZ PLURIANUAL (2)'!AK82</f>
        <v>3320329725</v>
      </c>
      <c r="AM84" s="1210">
        <f>'MATRIZ PLURIANUAL (2)'!AL82</f>
        <v>0</v>
      </c>
      <c r="AN84" s="1210">
        <f>'MATRIZ PLURIANUAL (2)'!AM82</f>
        <v>294536816.75</v>
      </c>
      <c r="AO84" s="1210">
        <f>'MATRIZ PLURIANUAL (2)'!AN82</f>
        <v>0</v>
      </c>
      <c r="AP84" s="1210">
        <f>'MATRIZ PLURIANUAL (2)'!AO82</f>
        <v>3069000000</v>
      </c>
      <c r="AQ84" s="1210">
        <f>'MATRIZ PLURIANUAL (2)'!AP82</f>
        <v>0</v>
      </c>
      <c r="AR84" s="1210">
        <f>'MATRIZ PLURIANUAL (2)'!AQ82</f>
        <v>0</v>
      </c>
      <c r="AS84" s="1210">
        <f>'MATRIZ PLURIANUAL (2)'!AR82</f>
        <v>0</v>
      </c>
      <c r="AT84" s="1212">
        <f>'MATRIZ PLURIANUAL (2)'!AS82</f>
        <v>3363536816.75</v>
      </c>
      <c r="AU84" s="1135"/>
    </row>
    <row r="85" spans="1:47" s="1030" customFormat="1" ht="288" customHeight="1">
      <c r="A85" s="1134"/>
      <c r="B85" s="1548"/>
      <c r="C85" s="1545" t="s">
        <v>150</v>
      </c>
      <c r="D85" s="1155" t="s">
        <v>781</v>
      </c>
      <c r="E85" s="1511">
        <f>'MATRIZ PLURIANUAL (2)'!E84</f>
        <v>723847167.64268255</v>
      </c>
      <c r="F85" s="1511">
        <f>'MATRIZ PLURIANUAL (2)'!F84</f>
        <v>652852613.15999997</v>
      </c>
      <c r="G85" s="1511">
        <f>'MATRIZ PLURIANUAL (2)'!G84</f>
        <v>0</v>
      </c>
      <c r="H85" s="1511">
        <f>'MATRIZ PLURIANUAL (2)'!H84</f>
        <v>0</v>
      </c>
      <c r="I85" s="1511">
        <f>'MATRIZ PLURIANUAL (2)'!I84</f>
        <v>11889366847.375999</v>
      </c>
      <c r="J85" s="1511">
        <f>'MATRIZ PLURIANUAL (2)'!J84</f>
        <v>400000000</v>
      </c>
      <c r="K85" s="1511">
        <f>'MATRIZ PLURIANUAL (2)'!K84</f>
        <v>57439767.526000001</v>
      </c>
      <c r="L85" s="1511">
        <f>'MATRIZ PLURIANUAL (2)'!L84</f>
        <v>13723506395.704681</v>
      </c>
      <c r="M85" s="1511">
        <f t="shared" si="1"/>
        <v>13323506395.704681</v>
      </c>
      <c r="N85" s="1519">
        <v>5.0000000000000001E-3</v>
      </c>
      <c r="O85" s="1511">
        <f>'MATRIZ PLURIANUAL (2)'!N84</f>
        <v>193699000</v>
      </c>
      <c r="P85" s="1511">
        <f>'MATRIZ PLURIANUAL (2)'!O84</f>
        <v>32134478.159999996</v>
      </c>
      <c r="Q85" s="1511">
        <f>'MATRIZ PLURIANUAL (2)'!P84</f>
        <v>0</v>
      </c>
      <c r="R85" s="1511">
        <f>'MATRIZ PLURIANUAL (2)'!Q84</f>
        <v>0</v>
      </c>
      <c r="S85" s="1511">
        <f>'MATRIZ PLURIANUAL (2)'!R84</f>
        <v>7097073548</v>
      </c>
      <c r="T85" s="1511">
        <f>'MATRIZ PLURIANUAL (2)'!S84</f>
        <v>100000000</v>
      </c>
      <c r="U85" s="1511">
        <f>'MATRIZ PLURIANUAL (2)'!T84</f>
        <v>6301000</v>
      </c>
      <c r="V85" s="1511">
        <f>'MATRIZ PLURIANUAL (2)'!U84</f>
        <v>7429208026.1599998</v>
      </c>
      <c r="W85" s="1511">
        <f>'MATRIZ PLURIANUAL (2)'!V84</f>
        <v>170138797.04161999</v>
      </c>
      <c r="X85" s="1511">
        <f>'MATRIZ PLURIANUAL (2)'!W84</f>
        <v>228350000</v>
      </c>
      <c r="Y85" s="1511">
        <f>'MATRIZ PLURIANUAL (2)'!X84</f>
        <v>0</v>
      </c>
      <c r="Z85" s="1511">
        <f>'MATRIZ PLURIANUAL (2)'!Y84</f>
        <v>0</v>
      </c>
      <c r="AA85" s="1511">
        <f>'MATRIZ PLURIANUAL (2)'!Z84</f>
        <v>1631680745.2879999</v>
      </c>
      <c r="AB85" s="1511">
        <f>'MATRIZ PLURIANUAL (2)'!AA84</f>
        <v>100000000</v>
      </c>
      <c r="AC85" s="1511">
        <f>'MATRIZ PLURIANUAL (2)'!AB84</f>
        <v>23351035.399999999</v>
      </c>
      <c r="AD85" s="1511">
        <f>'MATRIZ PLURIANUAL (2)'!AC84</f>
        <v>2153520577.72962</v>
      </c>
      <c r="AE85" s="1511">
        <f>'MATRIZ PLURIANUAL (2)'!AD84</f>
        <v>176668753.57999998</v>
      </c>
      <c r="AF85" s="1511">
        <f>'MATRIZ PLURIANUAL (2)'!AE84</f>
        <v>206104500</v>
      </c>
      <c r="AG85" s="1511">
        <f>'MATRIZ PLURIANUAL (2)'!AF84</f>
        <v>0</v>
      </c>
      <c r="AH85" s="1511">
        <f>'MATRIZ PLURIANUAL (2)'!AG84</f>
        <v>0</v>
      </c>
      <c r="AI85" s="1511">
        <f>'MATRIZ PLURIANUAL (2)'!AH84</f>
        <v>1568618498.3479998</v>
      </c>
      <c r="AJ85" s="1511">
        <f>'MATRIZ PLURIANUAL (2)'!AI84</f>
        <v>100000000</v>
      </c>
      <c r="AK85" s="1511">
        <f>'MATRIZ PLURIANUAL (2)'!AJ84</f>
        <v>16345724.779999999</v>
      </c>
      <c r="AL85" s="1511">
        <f>'MATRIZ PLURIANUAL (2)'!AK84</f>
        <v>2067737476.7079997</v>
      </c>
      <c r="AM85" s="1511">
        <f>'MATRIZ PLURIANUAL (2)'!AL84</f>
        <v>183340617.02106258</v>
      </c>
      <c r="AN85" s="1511">
        <f>'MATRIZ PLURIANUAL (2)'!AM84</f>
        <v>186263635</v>
      </c>
      <c r="AO85" s="1511">
        <f>'MATRIZ PLURIANUAL (2)'!AN84</f>
        <v>0</v>
      </c>
      <c r="AP85" s="1511">
        <f>'MATRIZ PLURIANUAL (2)'!AO84</f>
        <v>0</v>
      </c>
      <c r="AQ85" s="1511">
        <f>'MATRIZ PLURIANUAL (2)'!AP84</f>
        <v>1591994055.74</v>
      </c>
      <c r="AR85" s="1511">
        <f>'MATRIZ PLURIANUAL (2)'!AQ84</f>
        <v>100000000</v>
      </c>
      <c r="AS85" s="1511">
        <f>'MATRIZ PLURIANUAL (2)'!AR84</f>
        <v>11442007.345999999</v>
      </c>
      <c r="AT85" s="1515">
        <f>'MATRIZ PLURIANUAL (2)'!AS84</f>
        <v>2073040315.1070626</v>
      </c>
      <c r="AU85" s="1135"/>
    </row>
    <row r="86" spans="1:47" s="1030" customFormat="1" ht="288" customHeight="1">
      <c r="A86" s="1134"/>
      <c r="B86" s="1548"/>
      <c r="C86" s="1546"/>
      <c r="D86" s="1155" t="s">
        <v>782</v>
      </c>
      <c r="E86" s="1512"/>
      <c r="F86" s="1512"/>
      <c r="G86" s="1512"/>
      <c r="H86" s="1512"/>
      <c r="I86" s="1512"/>
      <c r="J86" s="1512"/>
      <c r="K86" s="1512"/>
      <c r="L86" s="1512"/>
      <c r="M86" s="1512">
        <f t="shared" si="1"/>
        <v>0</v>
      </c>
      <c r="N86" s="1521"/>
      <c r="O86" s="1512"/>
      <c r="P86" s="1512"/>
      <c r="Q86" s="1512"/>
      <c r="R86" s="1512"/>
      <c r="S86" s="1512"/>
      <c r="T86" s="1512"/>
      <c r="U86" s="1512"/>
      <c r="V86" s="1512"/>
      <c r="W86" s="1512"/>
      <c r="X86" s="1512"/>
      <c r="Y86" s="1512"/>
      <c r="Z86" s="1512"/>
      <c r="AA86" s="1512"/>
      <c r="AB86" s="1512"/>
      <c r="AC86" s="1512"/>
      <c r="AD86" s="1512"/>
      <c r="AE86" s="1512"/>
      <c r="AF86" s="1512"/>
      <c r="AG86" s="1512"/>
      <c r="AH86" s="1512"/>
      <c r="AI86" s="1512"/>
      <c r="AJ86" s="1512"/>
      <c r="AK86" s="1512"/>
      <c r="AL86" s="1512"/>
      <c r="AM86" s="1512"/>
      <c r="AN86" s="1512"/>
      <c r="AO86" s="1512"/>
      <c r="AP86" s="1512"/>
      <c r="AQ86" s="1512"/>
      <c r="AR86" s="1512"/>
      <c r="AS86" s="1512"/>
      <c r="AT86" s="1517"/>
      <c r="AU86" s="1135"/>
    </row>
    <row r="87" spans="1:47" s="1030" customFormat="1" ht="288" customHeight="1">
      <c r="A87" s="1134"/>
      <c r="B87" s="1548"/>
      <c r="C87" s="1545" t="s">
        <v>151</v>
      </c>
      <c r="D87" s="1155" t="s">
        <v>783</v>
      </c>
      <c r="E87" s="1511">
        <f>'MATRIZ PLURIANUAL (2)'!E87</f>
        <v>722929319.51274896</v>
      </c>
      <c r="F87" s="1511">
        <f>'MATRIZ PLURIANUAL (2)'!F87</f>
        <v>0</v>
      </c>
      <c r="G87" s="1511">
        <f>'MATRIZ PLURIANUAL (2)'!G87</f>
        <v>0</v>
      </c>
      <c r="H87" s="1511">
        <f>'MATRIZ PLURIANUAL (2)'!H87</f>
        <v>0</v>
      </c>
      <c r="I87" s="1511">
        <f>'MATRIZ PLURIANUAL (2)'!I87</f>
        <v>7234945408.2399998</v>
      </c>
      <c r="J87" s="1511">
        <f>'MATRIZ PLURIANUAL (2)'!J87</f>
        <v>0</v>
      </c>
      <c r="K87" s="1511">
        <f>'MATRIZ PLURIANUAL (2)'!K87</f>
        <v>69734682.99000001</v>
      </c>
      <c r="L87" s="1511">
        <f>'MATRIZ PLURIANUAL (2)'!L87</f>
        <v>8027609410.7427483</v>
      </c>
      <c r="M87" s="1511">
        <f t="shared" si="1"/>
        <v>8027609410.7427483</v>
      </c>
      <c r="N87" s="1519">
        <v>7.0000000000000001E-3</v>
      </c>
      <c r="O87" s="1511">
        <f>'MATRIZ PLURIANUAL (2)'!N87</f>
        <v>0</v>
      </c>
      <c r="P87" s="1511">
        <f>'MATRIZ PLURIANUAL (2)'!O87</f>
        <v>0</v>
      </c>
      <c r="Q87" s="1511">
        <f>'MATRIZ PLURIANUAL (2)'!P87</f>
        <v>0</v>
      </c>
      <c r="R87" s="1511">
        <f>'MATRIZ PLURIANUAL (2)'!Q87</f>
        <v>0</v>
      </c>
      <c r="S87" s="1511">
        <f>'MATRIZ PLURIANUAL (2)'!R87</f>
        <v>700000000</v>
      </c>
      <c r="T87" s="1511">
        <f>'MATRIZ PLURIANUAL (2)'!S87</f>
        <v>0</v>
      </c>
      <c r="U87" s="1511">
        <f>'MATRIZ PLURIANUAL (2)'!T87</f>
        <v>0</v>
      </c>
      <c r="V87" s="1511">
        <f>'MATRIZ PLURIANUAL (2)'!U87</f>
        <v>700000000</v>
      </c>
      <c r="W87" s="1511">
        <f>'MATRIZ PLURIANUAL (2)'!V87</f>
        <v>232007450.5113</v>
      </c>
      <c r="X87" s="1511">
        <f>'MATRIZ PLURIANUAL (2)'!W87</f>
        <v>0</v>
      </c>
      <c r="Y87" s="1511">
        <f>'MATRIZ PLURIANUAL (2)'!X87</f>
        <v>0</v>
      </c>
      <c r="Z87" s="1511">
        <f>'MATRIZ PLURIANUAL (2)'!Y87</f>
        <v>0</v>
      </c>
      <c r="AA87" s="1511">
        <f>'MATRIZ PLURIANUAL (2)'!Z87</f>
        <v>2225019198.1199999</v>
      </c>
      <c r="AB87" s="1511">
        <f>'MATRIZ PLURIANUAL (2)'!AA87</f>
        <v>0</v>
      </c>
      <c r="AC87" s="1511">
        <f>'MATRIZ PLURIANUAL (2)'!AB87</f>
        <v>31842321</v>
      </c>
      <c r="AD87" s="1511">
        <f>'MATRIZ PLURIANUAL (2)'!AC87</f>
        <v>2488868969.6313</v>
      </c>
      <c r="AE87" s="1511">
        <f>'MATRIZ PLURIANUAL (2)'!AD87</f>
        <v>240911936.69999999</v>
      </c>
      <c r="AF87" s="1511">
        <f>'MATRIZ PLURIANUAL (2)'!AE87</f>
        <v>0</v>
      </c>
      <c r="AG87" s="1511">
        <f>'MATRIZ PLURIANUAL (2)'!AF87</f>
        <v>0</v>
      </c>
      <c r="AH87" s="1511">
        <f>'MATRIZ PLURIANUAL (2)'!AG87</f>
        <v>0</v>
      </c>
      <c r="AI87" s="1511">
        <f>'MATRIZ PLURIANUAL (2)'!AH87</f>
        <v>2139025225.02</v>
      </c>
      <c r="AJ87" s="1511">
        <f>'MATRIZ PLURIANUAL (2)'!AI87</f>
        <v>0</v>
      </c>
      <c r="AK87" s="1511">
        <f>'MATRIZ PLURIANUAL (2)'!AJ87</f>
        <v>22289624.699999999</v>
      </c>
      <c r="AL87" s="1511">
        <f>'MATRIZ PLURIANUAL (2)'!AK87</f>
        <v>2402226786.4199996</v>
      </c>
      <c r="AM87" s="1511">
        <f>'MATRIZ PLURIANUAL (2)'!AL87</f>
        <v>250009932.30144897</v>
      </c>
      <c r="AN87" s="1511">
        <f>'MATRIZ PLURIANUAL (2)'!AM87</f>
        <v>0</v>
      </c>
      <c r="AO87" s="1511">
        <f>'MATRIZ PLURIANUAL (2)'!AN87</f>
        <v>0</v>
      </c>
      <c r="AP87" s="1511">
        <f>'MATRIZ PLURIANUAL (2)'!AO87</f>
        <v>0</v>
      </c>
      <c r="AQ87" s="1511">
        <f>'MATRIZ PLURIANUAL (2)'!AP87</f>
        <v>2170900985.0999999</v>
      </c>
      <c r="AR87" s="1511">
        <f>'MATRIZ PLURIANUAL (2)'!AQ87</f>
        <v>0</v>
      </c>
      <c r="AS87" s="1511">
        <f>'MATRIZ PLURIANUAL (2)'!AR87</f>
        <v>15602737.289999999</v>
      </c>
      <c r="AT87" s="1515">
        <f>'MATRIZ PLURIANUAL (2)'!AS87</f>
        <v>2436513654.6914487</v>
      </c>
      <c r="AU87" s="1135"/>
    </row>
    <row r="88" spans="1:47" s="1030" customFormat="1" ht="288" customHeight="1">
      <c r="A88" s="1134"/>
      <c r="B88" s="1549"/>
      <c r="C88" s="1546"/>
      <c r="D88" s="1155" t="s">
        <v>784</v>
      </c>
      <c r="E88" s="1512"/>
      <c r="F88" s="1512"/>
      <c r="G88" s="1512"/>
      <c r="H88" s="1512"/>
      <c r="I88" s="1512"/>
      <c r="J88" s="1512"/>
      <c r="K88" s="1512"/>
      <c r="L88" s="1512"/>
      <c r="M88" s="1512">
        <f t="shared" si="1"/>
        <v>0</v>
      </c>
      <c r="N88" s="1521"/>
      <c r="O88" s="1512"/>
      <c r="P88" s="1512"/>
      <c r="Q88" s="1512"/>
      <c r="R88" s="1512"/>
      <c r="S88" s="1512"/>
      <c r="T88" s="1512"/>
      <c r="U88" s="1512"/>
      <c r="V88" s="1512"/>
      <c r="W88" s="1512"/>
      <c r="X88" s="1512"/>
      <c r="Y88" s="1512"/>
      <c r="Z88" s="1512"/>
      <c r="AA88" s="1512"/>
      <c r="AB88" s="1512"/>
      <c r="AC88" s="1512"/>
      <c r="AD88" s="1512"/>
      <c r="AE88" s="1512"/>
      <c r="AF88" s="1512"/>
      <c r="AG88" s="1512"/>
      <c r="AH88" s="1512"/>
      <c r="AI88" s="1512"/>
      <c r="AJ88" s="1512"/>
      <c r="AK88" s="1512"/>
      <c r="AL88" s="1512"/>
      <c r="AM88" s="1512"/>
      <c r="AN88" s="1512"/>
      <c r="AO88" s="1512"/>
      <c r="AP88" s="1512"/>
      <c r="AQ88" s="1512"/>
      <c r="AR88" s="1512"/>
      <c r="AS88" s="1512"/>
      <c r="AT88" s="1517"/>
      <c r="AU88" s="1135"/>
    </row>
    <row r="89" spans="1:47" s="1031" customFormat="1" ht="237" customHeight="1">
      <c r="A89" s="1136"/>
      <c r="B89" s="1170" t="s">
        <v>632</v>
      </c>
      <c r="C89" s="1171"/>
      <c r="D89" s="1172"/>
      <c r="E89" s="1216">
        <f>'MATRIZ PLURIANUAL (2)'!E90</f>
        <v>1116405759.350332</v>
      </c>
      <c r="F89" s="1216">
        <f>'MATRIZ PLURIANUAL (2)'!F90</f>
        <v>22173593538.790001</v>
      </c>
      <c r="G89" s="1216">
        <f>'MATRIZ PLURIANUAL (2)'!G90</f>
        <v>0</v>
      </c>
      <c r="H89" s="1216">
        <f>'MATRIZ PLURIANUAL (2)'!H90</f>
        <v>0</v>
      </c>
      <c r="I89" s="1216">
        <f>'MATRIZ PLURIANUAL (2)'!I90</f>
        <v>11913260544.32</v>
      </c>
      <c r="J89" s="1216">
        <f>'MATRIZ PLURIANUAL (2)'!J90</f>
        <v>0</v>
      </c>
      <c r="K89" s="1216">
        <f>'MATRIZ PLURIANUAL (2)'!K90</f>
        <v>92979577.319999993</v>
      </c>
      <c r="L89" s="1216">
        <f>'MATRIZ PLURIANUAL (2)'!L90</f>
        <v>35296239419.780327</v>
      </c>
      <c r="M89" s="1216">
        <f t="shared" si="1"/>
        <v>35296239419.780327</v>
      </c>
      <c r="N89" s="1217">
        <f>SUM(N90:N98)</f>
        <v>2.4E-2</v>
      </c>
      <c r="O89" s="1216">
        <f>'MATRIZ PLURIANUAL (2)'!N90</f>
        <v>152500000</v>
      </c>
      <c r="P89" s="1216">
        <f>'MATRIZ PLURIANUAL (2)'!O90</f>
        <v>9545605238.2900009</v>
      </c>
      <c r="Q89" s="1216">
        <f>'MATRIZ PLURIANUAL (2)'!P90</f>
        <v>0</v>
      </c>
      <c r="R89" s="1216">
        <f>'MATRIZ PLURIANUAL (2)'!Q90</f>
        <v>0</v>
      </c>
      <c r="S89" s="1216">
        <f>'MATRIZ PLURIANUAL (2)'!R90</f>
        <v>800000000</v>
      </c>
      <c r="T89" s="1216">
        <f>'MATRIZ PLURIANUAL (2)'!S90</f>
        <v>0</v>
      </c>
      <c r="U89" s="1216">
        <f>'MATRIZ PLURIANUAL (2)'!T90</f>
        <v>0</v>
      </c>
      <c r="V89" s="1216">
        <f>'MATRIZ PLURIANUAL (2)'!U90</f>
        <v>10498105238.290001</v>
      </c>
      <c r="W89" s="1216">
        <f>'MATRIZ PLURIANUAL (2)'!V90</f>
        <v>309343267.3484</v>
      </c>
      <c r="X89" s="1216">
        <f>'MATRIZ PLURIANUAL (2)'!W90</f>
        <v>5023345000</v>
      </c>
      <c r="Y89" s="1216">
        <f>'MATRIZ PLURIANUAL (2)'!X90</f>
        <v>0</v>
      </c>
      <c r="Z89" s="1216">
        <f>'MATRIZ PLURIANUAL (2)'!Y90</f>
        <v>0</v>
      </c>
      <c r="AA89" s="1216">
        <f>'MATRIZ PLURIANUAL (2)'!Z90</f>
        <v>3766692264.1599998</v>
      </c>
      <c r="AB89" s="1216">
        <f>'MATRIZ PLURIANUAL (2)'!AA90</f>
        <v>0</v>
      </c>
      <c r="AC89" s="1216">
        <f>'MATRIZ PLURIANUAL (2)'!AB90</f>
        <v>42456428</v>
      </c>
      <c r="AD89" s="1216">
        <f>'MATRIZ PLURIANUAL (2)'!AC90</f>
        <v>9141836959.5084</v>
      </c>
      <c r="AE89" s="1216">
        <f>'MATRIZ PLURIANUAL (2)'!AD90</f>
        <v>321215915.60000002</v>
      </c>
      <c r="AF89" s="1216">
        <f>'MATRIZ PLURIANUAL (2)'!AE90</f>
        <v>4308313350</v>
      </c>
      <c r="AG89" s="1216">
        <f>'MATRIZ PLURIANUAL (2)'!AF90</f>
        <v>0</v>
      </c>
      <c r="AH89" s="1216">
        <f>'MATRIZ PLURIANUAL (2)'!AG90</f>
        <v>0</v>
      </c>
      <c r="AI89" s="1216">
        <f>'MATRIZ PLURIANUAL (2)'!AH90</f>
        <v>3652033633.3600001</v>
      </c>
      <c r="AJ89" s="1216">
        <f>'MATRIZ PLURIANUAL (2)'!AI90</f>
        <v>0</v>
      </c>
      <c r="AK89" s="1216">
        <f>'MATRIZ PLURIANUAL (2)'!AJ90</f>
        <v>29719499.600000001</v>
      </c>
      <c r="AL89" s="1216">
        <f>'MATRIZ PLURIANUAL (2)'!AK90</f>
        <v>8311282398.5599995</v>
      </c>
      <c r="AM89" s="1216">
        <f>'MATRIZ PLURIANUAL (2)'!AL90</f>
        <v>333346576.401932</v>
      </c>
      <c r="AN89" s="1216">
        <f>'MATRIZ PLURIANUAL (2)'!AM90</f>
        <v>3296329950.5</v>
      </c>
      <c r="AO89" s="1216">
        <f>'MATRIZ PLURIANUAL (2)'!AN90</f>
        <v>0</v>
      </c>
      <c r="AP89" s="1216">
        <f>'MATRIZ PLURIANUAL (2)'!AO90</f>
        <v>0</v>
      </c>
      <c r="AQ89" s="1216">
        <f>'MATRIZ PLURIANUAL (2)'!AP90</f>
        <v>3694534646.8000002</v>
      </c>
      <c r="AR89" s="1216">
        <f>'MATRIZ PLURIANUAL (2)'!AQ90</f>
        <v>0</v>
      </c>
      <c r="AS89" s="1216">
        <f>'MATRIZ PLURIANUAL (2)'!AR90</f>
        <v>20803649.719999999</v>
      </c>
      <c r="AT89" s="1218">
        <f>'MATRIZ PLURIANUAL (2)'!AS90</f>
        <v>7345014823.4219322</v>
      </c>
      <c r="AU89" s="1137"/>
    </row>
    <row r="90" spans="1:47" s="1030" customFormat="1" ht="339" customHeight="1">
      <c r="A90" s="1134"/>
      <c r="B90" s="1547" t="s">
        <v>152</v>
      </c>
      <c r="C90" s="1545" t="s">
        <v>153</v>
      </c>
      <c r="D90" s="1155" t="s">
        <v>785</v>
      </c>
      <c r="E90" s="1511">
        <f>'MATRIZ PLURIANUAL (2)'!E91</f>
        <v>725429319.51274896</v>
      </c>
      <c r="F90" s="1511">
        <f>'MATRIZ PLURIANUAL (2)'!F91</f>
        <v>240435440.5</v>
      </c>
      <c r="G90" s="1511">
        <f>'MATRIZ PLURIANUAL (2)'!G91</f>
        <v>0</v>
      </c>
      <c r="H90" s="1511">
        <f>'MATRIZ PLURIANUAL (2)'!H91</f>
        <v>0</v>
      </c>
      <c r="I90" s="1511">
        <f>'MATRIZ PLURIANUAL (2)'!I91</f>
        <v>6934945408.2399998</v>
      </c>
      <c r="J90" s="1511">
        <f>'MATRIZ PLURIANUAL (2)'!J91</f>
        <v>0</v>
      </c>
      <c r="K90" s="1511">
        <f>'MATRIZ PLURIANUAL (2)'!K91</f>
        <v>69734682.99000001</v>
      </c>
      <c r="L90" s="1511">
        <f>'MATRIZ PLURIANUAL (2)'!L91</f>
        <v>7970544851.2427483</v>
      </c>
      <c r="M90" s="1511">
        <f t="shared" si="1"/>
        <v>7970544851.2427483</v>
      </c>
      <c r="N90" s="1519">
        <v>7.0000000000000001E-3</v>
      </c>
      <c r="O90" s="1511">
        <f>'MATRIZ PLURIANUAL (2)'!N91</f>
        <v>2500000</v>
      </c>
      <c r="P90" s="1511">
        <f>'MATRIZ PLURIANUAL (2)'!O91</f>
        <v>1500000</v>
      </c>
      <c r="Q90" s="1511">
        <f>'MATRIZ PLURIANUAL (2)'!P91</f>
        <v>0</v>
      </c>
      <c r="R90" s="1511">
        <f>'MATRIZ PLURIANUAL (2)'!Q91</f>
        <v>0</v>
      </c>
      <c r="S90" s="1511">
        <f>'MATRIZ PLURIANUAL (2)'!R91</f>
        <v>400000000</v>
      </c>
      <c r="T90" s="1511">
        <f>'MATRIZ PLURIANUAL (2)'!S91</f>
        <v>0</v>
      </c>
      <c r="U90" s="1511">
        <f>'MATRIZ PLURIANUAL (2)'!T91</f>
        <v>0</v>
      </c>
      <c r="V90" s="1511">
        <f>'MATRIZ PLURIANUAL (2)'!U91</f>
        <v>404000000</v>
      </c>
      <c r="W90" s="1511">
        <f>'MATRIZ PLURIANUAL (2)'!V91</f>
        <v>232007450.5113</v>
      </c>
      <c r="X90" s="1511">
        <f>'MATRIZ PLURIANUAL (2)'!W91</f>
        <v>87945000</v>
      </c>
      <c r="Y90" s="1511">
        <f>'MATRIZ PLURIANUAL (2)'!X91</f>
        <v>0</v>
      </c>
      <c r="Z90" s="1511">
        <f>'MATRIZ PLURIANUAL (2)'!Y91</f>
        <v>0</v>
      </c>
      <c r="AA90" s="1511">
        <f>'MATRIZ PLURIANUAL (2)'!Z91</f>
        <v>2225019198.1199999</v>
      </c>
      <c r="AB90" s="1511">
        <f>'MATRIZ PLURIANUAL (2)'!AA91</f>
        <v>0</v>
      </c>
      <c r="AC90" s="1511">
        <f>'MATRIZ PLURIANUAL (2)'!AB91</f>
        <v>31842321</v>
      </c>
      <c r="AD90" s="1511">
        <f>'MATRIZ PLURIANUAL (2)'!AC91</f>
        <v>2576813969.6313</v>
      </c>
      <c r="AE90" s="1511">
        <f>'MATRIZ PLURIANUAL (2)'!AD91</f>
        <v>240911936.69999999</v>
      </c>
      <c r="AF90" s="1511">
        <f>'MATRIZ PLURIANUAL (2)'!AE91</f>
        <v>79351350</v>
      </c>
      <c r="AG90" s="1511">
        <f>'MATRIZ PLURIANUAL (2)'!AF91</f>
        <v>0</v>
      </c>
      <c r="AH90" s="1511">
        <f>'MATRIZ PLURIANUAL (2)'!AG91</f>
        <v>0</v>
      </c>
      <c r="AI90" s="1511">
        <f>'MATRIZ PLURIANUAL (2)'!AH91</f>
        <v>2139025225.02</v>
      </c>
      <c r="AJ90" s="1511">
        <f>'MATRIZ PLURIANUAL (2)'!AI91</f>
        <v>0</v>
      </c>
      <c r="AK90" s="1511">
        <f>'MATRIZ PLURIANUAL (2)'!AJ91</f>
        <v>22289624.699999999</v>
      </c>
      <c r="AL90" s="1511">
        <f>'MATRIZ PLURIANUAL (2)'!AK91</f>
        <v>2481578136.4199996</v>
      </c>
      <c r="AM90" s="1511">
        <f>'MATRIZ PLURIANUAL (2)'!AL91</f>
        <v>250009932.30144897</v>
      </c>
      <c r="AN90" s="1511">
        <f>'MATRIZ PLURIANUAL (2)'!AM91</f>
        <v>71639090.5</v>
      </c>
      <c r="AO90" s="1511">
        <f>'MATRIZ PLURIANUAL (2)'!AN91</f>
        <v>0</v>
      </c>
      <c r="AP90" s="1511">
        <f>'MATRIZ PLURIANUAL (2)'!AO91</f>
        <v>0</v>
      </c>
      <c r="AQ90" s="1511">
        <f>'MATRIZ PLURIANUAL (2)'!AP91</f>
        <v>2170900985.0999999</v>
      </c>
      <c r="AR90" s="1511">
        <f>'MATRIZ PLURIANUAL (2)'!AQ91</f>
        <v>0</v>
      </c>
      <c r="AS90" s="1511">
        <f>'MATRIZ PLURIANUAL (2)'!AR91</f>
        <v>15602737.289999999</v>
      </c>
      <c r="AT90" s="1515">
        <f>'MATRIZ PLURIANUAL (2)'!AS91</f>
        <v>2508152745.1914487</v>
      </c>
      <c r="AU90" s="1135"/>
    </row>
    <row r="91" spans="1:47" s="1030" customFormat="1" ht="339" customHeight="1">
      <c r="A91" s="1134"/>
      <c r="B91" s="1548"/>
      <c r="C91" s="1550"/>
      <c r="D91" s="1155" t="s">
        <v>786</v>
      </c>
      <c r="E91" s="1513"/>
      <c r="F91" s="1513"/>
      <c r="G91" s="1513"/>
      <c r="H91" s="1513"/>
      <c r="I91" s="1513"/>
      <c r="J91" s="1513"/>
      <c r="K91" s="1513"/>
      <c r="L91" s="1513"/>
      <c r="M91" s="1513">
        <f t="shared" si="1"/>
        <v>0</v>
      </c>
      <c r="N91" s="1520"/>
      <c r="O91" s="1513"/>
      <c r="P91" s="1513"/>
      <c r="Q91" s="1513"/>
      <c r="R91" s="1513"/>
      <c r="S91" s="1513"/>
      <c r="T91" s="1513"/>
      <c r="U91" s="1513"/>
      <c r="V91" s="1513"/>
      <c r="W91" s="1513"/>
      <c r="X91" s="1513"/>
      <c r="Y91" s="1513"/>
      <c r="Z91" s="1513"/>
      <c r="AA91" s="1513"/>
      <c r="AB91" s="1513"/>
      <c r="AC91" s="1513"/>
      <c r="AD91" s="1513"/>
      <c r="AE91" s="1513"/>
      <c r="AF91" s="1513"/>
      <c r="AG91" s="1513"/>
      <c r="AH91" s="1513"/>
      <c r="AI91" s="1513"/>
      <c r="AJ91" s="1513"/>
      <c r="AK91" s="1513"/>
      <c r="AL91" s="1513"/>
      <c r="AM91" s="1513"/>
      <c r="AN91" s="1513"/>
      <c r="AO91" s="1513"/>
      <c r="AP91" s="1513"/>
      <c r="AQ91" s="1513"/>
      <c r="AR91" s="1513"/>
      <c r="AS91" s="1513"/>
      <c r="AT91" s="1516"/>
      <c r="AU91" s="1135"/>
    </row>
    <row r="92" spans="1:47" s="1030" customFormat="1" ht="339" customHeight="1">
      <c r="A92" s="1134"/>
      <c r="B92" s="1548"/>
      <c r="C92" s="1546"/>
      <c r="D92" s="1155" t="s">
        <v>787</v>
      </c>
      <c r="E92" s="1513"/>
      <c r="F92" s="1513"/>
      <c r="G92" s="1513"/>
      <c r="H92" s="1513"/>
      <c r="I92" s="1513"/>
      <c r="J92" s="1513"/>
      <c r="K92" s="1513"/>
      <c r="L92" s="1513"/>
      <c r="M92" s="1513">
        <f t="shared" si="1"/>
        <v>0</v>
      </c>
      <c r="N92" s="1520"/>
      <c r="O92" s="1513"/>
      <c r="P92" s="1513"/>
      <c r="Q92" s="1513"/>
      <c r="R92" s="1513"/>
      <c r="S92" s="1513"/>
      <c r="T92" s="1513"/>
      <c r="U92" s="1513"/>
      <c r="V92" s="1513"/>
      <c r="W92" s="1513"/>
      <c r="X92" s="1513"/>
      <c r="Y92" s="1513"/>
      <c r="Z92" s="1513"/>
      <c r="AA92" s="1513"/>
      <c r="AB92" s="1513"/>
      <c r="AC92" s="1513"/>
      <c r="AD92" s="1513"/>
      <c r="AE92" s="1513"/>
      <c r="AF92" s="1513"/>
      <c r="AG92" s="1513"/>
      <c r="AH92" s="1513"/>
      <c r="AI92" s="1513"/>
      <c r="AJ92" s="1513"/>
      <c r="AK92" s="1513"/>
      <c r="AL92" s="1513"/>
      <c r="AM92" s="1513"/>
      <c r="AN92" s="1513"/>
      <c r="AO92" s="1513"/>
      <c r="AP92" s="1513"/>
      <c r="AQ92" s="1513"/>
      <c r="AR92" s="1513"/>
      <c r="AS92" s="1513"/>
      <c r="AT92" s="1516"/>
      <c r="AU92" s="1135"/>
    </row>
    <row r="93" spans="1:47" s="1030" customFormat="1" ht="339" customHeight="1">
      <c r="A93" s="1134"/>
      <c r="B93" s="1548"/>
      <c r="C93" s="1545" t="s">
        <v>154</v>
      </c>
      <c r="D93" s="1155" t="s">
        <v>788</v>
      </c>
      <c r="E93" s="1511">
        <f>'MATRIZ PLURIANUAL (2)'!E96</f>
        <v>390976439.83758301</v>
      </c>
      <c r="F93" s="1511">
        <f>'MATRIZ PLURIANUAL (2)'!F96</f>
        <v>0</v>
      </c>
      <c r="G93" s="1511">
        <f>'MATRIZ PLURIANUAL (2)'!G96</f>
        <v>0</v>
      </c>
      <c r="H93" s="1511">
        <f>'MATRIZ PLURIANUAL (2)'!H96</f>
        <v>0</v>
      </c>
      <c r="I93" s="1511">
        <f>'MATRIZ PLURIANUAL (2)'!I96</f>
        <v>2578315136.0799999</v>
      </c>
      <c r="J93" s="1511">
        <f>'MATRIZ PLURIANUAL (2)'!J96</f>
        <v>0</v>
      </c>
      <c r="K93" s="1511">
        <f>'MATRIZ PLURIANUAL (2)'!K96</f>
        <v>23244894.329999998</v>
      </c>
      <c r="L93" s="1511">
        <f>'MATRIZ PLURIANUAL (2)'!L96</f>
        <v>2992536470.2475829</v>
      </c>
      <c r="M93" s="1511">
        <f t="shared" si="1"/>
        <v>2992536470.2475829</v>
      </c>
      <c r="N93" s="1519">
        <v>3.0000000000000001E-3</v>
      </c>
      <c r="O93" s="1511">
        <f>'MATRIZ PLURIANUAL (2)'!N96</f>
        <v>150000000</v>
      </c>
      <c r="P93" s="1511">
        <f>'MATRIZ PLURIANUAL (2)'!O96</f>
        <v>0</v>
      </c>
      <c r="Q93" s="1511">
        <f>'MATRIZ PLURIANUAL (2)'!P96</f>
        <v>0</v>
      </c>
      <c r="R93" s="1511">
        <f>'MATRIZ PLURIANUAL (2)'!Q96</f>
        <v>0</v>
      </c>
      <c r="S93" s="1511">
        <f>'MATRIZ PLURIANUAL (2)'!R96</f>
        <v>400000000</v>
      </c>
      <c r="T93" s="1511">
        <f>'MATRIZ PLURIANUAL (2)'!S96</f>
        <v>0</v>
      </c>
      <c r="U93" s="1511">
        <f>'MATRIZ PLURIANUAL (2)'!T96</f>
        <v>0</v>
      </c>
      <c r="V93" s="1511">
        <f>'MATRIZ PLURIANUAL (2)'!U96</f>
        <v>550000000</v>
      </c>
      <c r="W93" s="1511">
        <f>'MATRIZ PLURIANUAL (2)'!V96</f>
        <v>77335816.837099999</v>
      </c>
      <c r="X93" s="1511">
        <f>'MATRIZ PLURIANUAL (2)'!W96</f>
        <v>0</v>
      </c>
      <c r="Y93" s="1511">
        <f>'MATRIZ PLURIANUAL (2)'!X96</f>
        <v>0</v>
      </c>
      <c r="Z93" s="1511">
        <f>'MATRIZ PLURIANUAL (2)'!Y96</f>
        <v>0</v>
      </c>
      <c r="AA93" s="1511">
        <f>'MATRIZ PLURIANUAL (2)'!Z96</f>
        <v>741673066.03999996</v>
      </c>
      <c r="AB93" s="1511">
        <f>'MATRIZ PLURIANUAL (2)'!AA96</f>
        <v>0</v>
      </c>
      <c r="AC93" s="1511">
        <f>'MATRIZ PLURIANUAL (2)'!AB96</f>
        <v>10614107</v>
      </c>
      <c r="AD93" s="1511">
        <f>'MATRIZ PLURIANUAL (2)'!AC96</f>
        <v>829622989.87709999</v>
      </c>
      <c r="AE93" s="1511">
        <f>'MATRIZ PLURIANUAL (2)'!AD96</f>
        <v>80303978.900000006</v>
      </c>
      <c r="AF93" s="1511">
        <f>'MATRIZ PLURIANUAL (2)'!AE96</f>
        <v>0</v>
      </c>
      <c r="AG93" s="1511">
        <f>'MATRIZ PLURIANUAL (2)'!AF96</f>
        <v>0</v>
      </c>
      <c r="AH93" s="1511">
        <f>'MATRIZ PLURIANUAL (2)'!AG96</f>
        <v>0</v>
      </c>
      <c r="AI93" s="1511">
        <f>'MATRIZ PLURIANUAL (2)'!AH96</f>
        <v>713008408.34000003</v>
      </c>
      <c r="AJ93" s="1511">
        <f>'MATRIZ PLURIANUAL (2)'!AI96</f>
        <v>0</v>
      </c>
      <c r="AK93" s="1511">
        <f>'MATRIZ PLURIANUAL (2)'!AJ96</f>
        <v>7429874.9000000004</v>
      </c>
      <c r="AL93" s="1511">
        <f>'MATRIZ PLURIANUAL (2)'!AK96</f>
        <v>800742262.13999999</v>
      </c>
      <c r="AM93" s="1511">
        <f>'MATRIZ PLURIANUAL (2)'!AL96</f>
        <v>83336644.100483</v>
      </c>
      <c r="AN93" s="1511">
        <f>'MATRIZ PLURIANUAL (2)'!AM96</f>
        <v>0</v>
      </c>
      <c r="AO93" s="1511">
        <f>'MATRIZ PLURIANUAL (2)'!AN96</f>
        <v>0</v>
      </c>
      <c r="AP93" s="1511">
        <f>'MATRIZ PLURIANUAL (2)'!AO96</f>
        <v>0</v>
      </c>
      <c r="AQ93" s="1511">
        <f>'MATRIZ PLURIANUAL (2)'!AP96</f>
        <v>723633661.70000005</v>
      </c>
      <c r="AR93" s="1511">
        <f>'MATRIZ PLURIANUAL (2)'!AQ96</f>
        <v>0</v>
      </c>
      <c r="AS93" s="1511">
        <f>'MATRIZ PLURIANUAL (2)'!AR96</f>
        <v>5200912.43</v>
      </c>
      <c r="AT93" s="1515">
        <f>'MATRIZ PLURIANUAL (2)'!AS96</f>
        <v>812171218.23048294</v>
      </c>
      <c r="AU93" s="1135"/>
    </row>
    <row r="94" spans="1:47" s="1030" customFormat="1" ht="339" customHeight="1">
      <c r="A94" s="1134"/>
      <c r="B94" s="1548"/>
      <c r="C94" s="1550"/>
      <c r="D94" s="1155" t="s">
        <v>789</v>
      </c>
      <c r="E94" s="1513"/>
      <c r="F94" s="1513"/>
      <c r="G94" s="1513"/>
      <c r="H94" s="1513"/>
      <c r="I94" s="1513"/>
      <c r="J94" s="1513"/>
      <c r="K94" s="1513"/>
      <c r="L94" s="1513"/>
      <c r="M94" s="1513">
        <f t="shared" si="1"/>
        <v>0</v>
      </c>
      <c r="N94" s="1520"/>
      <c r="O94" s="1513"/>
      <c r="P94" s="1513"/>
      <c r="Q94" s="1513"/>
      <c r="R94" s="1513"/>
      <c r="S94" s="1513"/>
      <c r="T94" s="1513"/>
      <c r="U94" s="1513"/>
      <c r="V94" s="1513"/>
      <c r="W94" s="1513"/>
      <c r="X94" s="1513"/>
      <c r="Y94" s="1513"/>
      <c r="Z94" s="1513"/>
      <c r="AA94" s="1513"/>
      <c r="AB94" s="1513"/>
      <c r="AC94" s="1513"/>
      <c r="AD94" s="1513"/>
      <c r="AE94" s="1513"/>
      <c r="AF94" s="1513"/>
      <c r="AG94" s="1513"/>
      <c r="AH94" s="1513"/>
      <c r="AI94" s="1513"/>
      <c r="AJ94" s="1513"/>
      <c r="AK94" s="1513"/>
      <c r="AL94" s="1513"/>
      <c r="AM94" s="1513"/>
      <c r="AN94" s="1513"/>
      <c r="AO94" s="1513"/>
      <c r="AP94" s="1513"/>
      <c r="AQ94" s="1513"/>
      <c r="AR94" s="1513"/>
      <c r="AS94" s="1513"/>
      <c r="AT94" s="1516"/>
      <c r="AU94" s="1135"/>
    </row>
    <row r="95" spans="1:47" s="1030" customFormat="1" ht="339" customHeight="1">
      <c r="A95" s="1134"/>
      <c r="B95" s="1548"/>
      <c r="C95" s="1550"/>
      <c r="D95" s="1155" t="s">
        <v>790</v>
      </c>
      <c r="E95" s="1513"/>
      <c r="F95" s="1513"/>
      <c r="G95" s="1513"/>
      <c r="H95" s="1513"/>
      <c r="I95" s="1513"/>
      <c r="J95" s="1513"/>
      <c r="K95" s="1513"/>
      <c r="L95" s="1513"/>
      <c r="M95" s="1513">
        <f t="shared" si="1"/>
        <v>0</v>
      </c>
      <c r="N95" s="1520"/>
      <c r="O95" s="1513"/>
      <c r="P95" s="1513"/>
      <c r="Q95" s="1513"/>
      <c r="R95" s="1513"/>
      <c r="S95" s="1513"/>
      <c r="T95" s="1513"/>
      <c r="U95" s="1513"/>
      <c r="V95" s="1513"/>
      <c r="W95" s="1513"/>
      <c r="X95" s="1513"/>
      <c r="Y95" s="1513"/>
      <c r="Z95" s="1513"/>
      <c r="AA95" s="1513"/>
      <c r="AB95" s="1513"/>
      <c r="AC95" s="1513"/>
      <c r="AD95" s="1513"/>
      <c r="AE95" s="1513"/>
      <c r="AF95" s="1513"/>
      <c r="AG95" s="1513"/>
      <c r="AH95" s="1513"/>
      <c r="AI95" s="1513"/>
      <c r="AJ95" s="1513"/>
      <c r="AK95" s="1513"/>
      <c r="AL95" s="1513"/>
      <c r="AM95" s="1513"/>
      <c r="AN95" s="1513"/>
      <c r="AO95" s="1513"/>
      <c r="AP95" s="1513"/>
      <c r="AQ95" s="1513"/>
      <c r="AR95" s="1513"/>
      <c r="AS95" s="1513"/>
      <c r="AT95" s="1516"/>
      <c r="AU95" s="1135"/>
    </row>
    <row r="96" spans="1:47" s="1030" customFormat="1" ht="339" customHeight="1">
      <c r="A96" s="1134"/>
      <c r="B96" s="1548"/>
      <c r="C96" s="1550"/>
      <c r="D96" s="1155" t="s">
        <v>791</v>
      </c>
      <c r="E96" s="1513"/>
      <c r="F96" s="1513"/>
      <c r="G96" s="1513"/>
      <c r="H96" s="1513"/>
      <c r="I96" s="1513"/>
      <c r="J96" s="1513"/>
      <c r="K96" s="1513"/>
      <c r="L96" s="1513"/>
      <c r="M96" s="1513">
        <f t="shared" si="1"/>
        <v>0</v>
      </c>
      <c r="N96" s="1520"/>
      <c r="O96" s="1513"/>
      <c r="P96" s="1513"/>
      <c r="Q96" s="1513"/>
      <c r="R96" s="1513"/>
      <c r="S96" s="1513"/>
      <c r="T96" s="1513"/>
      <c r="U96" s="1513"/>
      <c r="V96" s="1513"/>
      <c r="W96" s="1513"/>
      <c r="X96" s="1513"/>
      <c r="Y96" s="1513"/>
      <c r="Z96" s="1513"/>
      <c r="AA96" s="1513"/>
      <c r="AB96" s="1513"/>
      <c r="AC96" s="1513"/>
      <c r="AD96" s="1513"/>
      <c r="AE96" s="1513"/>
      <c r="AF96" s="1513"/>
      <c r="AG96" s="1513"/>
      <c r="AH96" s="1513"/>
      <c r="AI96" s="1513"/>
      <c r="AJ96" s="1513"/>
      <c r="AK96" s="1513"/>
      <c r="AL96" s="1513"/>
      <c r="AM96" s="1513"/>
      <c r="AN96" s="1513"/>
      <c r="AO96" s="1513"/>
      <c r="AP96" s="1513"/>
      <c r="AQ96" s="1513"/>
      <c r="AR96" s="1513"/>
      <c r="AS96" s="1513"/>
      <c r="AT96" s="1516"/>
      <c r="AU96" s="1135"/>
    </row>
    <row r="97" spans="1:47" s="1030" customFormat="1" ht="339" customHeight="1">
      <c r="A97" s="1134"/>
      <c r="B97" s="1548"/>
      <c r="C97" s="1546"/>
      <c r="D97" s="1155" t="s">
        <v>792</v>
      </c>
      <c r="E97" s="1512"/>
      <c r="F97" s="1512"/>
      <c r="G97" s="1512"/>
      <c r="H97" s="1512"/>
      <c r="I97" s="1512"/>
      <c r="J97" s="1512"/>
      <c r="K97" s="1512"/>
      <c r="L97" s="1512"/>
      <c r="M97" s="1512">
        <f t="shared" si="1"/>
        <v>0</v>
      </c>
      <c r="N97" s="1521"/>
      <c r="O97" s="1512"/>
      <c r="P97" s="1512"/>
      <c r="Q97" s="1512"/>
      <c r="R97" s="1512"/>
      <c r="S97" s="1512"/>
      <c r="T97" s="1512"/>
      <c r="U97" s="1512"/>
      <c r="V97" s="1512"/>
      <c r="W97" s="1512"/>
      <c r="X97" s="1512"/>
      <c r="Y97" s="1512"/>
      <c r="Z97" s="1512"/>
      <c r="AA97" s="1512"/>
      <c r="AB97" s="1512"/>
      <c r="AC97" s="1512"/>
      <c r="AD97" s="1512"/>
      <c r="AE97" s="1512"/>
      <c r="AF97" s="1512"/>
      <c r="AG97" s="1512"/>
      <c r="AH97" s="1512"/>
      <c r="AI97" s="1512"/>
      <c r="AJ97" s="1512"/>
      <c r="AK97" s="1512"/>
      <c r="AL97" s="1512"/>
      <c r="AM97" s="1512"/>
      <c r="AN97" s="1512"/>
      <c r="AO97" s="1512"/>
      <c r="AP97" s="1512"/>
      <c r="AQ97" s="1512"/>
      <c r="AR97" s="1512"/>
      <c r="AS97" s="1512"/>
      <c r="AT97" s="1517"/>
      <c r="AU97" s="1135"/>
    </row>
    <row r="98" spans="1:47" s="1030" customFormat="1" ht="339" customHeight="1">
      <c r="A98" s="1134"/>
      <c r="B98" s="1549"/>
      <c r="C98" s="1166" t="s">
        <v>155</v>
      </c>
      <c r="D98" s="1155" t="s">
        <v>793</v>
      </c>
      <c r="E98" s="1219">
        <f>'MATRIZ PLURIANUAL (2)'!E100</f>
        <v>0</v>
      </c>
      <c r="F98" s="1219">
        <f>'MATRIZ PLURIANUAL (2)'!F100</f>
        <v>21933158098.290001</v>
      </c>
      <c r="G98" s="1219">
        <f>'MATRIZ PLURIANUAL (2)'!G100</f>
        <v>0</v>
      </c>
      <c r="H98" s="1219">
        <f>'MATRIZ PLURIANUAL (2)'!H100</f>
        <v>0</v>
      </c>
      <c r="I98" s="1219">
        <f>'MATRIZ PLURIANUAL (2)'!I100</f>
        <v>2400000000</v>
      </c>
      <c r="J98" s="1219">
        <f>'MATRIZ PLURIANUAL (2)'!J100</f>
        <v>0</v>
      </c>
      <c r="K98" s="1219">
        <f>'MATRIZ PLURIANUAL (2)'!K100</f>
        <v>0</v>
      </c>
      <c r="L98" s="1219">
        <f>'MATRIZ PLURIANUAL (2)'!L100</f>
        <v>24333158098.290001</v>
      </c>
      <c r="M98" s="1219">
        <f t="shared" si="1"/>
        <v>24333158098.290001</v>
      </c>
      <c r="N98" s="1220">
        <v>1.4E-2</v>
      </c>
      <c r="O98" s="1219">
        <f>'MATRIZ PLURIANUAL (2)'!N100</f>
        <v>0</v>
      </c>
      <c r="P98" s="1219">
        <f>'MATRIZ PLURIANUAL (2)'!O100</f>
        <v>9544105238.2900009</v>
      </c>
      <c r="Q98" s="1219">
        <f>'MATRIZ PLURIANUAL (2)'!P100</f>
        <v>0</v>
      </c>
      <c r="R98" s="1219">
        <f>'MATRIZ PLURIANUAL (2)'!Q100</f>
        <v>0</v>
      </c>
      <c r="S98" s="1219">
        <f>'MATRIZ PLURIANUAL (2)'!R100</f>
        <v>0</v>
      </c>
      <c r="T98" s="1219">
        <f>'MATRIZ PLURIANUAL (2)'!S100</f>
        <v>0</v>
      </c>
      <c r="U98" s="1219">
        <f>'MATRIZ PLURIANUAL (2)'!T100</f>
        <v>0</v>
      </c>
      <c r="V98" s="1219">
        <f>'MATRIZ PLURIANUAL (2)'!U100</f>
        <v>9544105238.2900009</v>
      </c>
      <c r="W98" s="1219">
        <f>'MATRIZ PLURIANUAL (2)'!V100</f>
        <v>0</v>
      </c>
      <c r="X98" s="1219">
        <f>'MATRIZ PLURIANUAL (2)'!W100</f>
        <v>4935400000</v>
      </c>
      <c r="Y98" s="1219">
        <f>'MATRIZ PLURIANUAL (2)'!X100</f>
        <v>0</v>
      </c>
      <c r="Z98" s="1219">
        <f>'MATRIZ PLURIANUAL (2)'!Y100</f>
        <v>0</v>
      </c>
      <c r="AA98" s="1219">
        <f>'MATRIZ PLURIANUAL (2)'!Z100</f>
        <v>800000000</v>
      </c>
      <c r="AB98" s="1219">
        <f>'MATRIZ PLURIANUAL (2)'!AA100</f>
        <v>0</v>
      </c>
      <c r="AC98" s="1219">
        <f>'MATRIZ PLURIANUAL (2)'!AB100</f>
        <v>0</v>
      </c>
      <c r="AD98" s="1219">
        <f>'MATRIZ PLURIANUAL (2)'!AC100</f>
        <v>5735400000</v>
      </c>
      <c r="AE98" s="1219">
        <f>'MATRIZ PLURIANUAL (2)'!AD100</f>
        <v>0</v>
      </c>
      <c r="AF98" s="1219">
        <f>'MATRIZ PLURIANUAL (2)'!AE100</f>
        <v>4228962000</v>
      </c>
      <c r="AG98" s="1219">
        <f>'MATRIZ PLURIANUAL (2)'!AF100</f>
        <v>0</v>
      </c>
      <c r="AH98" s="1219">
        <f>'MATRIZ PLURIANUAL (2)'!AG100</f>
        <v>0</v>
      </c>
      <c r="AI98" s="1219">
        <f>'MATRIZ PLURIANUAL (2)'!AH100</f>
        <v>800000000</v>
      </c>
      <c r="AJ98" s="1219">
        <f>'MATRIZ PLURIANUAL (2)'!AI100</f>
        <v>0</v>
      </c>
      <c r="AK98" s="1219">
        <f>'MATRIZ PLURIANUAL (2)'!AJ100</f>
        <v>0</v>
      </c>
      <c r="AL98" s="1219">
        <f>'MATRIZ PLURIANUAL (2)'!AK100</f>
        <v>5028962000</v>
      </c>
      <c r="AM98" s="1219">
        <f>'MATRIZ PLURIANUAL (2)'!AL100</f>
        <v>0</v>
      </c>
      <c r="AN98" s="1219">
        <f>'MATRIZ PLURIANUAL (2)'!AM100</f>
        <v>3224690860</v>
      </c>
      <c r="AO98" s="1219">
        <f>'MATRIZ PLURIANUAL (2)'!AN100</f>
        <v>0</v>
      </c>
      <c r="AP98" s="1219">
        <f>'MATRIZ PLURIANUAL (2)'!AO100</f>
        <v>0</v>
      </c>
      <c r="AQ98" s="1219">
        <f>'MATRIZ PLURIANUAL (2)'!AP100</f>
        <v>800000000</v>
      </c>
      <c r="AR98" s="1219">
        <f>'MATRIZ PLURIANUAL (2)'!AQ100</f>
        <v>0</v>
      </c>
      <c r="AS98" s="1219">
        <f>'MATRIZ PLURIANUAL (2)'!AR100</f>
        <v>0</v>
      </c>
      <c r="AT98" s="1221">
        <f>'MATRIZ PLURIANUAL (2)'!AS100</f>
        <v>4024690860</v>
      </c>
      <c r="AU98" s="1135"/>
    </row>
    <row r="99" spans="1:47" s="1031" customFormat="1" ht="183" customHeight="1">
      <c r="A99" s="1136"/>
      <c r="B99" s="1173" t="s">
        <v>633</v>
      </c>
      <c r="C99" s="1174"/>
      <c r="D99" s="1175"/>
      <c r="E99" s="1222">
        <f>'MATRIZ PLURIANUAL (2)'!E107</f>
        <v>2705049909.3503323</v>
      </c>
      <c r="F99" s="1222">
        <f>'MATRIZ PLURIANUAL (2)'!F107</f>
        <v>890328325.29999995</v>
      </c>
      <c r="G99" s="1222">
        <f>'MATRIZ PLURIANUAL (2)'!G107</f>
        <v>0</v>
      </c>
      <c r="H99" s="1222">
        <f>'MATRIZ PLURIANUAL (2)'!H107</f>
        <v>0</v>
      </c>
      <c r="I99" s="1222">
        <f>'MATRIZ PLURIANUAL (2)'!I107</f>
        <v>9213260544.3199997</v>
      </c>
      <c r="J99" s="1222">
        <f>'MATRIZ PLURIANUAL (2)'!J107</f>
        <v>0</v>
      </c>
      <c r="K99" s="1222">
        <f>'MATRIZ PLURIANUAL (2)'!K107</f>
        <v>92979577.319999993</v>
      </c>
      <c r="L99" s="1222">
        <f>'MATRIZ PLURIANUAL (2)'!L107</f>
        <v>12901618356.290333</v>
      </c>
      <c r="M99" s="1222">
        <f t="shared" si="1"/>
        <v>12901618356.290333</v>
      </c>
      <c r="N99" s="1223">
        <f>SUM(N100)</f>
        <v>1.0999999999999999E-2</v>
      </c>
      <c r="O99" s="1222">
        <f>'MATRIZ PLURIANUAL (2)'!N107</f>
        <v>1741144150</v>
      </c>
      <c r="P99" s="1222">
        <f>'MATRIZ PLURIANUAL (2)'!O107</f>
        <v>273187456.22000003</v>
      </c>
      <c r="Q99" s="1222">
        <f>'MATRIZ PLURIANUAL (2)'!P107</f>
        <v>0</v>
      </c>
      <c r="R99" s="1222">
        <f>'MATRIZ PLURIANUAL (2)'!Q107</f>
        <v>0</v>
      </c>
      <c r="S99" s="1222">
        <f>'MATRIZ PLURIANUAL (2)'!R107</f>
        <v>500000000</v>
      </c>
      <c r="T99" s="1222">
        <f>'MATRIZ PLURIANUAL (2)'!S107</f>
        <v>0</v>
      </c>
      <c r="U99" s="1222">
        <f>'MATRIZ PLURIANUAL (2)'!T107</f>
        <v>0</v>
      </c>
      <c r="V99" s="1222">
        <f>'MATRIZ PLURIANUAL (2)'!U107</f>
        <v>2514331606.2200003</v>
      </c>
      <c r="W99" s="1222">
        <f>'MATRIZ PLURIANUAL (2)'!V107</f>
        <v>309343267.3484</v>
      </c>
      <c r="X99" s="1222">
        <f>'MATRIZ PLURIANUAL (2)'!W107</f>
        <v>198249200</v>
      </c>
      <c r="Y99" s="1222">
        <f>'MATRIZ PLURIANUAL (2)'!X107</f>
        <v>0</v>
      </c>
      <c r="Z99" s="1222">
        <f>'MATRIZ PLURIANUAL (2)'!Y107</f>
        <v>0</v>
      </c>
      <c r="AA99" s="1222">
        <f>'MATRIZ PLURIANUAL (2)'!Z107</f>
        <v>2966692264.1599998</v>
      </c>
      <c r="AB99" s="1222">
        <f>'MATRIZ PLURIANUAL (2)'!AA107</f>
        <v>0</v>
      </c>
      <c r="AC99" s="1222">
        <f>'MATRIZ PLURIANUAL (2)'!AB107</f>
        <v>42456428</v>
      </c>
      <c r="AD99" s="1222">
        <f>'MATRIZ PLURIANUAL (2)'!AC107</f>
        <v>3516741159.5084</v>
      </c>
      <c r="AE99" s="1222">
        <f>'MATRIZ PLURIANUAL (2)'!AD107</f>
        <v>321215915.60000002</v>
      </c>
      <c r="AF99" s="1222">
        <f>'MATRIZ PLURIANUAL (2)'!AE107</f>
        <v>205700444</v>
      </c>
      <c r="AG99" s="1222">
        <f>'MATRIZ PLURIANUAL (2)'!AF107</f>
        <v>0</v>
      </c>
      <c r="AH99" s="1222">
        <f>'MATRIZ PLURIANUAL (2)'!AG107</f>
        <v>0</v>
      </c>
      <c r="AI99" s="1222">
        <f>'MATRIZ PLURIANUAL (2)'!AH107</f>
        <v>2852033633.3600001</v>
      </c>
      <c r="AJ99" s="1222">
        <f>'MATRIZ PLURIANUAL (2)'!AI107</f>
        <v>0</v>
      </c>
      <c r="AK99" s="1222">
        <f>'MATRIZ PLURIANUAL (2)'!AJ107</f>
        <v>29719499.600000001</v>
      </c>
      <c r="AL99" s="1222">
        <f>'MATRIZ PLURIANUAL (2)'!AK107</f>
        <v>3408669492.5599999</v>
      </c>
      <c r="AM99" s="1222">
        <f>'MATRIZ PLURIANUAL (2)'!AL107</f>
        <v>333346576.401932</v>
      </c>
      <c r="AN99" s="1222">
        <f>'MATRIZ PLURIANUAL (2)'!AM107</f>
        <v>213191225.07999998</v>
      </c>
      <c r="AO99" s="1222">
        <f>'MATRIZ PLURIANUAL (2)'!AN107</f>
        <v>0</v>
      </c>
      <c r="AP99" s="1222">
        <f>'MATRIZ PLURIANUAL (2)'!AO107</f>
        <v>0</v>
      </c>
      <c r="AQ99" s="1222">
        <f>'MATRIZ PLURIANUAL (2)'!AP107</f>
        <v>2894534646.8000002</v>
      </c>
      <c r="AR99" s="1222">
        <f>'MATRIZ PLURIANUAL (2)'!AQ107</f>
        <v>0</v>
      </c>
      <c r="AS99" s="1222">
        <f>'MATRIZ PLURIANUAL (2)'!AR107</f>
        <v>20803649.719999999</v>
      </c>
      <c r="AT99" s="1224">
        <f>'MATRIZ PLURIANUAL (2)'!AS107</f>
        <v>3461876098.0019317</v>
      </c>
      <c r="AU99" s="1137"/>
    </row>
    <row r="100" spans="1:47" s="1030" customFormat="1" ht="321" customHeight="1">
      <c r="A100" s="1134"/>
      <c r="B100" s="1547" t="s">
        <v>156</v>
      </c>
      <c r="C100" s="1545" t="s">
        <v>912</v>
      </c>
      <c r="D100" s="1155" t="s">
        <v>794</v>
      </c>
      <c r="E100" s="1511">
        <f>'MATRIZ PLURIANUAL (2)'!E108</f>
        <v>2705049909.3503323</v>
      </c>
      <c r="F100" s="1511">
        <f>'MATRIZ PLURIANUAL (2)'!F108</f>
        <v>890328325.29999995</v>
      </c>
      <c r="G100" s="1511">
        <f>'MATRIZ PLURIANUAL (2)'!G108</f>
        <v>0</v>
      </c>
      <c r="H100" s="1511">
        <f>'MATRIZ PLURIANUAL (2)'!H108</f>
        <v>0</v>
      </c>
      <c r="I100" s="1511">
        <f>'MATRIZ PLURIANUAL (2)'!I108</f>
        <v>9213260544.3199997</v>
      </c>
      <c r="J100" s="1511">
        <f>'MATRIZ PLURIANUAL (2)'!J108</f>
        <v>0</v>
      </c>
      <c r="K100" s="1511">
        <f>'MATRIZ PLURIANUAL (2)'!K108</f>
        <v>92979577.319999993</v>
      </c>
      <c r="L100" s="1511">
        <f>'MATRIZ PLURIANUAL (2)'!L108</f>
        <v>12901618356.290333</v>
      </c>
      <c r="M100" s="1511">
        <f t="shared" si="1"/>
        <v>12901618356.290333</v>
      </c>
      <c r="N100" s="1519">
        <v>1.0999999999999999E-2</v>
      </c>
      <c r="O100" s="1511">
        <f>'MATRIZ PLURIANUAL (2)'!N108</f>
        <v>1741144150</v>
      </c>
      <c r="P100" s="1511">
        <f>'MATRIZ PLURIANUAL (2)'!O108</f>
        <v>273187456.22000003</v>
      </c>
      <c r="Q100" s="1511">
        <f>'MATRIZ PLURIANUAL (2)'!P108</f>
        <v>0</v>
      </c>
      <c r="R100" s="1511">
        <f>'MATRIZ PLURIANUAL (2)'!Q108</f>
        <v>0</v>
      </c>
      <c r="S100" s="1511">
        <f>'MATRIZ PLURIANUAL (2)'!R108</f>
        <v>500000000</v>
      </c>
      <c r="T100" s="1511">
        <f>'MATRIZ PLURIANUAL (2)'!S108</f>
        <v>0</v>
      </c>
      <c r="U100" s="1511">
        <f>'MATRIZ PLURIANUAL (2)'!T108</f>
        <v>0</v>
      </c>
      <c r="V100" s="1511">
        <f>'MATRIZ PLURIANUAL (2)'!U108</f>
        <v>2514331606.2200003</v>
      </c>
      <c r="W100" s="1511">
        <f>'MATRIZ PLURIANUAL (2)'!V108</f>
        <v>309343267.3484</v>
      </c>
      <c r="X100" s="1511">
        <f>'MATRIZ PLURIANUAL (2)'!W108</f>
        <v>198249200</v>
      </c>
      <c r="Y100" s="1511">
        <f>'MATRIZ PLURIANUAL (2)'!X108</f>
        <v>0</v>
      </c>
      <c r="Z100" s="1511">
        <f>'MATRIZ PLURIANUAL (2)'!Y108</f>
        <v>0</v>
      </c>
      <c r="AA100" s="1511">
        <f>'MATRIZ PLURIANUAL (2)'!Z108</f>
        <v>2966692264.1599998</v>
      </c>
      <c r="AB100" s="1511">
        <f>'MATRIZ PLURIANUAL (2)'!AA108</f>
        <v>0</v>
      </c>
      <c r="AC100" s="1511">
        <f>'MATRIZ PLURIANUAL (2)'!AB108</f>
        <v>42456428</v>
      </c>
      <c r="AD100" s="1511">
        <f>'MATRIZ PLURIANUAL (2)'!AC108</f>
        <v>3516741159.5084</v>
      </c>
      <c r="AE100" s="1511">
        <f>'MATRIZ PLURIANUAL (2)'!AD108</f>
        <v>321215915.60000002</v>
      </c>
      <c r="AF100" s="1511">
        <f>'MATRIZ PLURIANUAL (2)'!AE108</f>
        <v>205700444</v>
      </c>
      <c r="AG100" s="1511">
        <f>'MATRIZ PLURIANUAL (2)'!AF108</f>
        <v>0</v>
      </c>
      <c r="AH100" s="1511">
        <f>'MATRIZ PLURIANUAL (2)'!AG108</f>
        <v>0</v>
      </c>
      <c r="AI100" s="1511">
        <f>'MATRIZ PLURIANUAL (2)'!AH108</f>
        <v>2852033633.3600001</v>
      </c>
      <c r="AJ100" s="1511">
        <f>'MATRIZ PLURIANUAL (2)'!AI108</f>
        <v>0</v>
      </c>
      <c r="AK100" s="1511">
        <f>'MATRIZ PLURIANUAL (2)'!AJ108</f>
        <v>29719499.600000001</v>
      </c>
      <c r="AL100" s="1511">
        <f>'MATRIZ PLURIANUAL (2)'!AK108</f>
        <v>3408669492.5599999</v>
      </c>
      <c r="AM100" s="1511">
        <f>'MATRIZ PLURIANUAL (2)'!AL108</f>
        <v>333346576.401932</v>
      </c>
      <c r="AN100" s="1511">
        <f>'MATRIZ PLURIANUAL (2)'!AM108</f>
        <v>213191225.07999998</v>
      </c>
      <c r="AO100" s="1511">
        <f>'MATRIZ PLURIANUAL (2)'!AN108</f>
        <v>0</v>
      </c>
      <c r="AP100" s="1511">
        <f>'MATRIZ PLURIANUAL (2)'!AO108</f>
        <v>0</v>
      </c>
      <c r="AQ100" s="1511">
        <f>'MATRIZ PLURIANUAL (2)'!AP108</f>
        <v>2894534646.8000002</v>
      </c>
      <c r="AR100" s="1511">
        <f>'MATRIZ PLURIANUAL (2)'!AQ108</f>
        <v>0</v>
      </c>
      <c r="AS100" s="1511">
        <f>'MATRIZ PLURIANUAL (2)'!AR108</f>
        <v>20803649.719999999</v>
      </c>
      <c r="AT100" s="1515">
        <f>'MATRIZ PLURIANUAL (2)'!AS108</f>
        <v>3461876098.0019317</v>
      </c>
      <c r="AU100" s="1135"/>
    </row>
    <row r="101" spans="1:47" s="1030" customFormat="1" ht="321" customHeight="1">
      <c r="A101" s="1134"/>
      <c r="B101" s="1548"/>
      <c r="C101" s="1550"/>
      <c r="D101" s="1155" t="s">
        <v>795</v>
      </c>
      <c r="E101" s="1513"/>
      <c r="F101" s="1513"/>
      <c r="G101" s="1513"/>
      <c r="H101" s="1513"/>
      <c r="I101" s="1513"/>
      <c r="J101" s="1513"/>
      <c r="K101" s="1513"/>
      <c r="L101" s="1513"/>
      <c r="M101" s="1513">
        <f t="shared" si="1"/>
        <v>0</v>
      </c>
      <c r="N101" s="1520"/>
      <c r="O101" s="1513"/>
      <c r="P101" s="1513"/>
      <c r="Q101" s="1513"/>
      <c r="R101" s="1513"/>
      <c r="S101" s="1513"/>
      <c r="T101" s="1513"/>
      <c r="U101" s="1513"/>
      <c r="V101" s="1513"/>
      <c r="W101" s="1513"/>
      <c r="X101" s="1513"/>
      <c r="Y101" s="1513"/>
      <c r="Z101" s="1513"/>
      <c r="AA101" s="1513"/>
      <c r="AB101" s="1513"/>
      <c r="AC101" s="1513"/>
      <c r="AD101" s="1513"/>
      <c r="AE101" s="1513"/>
      <c r="AF101" s="1513"/>
      <c r="AG101" s="1513"/>
      <c r="AH101" s="1513"/>
      <c r="AI101" s="1513"/>
      <c r="AJ101" s="1513"/>
      <c r="AK101" s="1513"/>
      <c r="AL101" s="1513"/>
      <c r="AM101" s="1513"/>
      <c r="AN101" s="1513"/>
      <c r="AO101" s="1513"/>
      <c r="AP101" s="1513"/>
      <c r="AQ101" s="1513"/>
      <c r="AR101" s="1513"/>
      <c r="AS101" s="1513"/>
      <c r="AT101" s="1516"/>
      <c r="AU101" s="1135"/>
    </row>
    <row r="102" spans="1:47" s="1030" customFormat="1" ht="321" customHeight="1">
      <c r="A102" s="1134"/>
      <c r="B102" s="1548"/>
      <c r="C102" s="1550"/>
      <c r="D102" s="1155" t="s">
        <v>796</v>
      </c>
      <c r="E102" s="1513"/>
      <c r="F102" s="1513"/>
      <c r="G102" s="1513"/>
      <c r="H102" s="1513"/>
      <c r="I102" s="1513"/>
      <c r="J102" s="1513"/>
      <c r="K102" s="1513"/>
      <c r="L102" s="1513"/>
      <c r="M102" s="1513">
        <f t="shared" si="1"/>
        <v>0</v>
      </c>
      <c r="N102" s="1520"/>
      <c r="O102" s="1513"/>
      <c r="P102" s="1513"/>
      <c r="Q102" s="1513"/>
      <c r="R102" s="1513"/>
      <c r="S102" s="1513"/>
      <c r="T102" s="1513"/>
      <c r="U102" s="1513"/>
      <c r="V102" s="1513"/>
      <c r="W102" s="1513"/>
      <c r="X102" s="1513"/>
      <c r="Y102" s="1513"/>
      <c r="Z102" s="1513"/>
      <c r="AA102" s="1513"/>
      <c r="AB102" s="1513"/>
      <c r="AC102" s="1513"/>
      <c r="AD102" s="1513"/>
      <c r="AE102" s="1513"/>
      <c r="AF102" s="1513"/>
      <c r="AG102" s="1513"/>
      <c r="AH102" s="1513"/>
      <c r="AI102" s="1513"/>
      <c r="AJ102" s="1513"/>
      <c r="AK102" s="1513"/>
      <c r="AL102" s="1513"/>
      <c r="AM102" s="1513"/>
      <c r="AN102" s="1513"/>
      <c r="AO102" s="1513"/>
      <c r="AP102" s="1513"/>
      <c r="AQ102" s="1513"/>
      <c r="AR102" s="1513"/>
      <c r="AS102" s="1513"/>
      <c r="AT102" s="1516"/>
      <c r="AU102" s="1135"/>
    </row>
    <row r="103" spans="1:47" s="1030" customFormat="1" ht="321" customHeight="1">
      <c r="A103" s="1134"/>
      <c r="B103" s="1548"/>
      <c r="C103" s="1550"/>
      <c r="D103" s="1155" t="s">
        <v>797</v>
      </c>
      <c r="E103" s="1513"/>
      <c r="F103" s="1513"/>
      <c r="G103" s="1513"/>
      <c r="H103" s="1513"/>
      <c r="I103" s="1513"/>
      <c r="J103" s="1513"/>
      <c r="K103" s="1513"/>
      <c r="L103" s="1513"/>
      <c r="M103" s="1513">
        <f t="shared" si="1"/>
        <v>0</v>
      </c>
      <c r="N103" s="1520"/>
      <c r="O103" s="1513"/>
      <c r="P103" s="1513"/>
      <c r="Q103" s="1513"/>
      <c r="R103" s="1513"/>
      <c r="S103" s="1513"/>
      <c r="T103" s="1513"/>
      <c r="U103" s="1513"/>
      <c r="V103" s="1513"/>
      <c r="W103" s="1513"/>
      <c r="X103" s="1513"/>
      <c r="Y103" s="1513"/>
      <c r="Z103" s="1513"/>
      <c r="AA103" s="1513"/>
      <c r="AB103" s="1513"/>
      <c r="AC103" s="1513"/>
      <c r="AD103" s="1513"/>
      <c r="AE103" s="1513"/>
      <c r="AF103" s="1513"/>
      <c r="AG103" s="1513"/>
      <c r="AH103" s="1513"/>
      <c r="AI103" s="1513"/>
      <c r="AJ103" s="1513"/>
      <c r="AK103" s="1513"/>
      <c r="AL103" s="1513"/>
      <c r="AM103" s="1513"/>
      <c r="AN103" s="1513"/>
      <c r="AO103" s="1513"/>
      <c r="AP103" s="1513"/>
      <c r="AQ103" s="1513"/>
      <c r="AR103" s="1513"/>
      <c r="AS103" s="1513"/>
      <c r="AT103" s="1516"/>
      <c r="AU103" s="1135"/>
    </row>
    <row r="104" spans="1:47" s="1030" customFormat="1" ht="321" customHeight="1">
      <c r="A104" s="1134"/>
      <c r="B104" s="1548"/>
      <c r="C104" s="1550"/>
      <c r="D104" s="1155" t="s">
        <v>798</v>
      </c>
      <c r="E104" s="1513"/>
      <c r="F104" s="1513"/>
      <c r="G104" s="1513"/>
      <c r="H104" s="1513"/>
      <c r="I104" s="1513"/>
      <c r="J104" s="1513"/>
      <c r="K104" s="1513"/>
      <c r="L104" s="1513"/>
      <c r="M104" s="1513">
        <f t="shared" si="1"/>
        <v>0</v>
      </c>
      <c r="N104" s="1520"/>
      <c r="O104" s="1513"/>
      <c r="P104" s="1513"/>
      <c r="Q104" s="1513"/>
      <c r="R104" s="1513"/>
      <c r="S104" s="1513"/>
      <c r="T104" s="1513"/>
      <c r="U104" s="1513"/>
      <c r="V104" s="1513"/>
      <c r="W104" s="1513"/>
      <c r="X104" s="1513"/>
      <c r="Y104" s="1513"/>
      <c r="Z104" s="1513"/>
      <c r="AA104" s="1513"/>
      <c r="AB104" s="1513"/>
      <c r="AC104" s="1513"/>
      <c r="AD104" s="1513"/>
      <c r="AE104" s="1513"/>
      <c r="AF104" s="1513"/>
      <c r="AG104" s="1513"/>
      <c r="AH104" s="1513"/>
      <c r="AI104" s="1513"/>
      <c r="AJ104" s="1513"/>
      <c r="AK104" s="1513"/>
      <c r="AL104" s="1513"/>
      <c r="AM104" s="1513"/>
      <c r="AN104" s="1513"/>
      <c r="AO104" s="1513"/>
      <c r="AP104" s="1513"/>
      <c r="AQ104" s="1513"/>
      <c r="AR104" s="1513"/>
      <c r="AS104" s="1513"/>
      <c r="AT104" s="1516"/>
      <c r="AU104" s="1135"/>
    </row>
    <row r="105" spans="1:47" s="1030" customFormat="1" ht="321" customHeight="1">
      <c r="A105" s="1134"/>
      <c r="B105" s="1548"/>
      <c r="C105" s="1550"/>
      <c r="D105" s="1155" t="s">
        <v>799</v>
      </c>
      <c r="E105" s="1513"/>
      <c r="F105" s="1513"/>
      <c r="G105" s="1513"/>
      <c r="H105" s="1513"/>
      <c r="I105" s="1513"/>
      <c r="J105" s="1513"/>
      <c r="K105" s="1513"/>
      <c r="L105" s="1513"/>
      <c r="M105" s="1513">
        <f t="shared" si="1"/>
        <v>0</v>
      </c>
      <c r="N105" s="1520"/>
      <c r="O105" s="1513"/>
      <c r="P105" s="1513"/>
      <c r="Q105" s="1513"/>
      <c r="R105" s="1513"/>
      <c r="S105" s="1513"/>
      <c r="T105" s="1513"/>
      <c r="U105" s="1513"/>
      <c r="V105" s="1513"/>
      <c r="W105" s="1513"/>
      <c r="X105" s="1513"/>
      <c r="Y105" s="1513"/>
      <c r="Z105" s="1513"/>
      <c r="AA105" s="1513"/>
      <c r="AB105" s="1513"/>
      <c r="AC105" s="1513"/>
      <c r="AD105" s="1513"/>
      <c r="AE105" s="1513"/>
      <c r="AF105" s="1513"/>
      <c r="AG105" s="1513"/>
      <c r="AH105" s="1513"/>
      <c r="AI105" s="1513"/>
      <c r="AJ105" s="1513"/>
      <c r="AK105" s="1513"/>
      <c r="AL105" s="1513"/>
      <c r="AM105" s="1513"/>
      <c r="AN105" s="1513"/>
      <c r="AO105" s="1513"/>
      <c r="AP105" s="1513"/>
      <c r="AQ105" s="1513"/>
      <c r="AR105" s="1513"/>
      <c r="AS105" s="1513"/>
      <c r="AT105" s="1516"/>
      <c r="AU105" s="1135"/>
    </row>
    <row r="106" spans="1:47" s="1030" customFormat="1" ht="321" customHeight="1" thickBot="1">
      <c r="A106" s="1134"/>
      <c r="B106" s="1552"/>
      <c r="C106" s="1551"/>
      <c r="D106" s="1176" t="s">
        <v>800</v>
      </c>
      <c r="E106" s="1514"/>
      <c r="F106" s="1514"/>
      <c r="G106" s="1514"/>
      <c r="H106" s="1514"/>
      <c r="I106" s="1514"/>
      <c r="J106" s="1514"/>
      <c r="K106" s="1514"/>
      <c r="L106" s="1514"/>
      <c r="M106" s="1514">
        <f t="shared" si="1"/>
        <v>0</v>
      </c>
      <c r="N106" s="1544"/>
      <c r="O106" s="1514"/>
      <c r="P106" s="1514"/>
      <c r="Q106" s="1514"/>
      <c r="R106" s="1514"/>
      <c r="S106" s="1514"/>
      <c r="T106" s="1514"/>
      <c r="U106" s="1514"/>
      <c r="V106" s="1514"/>
      <c r="W106" s="1514"/>
      <c r="X106" s="1514"/>
      <c r="Y106" s="1514"/>
      <c r="Z106" s="1514"/>
      <c r="AA106" s="1514"/>
      <c r="AB106" s="1514"/>
      <c r="AC106" s="1514"/>
      <c r="AD106" s="1514"/>
      <c r="AE106" s="1514"/>
      <c r="AF106" s="1514"/>
      <c r="AG106" s="1514"/>
      <c r="AH106" s="1514"/>
      <c r="AI106" s="1514"/>
      <c r="AJ106" s="1514"/>
      <c r="AK106" s="1514"/>
      <c r="AL106" s="1514"/>
      <c r="AM106" s="1514"/>
      <c r="AN106" s="1514"/>
      <c r="AO106" s="1514"/>
      <c r="AP106" s="1514"/>
      <c r="AQ106" s="1514"/>
      <c r="AR106" s="1514"/>
      <c r="AS106" s="1514"/>
      <c r="AT106" s="1534"/>
      <c r="AU106" s="1135"/>
    </row>
    <row r="107" spans="1:47" s="831" customFormat="1" ht="1.5" hidden="1" customHeight="1">
      <c r="A107" s="1130"/>
      <c r="B107" s="1053"/>
      <c r="C107" s="1050"/>
      <c r="D107" s="1050"/>
      <c r="E107" s="1051"/>
      <c r="F107" s="1051"/>
      <c r="G107" s="1051"/>
      <c r="H107" s="1051"/>
      <c r="I107" s="1051"/>
      <c r="J107" s="1051"/>
      <c r="K107" s="1051"/>
      <c r="L107" s="1051"/>
      <c r="M107" s="1051"/>
      <c r="N107" s="1068"/>
      <c r="O107" s="1051"/>
      <c r="P107" s="1051"/>
      <c r="Q107" s="1051"/>
      <c r="R107" s="1051"/>
      <c r="S107" s="1051"/>
      <c r="T107" s="1051"/>
      <c r="U107" s="1051"/>
      <c r="V107" s="1051"/>
      <c r="W107" s="1051"/>
      <c r="X107" s="1051"/>
      <c r="Y107" s="1051"/>
      <c r="Z107" s="1051"/>
      <c r="AA107" s="1051"/>
      <c r="AB107" s="1051"/>
      <c r="AC107" s="1051"/>
      <c r="AD107" s="1051"/>
      <c r="AE107" s="1051"/>
      <c r="AF107" s="1051"/>
      <c r="AG107" s="1051"/>
      <c r="AH107" s="1051"/>
      <c r="AI107" s="1051"/>
      <c r="AJ107" s="1051"/>
      <c r="AK107" s="1051"/>
      <c r="AL107" s="1051"/>
      <c r="AM107" s="1051"/>
      <c r="AN107" s="1051"/>
      <c r="AO107" s="1052"/>
      <c r="AP107" s="1052"/>
      <c r="AQ107" s="1052"/>
      <c r="AR107" s="1052"/>
      <c r="AS107" s="1052"/>
      <c r="AT107" s="1052"/>
      <c r="AU107" s="1131"/>
    </row>
    <row r="108" spans="1:47">
      <c r="A108" s="1128"/>
      <c r="B108" s="1069"/>
      <c r="C108" s="1054"/>
      <c r="D108" s="1054"/>
      <c r="E108" s="942"/>
      <c r="F108" s="942"/>
      <c r="G108" s="942"/>
      <c r="H108" s="942"/>
      <c r="I108" s="942"/>
      <c r="J108" s="942"/>
      <c r="K108" s="942"/>
      <c r="L108" s="942"/>
      <c r="M108" s="942"/>
      <c r="N108" s="1070"/>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1055"/>
      <c r="AP108" s="1055"/>
      <c r="AQ108" s="1055"/>
      <c r="AR108" s="1055"/>
      <c r="AS108" s="1055"/>
      <c r="AT108" s="1055"/>
      <c r="AU108" s="1129"/>
    </row>
    <row r="109" spans="1:47">
      <c r="A109" s="1128"/>
      <c r="B109" s="1069"/>
      <c r="C109" s="1054"/>
      <c r="D109" s="1054"/>
      <c r="E109" s="942"/>
      <c r="F109" s="942"/>
      <c r="G109" s="942"/>
      <c r="H109" s="942"/>
      <c r="I109" s="942"/>
      <c r="J109" s="942"/>
      <c r="K109" s="942"/>
      <c r="L109" s="942"/>
      <c r="M109" s="942"/>
      <c r="N109" s="1070"/>
      <c r="O109" s="942"/>
      <c r="P109" s="942"/>
      <c r="Q109" s="942"/>
      <c r="R109" s="942"/>
      <c r="S109" s="942"/>
      <c r="T109" s="942"/>
      <c r="U109" s="942"/>
      <c r="V109" s="942"/>
      <c r="W109" s="942"/>
      <c r="X109" s="942"/>
      <c r="Y109" s="942"/>
      <c r="Z109" s="942"/>
      <c r="AA109" s="942"/>
      <c r="AB109" s="942"/>
      <c r="AC109" s="942"/>
      <c r="AD109" s="942"/>
      <c r="AE109" s="942"/>
      <c r="AF109" s="942"/>
      <c r="AG109" s="942"/>
      <c r="AH109" s="942"/>
      <c r="AI109" s="942"/>
      <c r="AJ109" s="942"/>
      <c r="AK109" s="942"/>
      <c r="AL109" s="942"/>
      <c r="AM109" s="942"/>
      <c r="AN109" s="942"/>
      <c r="AO109" s="1055"/>
      <c r="AP109" s="1055"/>
      <c r="AQ109" s="1055"/>
      <c r="AR109" s="1055"/>
      <c r="AS109" s="1055"/>
      <c r="AT109" s="1055"/>
      <c r="AU109" s="1129"/>
    </row>
    <row r="110" spans="1:47">
      <c r="A110" s="1128"/>
      <c r="B110" s="1069"/>
      <c r="C110" s="1054"/>
      <c r="D110" s="1054"/>
      <c r="E110" s="942"/>
      <c r="F110" s="942"/>
      <c r="G110" s="942"/>
      <c r="H110" s="942"/>
      <c r="I110" s="942"/>
      <c r="J110" s="942"/>
      <c r="K110" s="942"/>
      <c r="L110" s="942"/>
      <c r="M110" s="942"/>
      <c r="N110" s="1070"/>
      <c r="O110" s="942"/>
      <c r="P110" s="942"/>
      <c r="Q110" s="942"/>
      <c r="R110" s="942"/>
      <c r="S110" s="942"/>
      <c r="T110" s="942"/>
      <c r="U110" s="942"/>
      <c r="V110" s="942"/>
      <c r="W110" s="942"/>
      <c r="X110" s="942"/>
      <c r="Y110" s="942"/>
      <c r="Z110" s="942"/>
      <c r="AA110" s="942"/>
      <c r="AB110" s="942"/>
      <c r="AC110" s="942"/>
      <c r="AD110" s="942"/>
      <c r="AE110" s="942"/>
      <c r="AF110" s="942"/>
      <c r="AG110" s="942"/>
      <c r="AH110" s="942"/>
      <c r="AI110" s="942"/>
      <c r="AJ110" s="942"/>
      <c r="AK110" s="942"/>
      <c r="AL110" s="942"/>
      <c r="AM110" s="942"/>
      <c r="AN110" s="942"/>
      <c r="AO110" s="1055"/>
      <c r="AP110" s="1055"/>
      <c r="AQ110" s="1055"/>
      <c r="AR110" s="1055"/>
      <c r="AS110" s="1055"/>
      <c r="AT110" s="1055"/>
      <c r="AU110" s="1129"/>
    </row>
    <row r="111" spans="1:47" ht="61.8">
      <c r="A111" s="1128"/>
      <c r="B111" s="1056"/>
      <c r="C111" s="1054"/>
      <c r="D111" s="1054"/>
      <c r="E111" s="942"/>
      <c r="F111" s="942"/>
      <c r="G111" s="942"/>
      <c r="H111" s="942"/>
      <c r="I111" s="942"/>
      <c r="J111" s="942"/>
      <c r="K111" s="942"/>
      <c r="L111" s="942"/>
      <c r="M111" s="942"/>
      <c r="N111" s="1070"/>
      <c r="O111" s="942"/>
      <c r="P111" s="942"/>
      <c r="Q111" s="942"/>
      <c r="R111" s="942"/>
      <c r="S111" s="942"/>
      <c r="T111" s="942"/>
      <c r="U111" s="942"/>
      <c r="V111" s="942"/>
      <c r="W111" s="942"/>
      <c r="X111" s="942"/>
      <c r="Y111" s="942"/>
      <c r="Z111" s="942"/>
      <c r="AA111" s="942"/>
      <c r="AB111" s="942"/>
      <c r="AC111" s="942"/>
      <c r="AD111" s="942"/>
      <c r="AE111" s="942"/>
      <c r="AF111" s="942"/>
      <c r="AG111" s="942"/>
      <c r="AH111" s="942"/>
      <c r="AI111" s="942"/>
      <c r="AJ111" s="942"/>
      <c r="AK111" s="942"/>
      <c r="AL111" s="942"/>
      <c r="AM111" s="942"/>
      <c r="AN111" s="942"/>
      <c r="AO111" s="1055"/>
      <c r="AP111" s="1055"/>
      <c r="AQ111" s="1055"/>
      <c r="AR111" s="1055"/>
      <c r="AS111" s="1055"/>
      <c r="AT111" s="1055"/>
      <c r="AU111" s="1129"/>
    </row>
    <row r="112" spans="1:47" ht="61.8">
      <c r="A112" s="1128"/>
      <c r="B112" s="1056"/>
      <c r="C112" s="1054"/>
      <c r="D112" s="1054"/>
      <c r="E112" s="942"/>
      <c r="F112" s="942"/>
      <c r="G112" s="942"/>
      <c r="H112" s="942"/>
      <c r="I112" s="942"/>
      <c r="J112" s="942"/>
      <c r="K112" s="942"/>
      <c r="L112" s="942"/>
      <c r="M112" s="942"/>
      <c r="N112" s="1070"/>
      <c r="O112" s="942"/>
      <c r="P112" s="942"/>
      <c r="Q112" s="942"/>
      <c r="R112" s="942"/>
      <c r="S112" s="942"/>
      <c r="T112" s="942"/>
      <c r="U112" s="942"/>
      <c r="V112" s="942"/>
      <c r="W112" s="942"/>
      <c r="X112" s="942"/>
      <c r="Y112" s="942"/>
      <c r="Z112" s="942"/>
      <c r="AA112" s="942"/>
      <c r="AB112" s="942"/>
      <c r="AC112" s="942"/>
      <c r="AD112" s="942"/>
      <c r="AE112" s="942"/>
      <c r="AF112" s="942"/>
      <c r="AG112" s="942"/>
      <c r="AH112" s="942"/>
      <c r="AI112" s="942"/>
      <c r="AJ112" s="942"/>
      <c r="AK112" s="942"/>
      <c r="AL112" s="942"/>
      <c r="AM112" s="942"/>
      <c r="AN112" s="942"/>
      <c r="AO112" s="1055"/>
      <c r="AP112" s="1055"/>
      <c r="AQ112" s="1055"/>
      <c r="AR112" s="1055"/>
      <c r="AS112" s="1055"/>
      <c r="AT112" s="1055"/>
      <c r="AU112" s="1129"/>
    </row>
    <row r="113" spans="1:47" ht="63">
      <c r="A113" s="1128"/>
      <c r="B113" s="1047" t="s">
        <v>846</v>
      </c>
      <c r="C113" s="1054"/>
      <c r="D113" s="1054"/>
      <c r="E113" s="942"/>
      <c r="F113" s="942"/>
      <c r="G113" s="942"/>
      <c r="H113" s="942"/>
      <c r="I113" s="942"/>
      <c r="J113" s="942"/>
      <c r="K113" s="942"/>
      <c r="L113" s="942"/>
      <c r="M113" s="942"/>
      <c r="N113" s="1070"/>
      <c r="O113" s="942"/>
      <c r="P113" s="942"/>
      <c r="Q113" s="942"/>
      <c r="R113" s="942"/>
      <c r="S113" s="942"/>
      <c r="T113" s="942"/>
      <c r="U113" s="942"/>
      <c r="V113" s="942"/>
      <c r="W113" s="942"/>
      <c r="X113" s="942"/>
      <c r="Y113" s="942"/>
      <c r="Z113" s="942"/>
      <c r="AA113" s="942"/>
      <c r="AB113" s="942"/>
      <c r="AC113" s="942"/>
      <c r="AD113" s="942"/>
      <c r="AE113" s="942"/>
      <c r="AF113" s="942"/>
      <c r="AG113" s="942"/>
      <c r="AH113" s="942"/>
      <c r="AI113" s="942"/>
      <c r="AJ113" s="942"/>
      <c r="AK113" s="942"/>
      <c r="AL113" s="942"/>
      <c r="AM113" s="942"/>
      <c r="AN113" s="942"/>
      <c r="AO113" s="1055"/>
      <c r="AP113" s="1055"/>
      <c r="AQ113" s="1055"/>
      <c r="AR113" s="1055"/>
      <c r="AS113" s="1055"/>
      <c r="AT113" s="1055"/>
      <c r="AU113" s="1129"/>
    </row>
    <row r="114" spans="1:47" ht="63">
      <c r="A114" s="1128"/>
      <c r="B114" s="1047" t="s">
        <v>852</v>
      </c>
      <c r="C114" s="1054"/>
      <c r="D114" s="1054"/>
      <c r="E114" s="942"/>
      <c r="F114" s="942"/>
      <c r="G114" s="942"/>
      <c r="H114" s="942"/>
      <c r="I114" s="942"/>
      <c r="J114" s="942"/>
      <c r="K114" s="942"/>
      <c r="L114" s="942"/>
      <c r="M114" s="942"/>
      <c r="N114" s="1070"/>
      <c r="O114" s="942"/>
      <c r="P114" s="942"/>
      <c r="Q114" s="942"/>
      <c r="R114" s="942"/>
      <c r="S114" s="942"/>
      <c r="T114" s="942"/>
      <c r="U114" s="942"/>
      <c r="V114" s="942"/>
      <c r="W114" s="942"/>
      <c r="X114" s="942"/>
      <c r="Y114" s="942"/>
      <c r="Z114" s="942"/>
      <c r="AA114" s="942"/>
      <c r="AB114" s="942"/>
      <c r="AC114" s="942"/>
      <c r="AD114" s="942"/>
      <c r="AE114" s="942"/>
      <c r="AF114" s="942"/>
      <c r="AG114" s="942"/>
      <c r="AH114" s="942"/>
      <c r="AI114" s="942"/>
      <c r="AJ114" s="942"/>
      <c r="AK114" s="942"/>
      <c r="AL114" s="942"/>
      <c r="AM114" s="942"/>
      <c r="AN114" s="942"/>
      <c r="AO114" s="1055"/>
      <c r="AP114" s="1055"/>
      <c r="AQ114" s="1055"/>
      <c r="AR114" s="1055"/>
      <c r="AS114" s="1055"/>
      <c r="AT114" s="1055"/>
      <c r="AU114" s="1129"/>
    </row>
    <row r="115" spans="1:47" ht="62.4">
      <c r="A115" s="1128"/>
      <c r="B115" s="1048" t="s">
        <v>858</v>
      </c>
      <c r="C115" s="1054"/>
      <c r="D115" s="1054"/>
      <c r="E115" s="942"/>
      <c r="F115" s="942"/>
      <c r="G115" s="942"/>
      <c r="H115" s="942"/>
      <c r="I115" s="942"/>
      <c r="J115" s="942"/>
      <c r="K115" s="942"/>
      <c r="L115" s="942"/>
      <c r="M115" s="942"/>
      <c r="N115" s="1070"/>
      <c r="O115" s="942"/>
      <c r="P115" s="942"/>
      <c r="Q115" s="942"/>
      <c r="R115" s="942"/>
      <c r="S115" s="942"/>
      <c r="T115" s="942"/>
      <c r="U115" s="942"/>
      <c r="V115" s="942"/>
      <c r="W115" s="942"/>
      <c r="X115" s="942"/>
      <c r="Y115" s="942"/>
      <c r="Z115" s="942"/>
      <c r="AA115" s="942"/>
      <c r="AB115" s="942"/>
      <c r="AC115" s="942"/>
      <c r="AD115" s="942"/>
      <c r="AE115" s="942"/>
      <c r="AF115" s="942"/>
      <c r="AG115" s="942"/>
      <c r="AH115" s="942"/>
      <c r="AI115" s="942"/>
      <c r="AJ115" s="942"/>
      <c r="AK115" s="942"/>
      <c r="AL115" s="942"/>
      <c r="AM115" s="942"/>
      <c r="AN115" s="942"/>
      <c r="AO115" s="1055"/>
      <c r="AP115" s="1055"/>
      <c r="AQ115" s="1055"/>
      <c r="AR115" s="1055"/>
      <c r="AS115" s="1055"/>
      <c r="AT115" s="1055"/>
      <c r="AU115" s="1129"/>
    </row>
    <row r="116" spans="1:47" ht="62.4">
      <c r="A116" s="1128"/>
      <c r="B116" s="1048" t="s">
        <v>859</v>
      </c>
      <c r="C116" s="1054"/>
      <c r="D116" s="1054"/>
      <c r="E116" s="942"/>
      <c r="F116" s="942"/>
      <c r="G116" s="942"/>
      <c r="H116" s="942"/>
      <c r="I116" s="942"/>
      <c r="J116" s="942"/>
      <c r="K116" s="942"/>
      <c r="L116" s="942"/>
      <c r="M116" s="942"/>
      <c r="N116" s="1070"/>
      <c r="O116" s="942"/>
      <c r="P116" s="942"/>
      <c r="Q116" s="942"/>
      <c r="R116" s="942"/>
      <c r="S116" s="942"/>
      <c r="T116" s="942"/>
      <c r="U116" s="942"/>
      <c r="V116" s="942"/>
      <c r="W116" s="942"/>
      <c r="X116" s="942"/>
      <c r="Y116" s="942"/>
      <c r="Z116" s="942"/>
      <c r="AA116" s="942"/>
      <c r="AB116" s="942"/>
      <c r="AC116" s="942"/>
      <c r="AD116" s="942"/>
      <c r="AE116" s="942"/>
      <c r="AF116" s="942"/>
      <c r="AG116" s="942"/>
      <c r="AH116" s="942"/>
      <c r="AI116" s="942"/>
      <c r="AJ116" s="942"/>
      <c r="AK116" s="942"/>
      <c r="AL116" s="942"/>
      <c r="AM116" s="942"/>
      <c r="AN116" s="942"/>
      <c r="AO116" s="1055"/>
      <c r="AP116" s="1055"/>
      <c r="AQ116" s="1055"/>
      <c r="AR116" s="1055"/>
      <c r="AS116" s="1055"/>
      <c r="AT116" s="1055"/>
      <c r="AU116" s="1129"/>
    </row>
    <row r="117" spans="1:47" ht="62.4">
      <c r="A117" s="1128"/>
      <c r="B117" s="1048" t="s">
        <v>860</v>
      </c>
      <c r="C117" s="1054"/>
      <c r="D117" s="1054"/>
      <c r="E117" s="942"/>
      <c r="F117" s="942"/>
      <c r="G117" s="942"/>
      <c r="H117" s="942"/>
      <c r="I117" s="942"/>
      <c r="J117" s="942"/>
      <c r="K117" s="942"/>
      <c r="L117" s="942"/>
      <c r="M117" s="942"/>
      <c r="N117" s="1070"/>
      <c r="O117" s="942"/>
      <c r="P117" s="942"/>
      <c r="Q117" s="942"/>
      <c r="R117" s="942"/>
      <c r="S117" s="942"/>
      <c r="T117" s="942"/>
      <c r="U117" s="942"/>
      <c r="V117" s="942"/>
      <c r="W117" s="942"/>
      <c r="X117" s="942"/>
      <c r="Y117" s="942"/>
      <c r="Z117" s="942"/>
      <c r="AA117" s="942"/>
      <c r="AB117" s="942"/>
      <c r="AC117" s="942"/>
      <c r="AD117" s="942"/>
      <c r="AE117" s="942"/>
      <c r="AF117" s="942"/>
      <c r="AG117" s="942"/>
      <c r="AH117" s="942"/>
      <c r="AI117" s="942"/>
      <c r="AJ117" s="942"/>
      <c r="AK117" s="942"/>
      <c r="AL117" s="942"/>
      <c r="AM117" s="942"/>
      <c r="AN117" s="942"/>
      <c r="AO117" s="1055"/>
      <c r="AP117" s="1055"/>
      <c r="AQ117" s="1055"/>
      <c r="AR117" s="1055"/>
      <c r="AS117" s="1055"/>
      <c r="AT117" s="1055"/>
      <c r="AU117" s="1129"/>
    </row>
    <row r="118" spans="1:47" ht="62.4">
      <c r="A118" s="1128"/>
      <c r="B118" s="1048" t="s">
        <v>861</v>
      </c>
      <c r="C118" s="1054"/>
      <c r="D118" s="1054"/>
      <c r="E118" s="942"/>
      <c r="F118" s="942"/>
      <c r="G118" s="942"/>
      <c r="H118" s="942"/>
      <c r="I118" s="942"/>
      <c r="J118" s="942"/>
      <c r="K118" s="942"/>
      <c r="L118" s="942"/>
      <c r="M118" s="942"/>
      <c r="N118" s="1070"/>
      <c r="O118" s="942"/>
      <c r="P118" s="942"/>
      <c r="Q118" s="942"/>
      <c r="R118" s="942"/>
      <c r="S118" s="942"/>
      <c r="T118" s="942"/>
      <c r="U118" s="942"/>
      <c r="V118" s="942"/>
      <c r="W118" s="942"/>
      <c r="X118" s="942"/>
      <c r="Y118" s="942"/>
      <c r="Z118" s="942"/>
      <c r="AA118" s="942"/>
      <c r="AB118" s="942"/>
      <c r="AC118" s="942"/>
      <c r="AD118" s="942"/>
      <c r="AE118" s="942"/>
      <c r="AF118" s="942"/>
      <c r="AG118" s="942"/>
      <c r="AH118" s="942"/>
      <c r="AI118" s="942"/>
      <c r="AJ118" s="942"/>
      <c r="AK118" s="942"/>
      <c r="AL118" s="942"/>
      <c r="AM118" s="942"/>
      <c r="AN118" s="942"/>
      <c r="AO118" s="1055"/>
      <c r="AP118" s="1055"/>
      <c r="AQ118" s="1055"/>
      <c r="AR118" s="1055"/>
      <c r="AS118" s="1055"/>
      <c r="AT118" s="1055"/>
      <c r="AU118" s="1129"/>
    </row>
    <row r="119" spans="1:47" ht="62.4">
      <c r="A119" s="1128"/>
      <c r="B119" s="1048" t="s">
        <v>862</v>
      </c>
      <c r="C119" s="1054"/>
      <c r="D119" s="1054"/>
      <c r="E119" s="942"/>
      <c r="F119" s="942"/>
      <c r="G119" s="942"/>
      <c r="H119" s="942"/>
      <c r="I119" s="942"/>
      <c r="J119" s="942"/>
      <c r="K119" s="942"/>
      <c r="L119" s="942"/>
      <c r="M119" s="942"/>
      <c r="N119" s="1070"/>
      <c r="O119" s="942"/>
      <c r="P119" s="942"/>
      <c r="Q119" s="942"/>
      <c r="R119" s="942"/>
      <c r="S119" s="942"/>
      <c r="T119" s="942"/>
      <c r="U119" s="942"/>
      <c r="V119" s="942"/>
      <c r="W119" s="942"/>
      <c r="X119" s="942"/>
      <c r="Y119" s="942"/>
      <c r="Z119" s="942"/>
      <c r="AA119" s="942"/>
      <c r="AB119" s="942"/>
      <c r="AC119" s="942"/>
      <c r="AD119" s="942"/>
      <c r="AE119" s="942"/>
      <c r="AF119" s="942"/>
      <c r="AG119" s="942"/>
      <c r="AH119" s="942"/>
      <c r="AI119" s="942"/>
      <c r="AJ119" s="942"/>
      <c r="AK119" s="942"/>
      <c r="AL119" s="942"/>
      <c r="AM119" s="942"/>
      <c r="AN119" s="942"/>
      <c r="AO119" s="1055"/>
      <c r="AP119" s="1055"/>
      <c r="AQ119" s="1055"/>
      <c r="AR119" s="1055"/>
      <c r="AS119" s="1055"/>
      <c r="AT119" s="1055"/>
      <c r="AU119" s="1129"/>
    </row>
    <row r="120" spans="1:47" ht="62.4">
      <c r="A120" s="1128"/>
      <c r="B120" s="1059"/>
      <c r="C120" s="1054"/>
      <c r="D120" s="1054"/>
      <c r="E120" s="942"/>
      <c r="F120" s="942"/>
      <c r="G120" s="942"/>
      <c r="H120" s="942"/>
      <c r="I120" s="942"/>
      <c r="J120" s="942"/>
      <c r="K120" s="942"/>
      <c r="L120" s="942"/>
      <c r="M120" s="942"/>
      <c r="N120" s="1070"/>
      <c r="O120" s="942"/>
      <c r="P120" s="942"/>
      <c r="Q120" s="942"/>
      <c r="R120" s="942"/>
      <c r="S120" s="942"/>
      <c r="T120" s="942"/>
      <c r="U120" s="942"/>
      <c r="V120" s="942"/>
      <c r="W120" s="942"/>
      <c r="X120" s="942"/>
      <c r="Y120" s="942"/>
      <c r="Z120" s="942"/>
      <c r="AA120" s="942"/>
      <c r="AB120" s="942"/>
      <c r="AC120" s="942"/>
      <c r="AD120" s="942"/>
      <c r="AE120" s="942"/>
      <c r="AF120" s="942"/>
      <c r="AG120" s="942"/>
      <c r="AH120" s="942"/>
      <c r="AI120" s="942"/>
      <c r="AJ120" s="942"/>
      <c r="AK120" s="942"/>
      <c r="AL120" s="942"/>
      <c r="AM120" s="942"/>
      <c r="AN120" s="942"/>
      <c r="AO120" s="1055"/>
      <c r="AP120" s="1055"/>
      <c r="AQ120" s="1055"/>
      <c r="AR120" s="1055"/>
      <c r="AS120" s="1055"/>
      <c r="AT120" s="1055"/>
      <c r="AU120" s="1129"/>
    </row>
    <row r="121" spans="1:47" ht="62.4">
      <c r="A121" s="1134"/>
      <c r="B121" s="1049" t="s">
        <v>885</v>
      </c>
      <c r="C121" s="1054"/>
      <c r="D121" s="1054"/>
      <c r="E121" s="942"/>
      <c r="F121" s="942"/>
      <c r="G121" s="942"/>
      <c r="H121" s="942"/>
      <c r="I121" s="942"/>
      <c r="J121" s="942"/>
      <c r="K121" s="942"/>
      <c r="L121" s="942"/>
      <c r="M121" s="942"/>
      <c r="N121" s="1070"/>
      <c r="O121" s="942"/>
      <c r="P121" s="942"/>
      <c r="Q121" s="942"/>
      <c r="R121" s="942"/>
      <c r="S121" s="942"/>
      <c r="T121" s="942"/>
      <c r="U121" s="942"/>
      <c r="V121" s="942"/>
      <c r="W121" s="942"/>
      <c r="X121" s="942"/>
      <c r="Y121" s="942"/>
      <c r="Z121" s="942"/>
      <c r="AA121" s="942"/>
      <c r="AB121" s="942"/>
      <c r="AC121" s="942"/>
      <c r="AD121" s="942"/>
      <c r="AE121" s="942"/>
      <c r="AF121" s="942"/>
      <c r="AG121" s="942"/>
      <c r="AH121" s="942"/>
      <c r="AI121" s="942"/>
      <c r="AJ121" s="942"/>
      <c r="AK121" s="942"/>
      <c r="AL121" s="942"/>
      <c r="AM121" s="942"/>
      <c r="AN121" s="942"/>
      <c r="AO121" s="1055"/>
      <c r="AP121" s="1055"/>
      <c r="AQ121" s="1055"/>
      <c r="AR121" s="1055"/>
      <c r="AS121" s="1055"/>
      <c r="AT121" s="1055"/>
      <c r="AU121" s="1129"/>
    </row>
    <row r="122" spans="1:47" ht="62.4">
      <c r="A122" s="1134"/>
      <c r="B122" s="1049" t="s">
        <v>893</v>
      </c>
      <c r="C122" s="1054"/>
      <c r="D122" s="1054"/>
      <c r="E122" s="942"/>
      <c r="F122" s="942"/>
      <c r="G122" s="942"/>
      <c r="H122" s="942"/>
      <c r="I122" s="942"/>
      <c r="J122" s="942"/>
      <c r="K122" s="942"/>
      <c r="L122" s="942"/>
      <c r="M122" s="942"/>
      <c r="N122" s="1070"/>
      <c r="O122" s="942"/>
      <c r="P122" s="942"/>
      <c r="Q122" s="942"/>
      <c r="R122" s="942"/>
      <c r="S122" s="942"/>
      <c r="T122" s="942"/>
      <c r="U122" s="942"/>
      <c r="V122" s="942"/>
      <c r="W122" s="942"/>
      <c r="X122" s="942"/>
      <c r="Y122" s="942"/>
      <c r="Z122" s="942"/>
      <c r="AA122" s="942"/>
      <c r="AB122" s="942"/>
      <c r="AC122" s="942"/>
      <c r="AD122" s="942"/>
      <c r="AE122" s="942"/>
      <c r="AF122" s="942"/>
      <c r="AG122" s="942"/>
      <c r="AH122" s="942"/>
      <c r="AI122" s="942"/>
      <c r="AJ122" s="942"/>
      <c r="AK122" s="942"/>
      <c r="AL122" s="942"/>
      <c r="AM122" s="942"/>
      <c r="AN122" s="942"/>
      <c r="AO122" s="1055"/>
      <c r="AP122" s="1055"/>
      <c r="AQ122" s="1055"/>
      <c r="AR122" s="1055"/>
      <c r="AS122" s="1055"/>
      <c r="AT122" s="1055"/>
      <c r="AU122" s="1129"/>
    </row>
    <row r="123" spans="1:47" ht="62.4">
      <c r="A123" s="1134"/>
      <c r="B123" s="1049" t="s">
        <v>894</v>
      </c>
      <c r="C123" s="1054"/>
      <c r="D123" s="1054"/>
      <c r="E123" s="942"/>
      <c r="F123" s="942"/>
      <c r="G123" s="942"/>
      <c r="H123" s="942"/>
      <c r="I123" s="942"/>
      <c r="J123" s="942"/>
      <c r="K123" s="942"/>
      <c r="L123" s="942"/>
      <c r="M123" s="942"/>
      <c r="N123" s="1070"/>
      <c r="O123" s="942"/>
      <c r="P123" s="942"/>
      <c r="Q123" s="942"/>
      <c r="R123" s="942"/>
      <c r="S123" s="942"/>
      <c r="T123" s="942"/>
      <c r="U123" s="942"/>
      <c r="V123" s="942"/>
      <c r="W123" s="942"/>
      <c r="X123" s="942"/>
      <c r="Y123" s="942"/>
      <c r="Z123" s="942"/>
      <c r="AA123" s="942"/>
      <c r="AB123" s="942"/>
      <c r="AC123" s="942"/>
      <c r="AD123" s="942"/>
      <c r="AE123" s="942"/>
      <c r="AF123" s="942"/>
      <c r="AG123" s="942"/>
      <c r="AH123" s="942"/>
      <c r="AI123" s="942"/>
      <c r="AJ123" s="942"/>
      <c r="AK123" s="942"/>
      <c r="AL123" s="942"/>
      <c r="AM123" s="942"/>
      <c r="AN123" s="942"/>
      <c r="AO123" s="1055"/>
      <c r="AP123" s="1055"/>
      <c r="AQ123" s="1055"/>
      <c r="AR123" s="1055"/>
      <c r="AS123" s="1055"/>
      <c r="AT123" s="1055"/>
      <c r="AU123" s="1129"/>
    </row>
    <row r="124" spans="1:47" ht="62.4">
      <c r="A124" s="1134"/>
      <c r="B124" s="1049" t="s">
        <v>886</v>
      </c>
      <c r="C124" s="1054"/>
      <c r="D124" s="1054"/>
      <c r="E124" s="942"/>
      <c r="F124" s="942"/>
      <c r="G124" s="942"/>
      <c r="H124" s="942"/>
      <c r="I124" s="942"/>
      <c r="J124" s="942"/>
      <c r="K124" s="942"/>
      <c r="L124" s="942"/>
      <c r="M124" s="942"/>
      <c r="N124" s="1070"/>
      <c r="O124" s="942"/>
      <c r="P124" s="942"/>
      <c r="Q124" s="942"/>
      <c r="R124" s="942"/>
      <c r="S124" s="942"/>
      <c r="T124" s="942"/>
      <c r="U124" s="942"/>
      <c r="V124" s="942"/>
      <c r="W124" s="942"/>
      <c r="X124" s="942"/>
      <c r="Y124" s="942"/>
      <c r="Z124" s="942"/>
      <c r="AA124" s="942"/>
      <c r="AB124" s="942"/>
      <c r="AC124" s="942"/>
      <c r="AD124" s="942"/>
      <c r="AE124" s="942"/>
      <c r="AF124" s="942"/>
      <c r="AG124" s="942"/>
      <c r="AH124" s="942"/>
      <c r="AI124" s="942"/>
      <c r="AJ124" s="942"/>
      <c r="AK124" s="942"/>
      <c r="AL124" s="942"/>
      <c r="AM124" s="942"/>
      <c r="AN124" s="942"/>
      <c r="AO124" s="1055"/>
      <c r="AP124" s="1055"/>
      <c r="AQ124" s="1055"/>
      <c r="AR124" s="1055"/>
      <c r="AS124" s="1055"/>
      <c r="AT124" s="1055"/>
      <c r="AU124" s="1129"/>
    </row>
    <row r="125" spans="1:47" ht="62.4">
      <c r="A125" s="1134"/>
      <c r="B125" s="1049" t="s">
        <v>887</v>
      </c>
      <c r="C125" s="1054"/>
      <c r="D125" s="1054"/>
      <c r="E125" s="942"/>
      <c r="F125" s="942"/>
      <c r="G125" s="942"/>
      <c r="H125" s="942"/>
      <c r="I125" s="942"/>
      <c r="J125" s="942"/>
      <c r="K125" s="942"/>
      <c r="L125" s="942"/>
      <c r="M125" s="942"/>
      <c r="N125" s="1070"/>
      <c r="O125" s="942"/>
      <c r="P125" s="942"/>
      <c r="Q125" s="942"/>
      <c r="R125" s="942"/>
      <c r="S125" s="942"/>
      <c r="T125" s="942"/>
      <c r="U125" s="942"/>
      <c r="V125" s="942"/>
      <c r="W125" s="942"/>
      <c r="X125" s="942"/>
      <c r="Y125" s="942"/>
      <c r="Z125" s="942"/>
      <c r="AA125" s="942"/>
      <c r="AB125" s="942"/>
      <c r="AC125" s="942"/>
      <c r="AD125" s="942"/>
      <c r="AE125" s="942"/>
      <c r="AF125" s="942"/>
      <c r="AG125" s="942"/>
      <c r="AH125" s="942"/>
      <c r="AI125" s="942"/>
      <c r="AJ125" s="942"/>
      <c r="AK125" s="942"/>
      <c r="AL125" s="942"/>
      <c r="AM125" s="942"/>
      <c r="AN125" s="942"/>
      <c r="AO125" s="1055"/>
      <c r="AP125" s="1055"/>
      <c r="AQ125" s="1055"/>
      <c r="AR125" s="1055"/>
      <c r="AS125" s="1055"/>
      <c r="AT125" s="1055"/>
      <c r="AU125" s="1129"/>
    </row>
    <row r="126" spans="1:47" ht="62.4">
      <c r="A126" s="1134"/>
      <c r="B126" s="1071" t="s">
        <v>892</v>
      </c>
      <c r="C126" s="1054"/>
      <c r="D126" s="1054"/>
      <c r="E126" s="942"/>
      <c r="F126" s="942"/>
      <c r="G126" s="942"/>
      <c r="H126" s="942"/>
      <c r="I126" s="942"/>
      <c r="J126" s="942"/>
      <c r="K126" s="942"/>
      <c r="L126" s="942"/>
      <c r="M126" s="942"/>
      <c r="N126" s="1070"/>
      <c r="O126" s="942"/>
      <c r="P126" s="942"/>
      <c r="Q126" s="942"/>
      <c r="R126" s="942"/>
      <c r="S126" s="942"/>
      <c r="T126" s="942"/>
      <c r="U126" s="942"/>
      <c r="V126" s="942"/>
      <c r="W126" s="942"/>
      <c r="X126" s="942"/>
      <c r="Y126" s="942"/>
      <c r="Z126" s="942"/>
      <c r="AA126" s="942"/>
      <c r="AB126" s="942"/>
      <c r="AC126" s="942"/>
      <c r="AD126" s="942"/>
      <c r="AE126" s="942"/>
      <c r="AF126" s="942"/>
      <c r="AG126" s="942"/>
      <c r="AH126" s="942"/>
      <c r="AI126" s="942"/>
      <c r="AJ126" s="942"/>
      <c r="AK126" s="942"/>
      <c r="AL126" s="942"/>
      <c r="AM126" s="942"/>
      <c r="AN126" s="942"/>
      <c r="AO126" s="1055"/>
      <c r="AP126" s="1055"/>
      <c r="AQ126" s="1055"/>
      <c r="AR126" s="1055"/>
      <c r="AS126" s="1055"/>
      <c r="AT126" s="1055"/>
      <c r="AU126" s="1129"/>
    </row>
    <row r="127" spans="1:47" ht="62.4">
      <c r="A127" s="1134"/>
      <c r="B127" s="1059"/>
      <c r="C127" s="1054"/>
      <c r="D127" s="1054"/>
      <c r="E127" s="942"/>
      <c r="F127" s="942"/>
      <c r="G127" s="942"/>
      <c r="H127" s="942"/>
      <c r="I127" s="942"/>
      <c r="J127" s="942"/>
      <c r="K127" s="942"/>
      <c r="L127" s="942"/>
      <c r="M127" s="942"/>
      <c r="N127" s="1070"/>
      <c r="O127" s="942"/>
      <c r="P127" s="942"/>
      <c r="Q127" s="942"/>
      <c r="R127" s="942"/>
      <c r="S127" s="942"/>
      <c r="T127" s="942"/>
      <c r="U127" s="942"/>
      <c r="V127" s="942"/>
      <c r="W127" s="942"/>
      <c r="X127" s="942"/>
      <c r="Y127" s="942"/>
      <c r="Z127" s="942"/>
      <c r="AA127" s="942"/>
      <c r="AB127" s="942"/>
      <c r="AC127" s="942"/>
      <c r="AD127" s="942"/>
      <c r="AE127" s="942"/>
      <c r="AF127" s="942"/>
      <c r="AG127" s="942"/>
      <c r="AH127" s="942"/>
      <c r="AI127" s="942"/>
      <c r="AJ127" s="942"/>
      <c r="AK127" s="942"/>
      <c r="AL127" s="942"/>
      <c r="AM127" s="942"/>
      <c r="AN127" s="942"/>
      <c r="AO127" s="1055"/>
      <c r="AP127" s="1055"/>
      <c r="AQ127" s="1055"/>
      <c r="AR127" s="1055"/>
      <c r="AS127" s="1055"/>
      <c r="AT127" s="1055"/>
      <c r="AU127" s="1129"/>
    </row>
    <row r="128" spans="1:47" ht="62.4">
      <c r="A128" s="1134"/>
      <c r="B128" s="1059"/>
      <c r="C128" s="1054"/>
      <c r="D128" s="1054"/>
      <c r="E128" s="942"/>
      <c r="F128" s="942"/>
      <c r="G128" s="942"/>
      <c r="H128" s="942"/>
      <c r="I128" s="942"/>
      <c r="J128" s="942"/>
      <c r="K128" s="942"/>
      <c r="L128" s="942"/>
      <c r="M128" s="942"/>
      <c r="N128" s="1070"/>
      <c r="O128" s="942"/>
      <c r="P128" s="942"/>
      <c r="Q128" s="942"/>
      <c r="R128" s="942"/>
      <c r="S128" s="942"/>
      <c r="T128" s="942"/>
      <c r="U128" s="942"/>
      <c r="V128" s="942"/>
      <c r="W128" s="942"/>
      <c r="X128" s="942"/>
      <c r="Y128" s="942"/>
      <c r="Z128" s="942"/>
      <c r="AA128" s="942"/>
      <c r="AB128" s="942"/>
      <c r="AC128" s="942"/>
      <c r="AD128" s="942"/>
      <c r="AE128" s="942"/>
      <c r="AF128" s="942"/>
      <c r="AG128" s="942"/>
      <c r="AH128" s="942"/>
      <c r="AI128" s="942"/>
      <c r="AJ128" s="942"/>
      <c r="AK128" s="942"/>
      <c r="AL128" s="942"/>
      <c r="AM128" s="942"/>
      <c r="AN128" s="942"/>
      <c r="AO128" s="1055"/>
      <c r="AP128" s="1055"/>
      <c r="AQ128" s="1055"/>
      <c r="AR128" s="1055"/>
      <c r="AS128" s="1055"/>
      <c r="AT128" s="1055"/>
      <c r="AU128" s="1129"/>
    </row>
    <row r="129" spans="1:47" ht="62.4">
      <c r="A129" s="1134"/>
      <c r="B129" s="1059"/>
      <c r="C129" s="1054"/>
      <c r="D129" s="1054"/>
      <c r="E129" s="942"/>
      <c r="F129" s="942"/>
      <c r="G129" s="942"/>
      <c r="H129" s="942"/>
      <c r="I129" s="942"/>
      <c r="J129" s="942"/>
      <c r="K129" s="942"/>
      <c r="L129" s="942"/>
      <c r="M129" s="942"/>
      <c r="N129" s="1070"/>
      <c r="O129" s="942"/>
      <c r="P129" s="942"/>
      <c r="Q129" s="942"/>
      <c r="R129" s="942"/>
      <c r="S129" s="942"/>
      <c r="T129" s="942"/>
      <c r="U129" s="942"/>
      <c r="V129" s="942"/>
      <c r="W129" s="942"/>
      <c r="X129" s="942"/>
      <c r="Y129" s="942"/>
      <c r="Z129" s="942"/>
      <c r="AA129" s="942"/>
      <c r="AB129" s="942"/>
      <c r="AC129" s="942"/>
      <c r="AD129" s="942"/>
      <c r="AE129" s="942"/>
      <c r="AF129" s="942"/>
      <c r="AG129" s="942"/>
      <c r="AH129" s="942"/>
      <c r="AI129" s="942"/>
      <c r="AJ129" s="942"/>
      <c r="AK129" s="942"/>
      <c r="AL129" s="942"/>
      <c r="AM129" s="942"/>
      <c r="AN129" s="942"/>
      <c r="AO129" s="1055"/>
      <c r="AP129" s="1055"/>
      <c r="AQ129" s="1055"/>
      <c r="AR129" s="1055"/>
      <c r="AS129" s="1055"/>
      <c r="AT129" s="1055"/>
      <c r="AU129" s="1129"/>
    </row>
    <row r="130" spans="1:47" ht="61.8">
      <c r="A130" s="1134"/>
      <c r="B130" s="1543" t="s">
        <v>708</v>
      </c>
      <c r="C130" s="1543"/>
      <c r="D130" s="1543"/>
      <c r="E130" s="1543"/>
      <c r="F130" s="1543"/>
      <c r="G130" s="1543"/>
      <c r="H130" s="1543"/>
      <c r="I130" s="1543"/>
      <c r="J130" s="1543"/>
      <c r="K130" s="1543"/>
      <c r="L130" s="1543"/>
      <c r="M130" s="1543"/>
      <c r="N130" s="1543"/>
      <c r="O130" s="1543"/>
      <c r="P130" s="1543"/>
      <c r="Q130" s="1543"/>
      <c r="R130" s="1543"/>
      <c r="S130" s="1543"/>
      <c r="T130" s="1543"/>
      <c r="U130" s="1543"/>
      <c r="V130" s="1543"/>
      <c r="W130" s="1543"/>
      <c r="X130" s="1543"/>
      <c r="Y130" s="1543"/>
      <c r="Z130" s="1543"/>
      <c r="AA130" s="1543"/>
      <c r="AB130" s="1543"/>
      <c r="AC130" s="1543"/>
      <c r="AD130" s="1543"/>
      <c r="AE130" s="1543"/>
      <c r="AF130" s="1543"/>
      <c r="AG130" s="1543"/>
      <c r="AH130" s="1543"/>
      <c r="AI130" s="1543"/>
      <c r="AJ130" s="1543"/>
      <c r="AK130" s="1543"/>
      <c r="AL130" s="1543"/>
      <c r="AM130" s="1543"/>
      <c r="AN130" s="1543"/>
      <c r="AO130" s="1543"/>
      <c r="AP130" s="1543"/>
      <c r="AQ130" s="1543"/>
      <c r="AR130" s="1543"/>
      <c r="AS130" s="1543"/>
      <c r="AT130" s="1543"/>
      <c r="AU130" s="1129"/>
    </row>
    <row r="131" spans="1:47" ht="62.4">
      <c r="A131" s="1134"/>
      <c r="B131" s="1059"/>
      <c r="C131" s="1054"/>
      <c r="D131" s="1054"/>
      <c r="E131" s="942"/>
      <c r="F131" s="942"/>
      <c r="G131" s="942"/>
      <c r="H131" s="942"/>
      <c r="I131" s="942"/>
      <c r="J131" s="942"/>
      <c r="K131" s="942"/>
      <c r="L131" s="942"/>
      <c r="M131" s="942"/>
      <c r="N131" s="1070"/>
      <c r="O131" s="942"/>
      <c r="P131" s="942"/>
      <c r="Q131" s="942"/>
      <c r="R131" s="942"/>
      <c r="S131" s="942"/>
      <c r="T131" s="942"/>
      <c r="U131" s="942"/>
      <c r="V131" s="942"/>
      <c r="W131" s="942"/>
      <c r="X131" s="942"/>
      <c r="Y131" s="942"/>
      <c r="Z131" s="942"/>
      <c r="AA131" s="942"/>
      <c r="AB131" s="942"/>
      <c r="AC131" s="942"/>
      <c r="AD131" s="942"/>
      <c r="AE131" s="942"/>
      <c r="AF131" s="942"/>
      <c r="AG131" s="942"/>
      <c r="AH131" s="942"/>
      <c r="AI131" s="942"/>
      <c r="AJ131" s="942"/>
      <c r="AK131" s="942"/>
      <c r="AL131" s="942"/>
      <c r="AM131" s="942"/>
      <c r="AN131" s="942"/>
      <c r="AO131" s="1055"/>
      <c r="AP131" s="1055"/>
      <c r="AQ131" s="1055"/>
      <c r="AR131" s="1055"/>
      <c r="AS131" s="1055"/>
      <c r="AT131" s="1055"/>
      <c r="AU131" s="1129"/>
    </row>
    <row r="132" spans="1:47" ht="63" thickBot="1">
      <c r="A132" s="1138"/>
      <c r="B132" s="1139"/>
      <c r="C132" s="1140"/>
      <c r="D132" s="1140"/>
      <c r="E132" s="1141"/>
      <c r="F132" s="1141"/>
      <c r="G132" s="1141"/>
      <c r="H132" s="1141"/>
      <c r="I132" s="1141"/>
      <c r="J132" s="1141"/>
      <c r="K132" s="1141"/>
      <c r="L132" s="1141"/>
      <c r="M132" s="1141"/>
      <c r="N132" s="1142"/>
      <c r="O132" s="1141"/>
      <c r="P132" s="1141"/>
      <c r="Q132" s="1141"/>
      <c r="R132" s="1141"/>
      <c r="S132" s="1141"/>
      <c r="T132" s="1141"/>
      <c r="U132" s="1141"/>
      <c r="V132" s="1141"/>
      <c r="W132" s="1141"/>
      <c r="X132" s="1141"/>
      <c r="Y132" s="1141"/>
      <c r="Z132" s="1141"/>
      <c r="AA132" s="1141"/>
      <c r="AB132" s="1141"/>
      <c r="AC132" s="1141"/>
      <c r="AD132" s="1141"/>
      <c r="AE132" s="1141"/>
      <c r="AF132" s="1141"/>
      <c r="AG132" s="1141"/>
      <c r="AH132" s="1141"/>
      <c r="AI132" s="1141"/>
      <c r="AJ132" s="1141"/>
      <c r="AK132" s="1141"/>
      <c r="AL132" s="1141"/>
      <c r="AM132" s="1141"/>
      <c r="AN132" s="1141"/>
      <c r="AO132" s="1143"/>
      <c r="AP132" s="1143"/>
      <c r="AQ132" s="1143"/>
      <c r="AR132" s="1143"/>
      <c r="AS132" s="1143"/>
      <c r="AT132" s="1143"/>
      <c r="AU132" s="1144"/>
    </row>
    <row r="133" spans="1:47" ht="62.4">
      <c r="A133" s="1030"/>
      <c r="B133" s="1057"/>
    </row>
    <row r="134" spans="1:47">
      <c r="B134" s="1058"/>
    </row>
    <row r="135" spans="1:47">
      <c r="B135" s="1058"/>
    </row>
    <row r="136" spans="1:47">
      <c r="B136" s="1058"/>
    </row>
  </sheetData>
  <sheetProtection algorithmName="SHA-512" hashValue="MBEbyxhXjuCzvfu1N+WpEOXx9h6L3kHuqeS+uaMmVCgWX/9CdP7mDGV08j3caZPsOuLki8jOz3DmvxVQ6Mtrkg==" saltValue="wY+HFPJ86ZfFV2QVdIY/6g==" spinCount="100000" sheet="1" objects="1" scenarios="1"/>
  <autoFilter ref="B10:AT10"/>
  <mergeCells count="880">
    <mergeCell ref="B9:D9"/>
    <mergeCell ref="B26:B39"/>
    <mergeCell ref="B13:B24"/>
    <mergeCell ref="B41:B44"/>
    <mergeCell ref="C41:C44"/>
    <mergeCell ref="B46:B80"/>
    <mergeCell ref="C46:C47"/>
    <mergeCell ref="C48:C49"/>
    <mergeCell ref="C50:C51"/>
    <mergeCell ref="C53:C54"/>
    <mergeCell ref="C58:C66"/>
    <mergeCell ref="C67:C78"/>
    <mergeCell ref="AQ50:AQ51"/>
    <mergeCell ref="AT58:AT66"/>
    <mergeCell ref="E50:E51"/>
    <mergeCell ref="C13:C15"/>
    <mergeCell ref="C16:C17"/>
    <mergeCell ref="C18:C19"/>
    <mergeCell ref="C20:C24"/>
    <mergeCell ref="C26:C31"/>
    <mergeCell ref="C32:C36"/>
    <mergeCell ref="C37:C39"/>
    <mergeCell ref="AF46:AF47"/>
    <mergeCell ref="K46:K47"/>
    <mergeCell ref="L46:L47"/>
    <mergeCell ref="O46:O47"/>
    <mergeCell ref="P46:P47"/>
    <mergeCell ref="Q46:Q47"/>
    <mergeCell ref="R46:R47"/>
    <mergeCell ref="S46:S47"/>
    <mergeCell ref="T46:T47"/>
    <mergeCell ref="N53:N54"/>
    <mergeCell ref="E58:E66"/>
    <mergeCell ref="N18:N19"/>
    <mergeCell ref="N20:N24"/>
    <mergeCell ref="N26:N31"/>
    <mergeCell ref="B130:AT130"/>
    <mergeCell ref="N82:N83"/>
    <mergeCell ref="N85:N86"/>
    <mergeCell ref="N87:N88"/>
    <mergeCell ref="N90:N92"/>
    <mergeCell ref="N93:N97"/>
    <mergeCell ref="N100:N106"/>
    <mergeCell ref="C82:C83"/>
    <mergeCell ref="B82:B88"/>
    <mergeCell ref="C85:C86"/>
    <mergeCell ref="C87:C88"/>
    <mergeCell ref="C90:C92"/>
    <mergeCell ref="B90:B98"/>
    <mergeCell ref="C93:C97"/>
    <mergeCell ref="C100:C106"/>
    <mergeCell ref="B100:B106"/>
    <mergeCell ref="AN82:AN83"/>
    <mergeCell ref="AO82:AO83"/>
    <mergeCell ref="AP82:AP83"/>
    <mergeCell ref="AQ82:AQ83"/>
    <mergeCell ref="AR82:AR83"/>
    <mergeCell ref="AS82:AS83"/>
    <mergeCell ref="AT82:AT83"/>
    <mergeCell ref="AF82:AF83"/>
    <mergeCell ref="N32:N36"/>
    <mergeCell ref="N37:N39"/>
    <mergeCell ref="N41:N44"/>
    <mergeCell ref="N46:N47"/>
    <mergeCell ref="I46:I47"/>
    <mergeCell ref="J46:J47"/>
    <mergeCell ref="E9:N9"/>
    <mergeCell ref="AP46:AP47"/>
    <mergeCell ref="AQ46:AQ47"/>
    <mergeCell ref="X46:X47"/>
    <mergeCell ref="Y46:Y47"/>
    <mergeCell ref="Z46:Z47"/>
    <mergeCell ref="AA46:AA47"/>
    <mergeCell ref="AB46:AB47"/>
    <mergeCell ref="AC46:AC47"/>
    <mergeCell ref="AD46:AD47"/>
    <mergeCell ref="AE46:AE47"/>
    <mergeCell ref="E46:E47"/>
    <mergeCell ref="I16:I17"/>
    <mergeCell ref="J16:J17"/>
    <mergeCell ref="K16:K17"/>
    <mergeCell ref="L16:L17"/>
    <mergeCell ref="AH13:AH15"/>
    <mergeCell ref="AI13:AI15"/>
    <mergeCell ref="AR46:AR47"/>
    <mergeCell ref="AS46:AS47"/>
    <mergeCell ref="AT46:AT47"/>
    <mergeCell ref="AG46:AG47"/>
    <mergeCell ref="AH46:AH47"/>
    <mergeCell ref="AI46:AI47"/>
    <mergeCell ref="AJ46:AJ47"/>
    <mergeCell ref="AK46:AK47"/>
    <mergeCell ref="AL46:AL47"/>
    <mergeCell ref="AM46:AM47"/>
    <mergeCell ref="AN46:AN47"/>
    <mergeCell ref="AO46:AO47"/>
    <mergeCell ref="B7:N7"/>
    <mergeCell ref="O7:AG7"/>
    <mergeCell ref="E41:E44"/>
    <mergeCell ref="F41:F44"/>
    <mergeCell ref="G41:G44"/>
    <mergeCell ref="H41:H44"/>
    <mergeCell ref="I41:I44"/>
    <mergeCell ref="J41:J44"/>
    <mergeCell ref="K41:K44"/>
    <mergeCell ref="L41:L44"/>
    <mergeCell ref="H18:H19"/>
    <mergeCell ref="E37:E39"/>
    <mergeCell ref="F37:F39"/>
    <mergeCell ref="G37:G39"/>
    <mergeCell ref="H37:H39"/>
    <mergeCell ref="I20:I24"/>
    <mergeCell ref="AC18:AC19"/>
    <mergeCell ref="AD18:AD19"/>
    <mergeCell ref="AC41:AC44"/>
    <mergeCell ref="AD41:AD44"/>
    <mergeCell ref="AE41:AE44"/>
    <mergeCell ref="AF41:AF44"/>
    <mergeCell ref="AG41:AG44"/>
    <mergeCell ref="I37:I39"/>
    <mergeCell ref="AJ13:AJ15"/>
    <mergeCell ref="AK13:AK15"/>
    <mergeCell ref="W16:W17"/>
    <mergeCell ref="X16:X17"/>
    <mergeCell ref="Y16:Y17"/>
    <mergeCell ref="Z16:Z17"/>
    <mergeCell ref="P16:P17"/>
    <mergeCell ref="AK16:AK17"/>
    <mergeCell ref="R16:R17"/>
    <mergeCell ref="S16:S17"/>
    <mergeCell ref="T16:T17"/>
    <mergeCell ref="N13:N15"/>
    <mergeCell ref="N16:N17"/>
    <mergeCell ref="O9:V9"/>
    <mergeCell ref="AQ20:AQ24"/>
    <mergeCell ref="AR20:AR24"/>
    <mergeCell ref="AS20:AS24"/>
    <mergeCell ref="AT20:AT24"/>
    <mergeCell ref="AM32:AM36"/>
    <mergeCell ref="AN32:AN36"/>
    <mergeCell ref="AO32:AO36"/>
    <mergeCell ref="AP32:AP36"/>
    <mergeCell ref="Q16:Q17"/>
    <mergeCell ref="Y26:Y31"/>
    <mergeCell ref="Z26:Z31"/>
    <mergeCell ref="AA26:AA31"/>
    <mergeCell ref="AB26:AB31"/>
    <mergeCell ref="AC26:AC31"/>
    <mergeCell ref="AH20:AH24"/>
    <mergeCell ref="AI20:AI24"/>
    <mergeCell ref="AJ20:AJ24"/>
    <mergeCell ref="AK20:AK24"/>
    <mergeCell ref="AL16:AL17"/>
    <mergeCell ref="AP26:AP31"/>
    <mergeCell ref="AO26:AO31"/>
    <mergeCell ref="AH7:AT7"/>
    <mergeCell ref="AG32:AG36"/>
    <mergeCell ref="AQ32:AQ36"/>
    <mergeCell ref="AR32:AR36"/>
    <mergeCell ref="AS32:AS36"/>
    <mergeCell ref="AT32:AT36"/>
    <mergeCell ref="AH32:AH36"/>
    <mergeCell ref="AI32:AI36"/>
    <mergeCell ref="AJ32:AJ36"/>
    <mergeCell ref="AK32:AK36"/>
    <mergeCell ref="AL32:AL36"/>
    <mergeCell ref="AN16:AN17"/>
    <mergeCell ref="AI26:AI31"/>
    <mergeCell ref="AJ26:AJ31"/>
    <mergeCell ref="AM16:AM17"/>
    <mergeCell ref="AH16:AH17"/>
    <mergeCell ref="AI16:AI17"/>
    <mergeCell ref="AJ16:AJ17"/>
    <mergeCell ref="AJ18:AJ19"/>
    <mergeCell ref="AK18:AK19"/>
    <mergeCell ref="AL18:AL19"/>
    <mergeCell ref="AM18:AM19"/>
    <mergeCell ref="AH26:AH31"/>
    <mergeCell ref="AN20:AN24"/>
    <mergeCell ref="AO20:AO24"/>
    <mergeCell ref="AP20:AP24"/>
    <mergeCell ref="AP37:AP39"/>
    <mergeCell ref="AR37:AR39"/>
    <mergeCell ref="AS37:AS39"/>
    <mergeCell ref="AT37:AT39"/>
    <mergeCell ref="AQ37:AQ39"/>
    <mergeCell ref="AQ26:AQ31"/>
    <mergeCell ref="AR26:AR31"/>
    <mergeCell ref="AS26:AS31"/>
    <mergeCell ref="AT26:AT31"/>
    <mergeCell ref="AI41:AI44"/>
    <mergeCell ref="AJ41:AJ44"/>
    <mergeCell ref="AE18:AE19"/>
    <mergeCell ref="AF18:AF19"/>
    <mergeCell ref="AG18:AG19"/>
    <mergeCell ref="F32:F36"/>
    <mergeCell ref="G32:G36"/>
    <mergeCell ref="H32:H36"/>
    <mergeCell ref="I32:I36"/>
    <mergeCell ref="J32:J36"/>
    <mergeCell ref="K32:K36"/>
    <mergeCell ref="L32:L36"/>
    <mergeCell ref="AB41:AB44"/>
    <mergeCell ref="O32:O36"/>
    <mergeCell ref="P32:P36"/>
    <mergeCell ref="Q32:Q36"/>
    <mergeCell ref="R32:R36"/>
    <mergeCell ref="S32:S36"/>
    <mergeCell ref="T32:T36"/>
    <mergeCell ref="U32:U36"/>
    <mergeCell ref="V32:V36"/>
    <mergeCell ref="W32:W36"/>
    <mergeCell ref="X32:X36"/>
    <mergeCell ref="AH18:AH19"/>
    <mergeCell ref="AK41:AK44"/>
    <mergeCell ref="AM41:AM44"/>
    <mergeCell ref="AL41:AL44"/>
    <mergeCell ref="AR50:AR51"/>
    <mergeCell ref="AS50:AS51"/>
    <mergeCell ref="AT50:AT51"/>
    <mergeCell ref="AO48:AO49"/>
    <mergeCell ref="AP48:AP49"/>
    <mergeCell ref="AQ48:AQ49"/>
    <mergeCell ref="AR48:AR49"/>
    <mergeCell ref="AS48:AS49"/>
    <mergeCell ref="AT48:AT49"/>
    <mergeCell ref="AS41:AS44"/>
    <mergeCell ref="AT41:AT44"/>
    <mergeCell ref="AN41:AN44"/>
    <mergeCell ref="AO41:AO44"/>
    <mergeCell ref="AP41:AP44"/>
    <mergeCell ref="AQ41:AQ44"/>
    <mergeCell ref="AR41:AR44"/>
    <mergeCell ref="AL50:AL51"/>
    <mergeCell ref="AM50:AM51"/>
    <mergeCell ref="AN50:AN51"/>
    <mergeCell ref="AO50:AO51"/>
    <mergeCell ref="AP50:AP51"/>
    <mergeCell ref="F50:F51"/>
    <mergeCell ref="G50:G51"/>
    <mergeCell ref="H50:H51"/>
    <mergeCell ref="I50:I51"/>
    <mergeCell ref="J50:J51"/>
    <mergeCell ref="K50:K51"/>
    <mergeCell ref="L50:L51"/>
    <mergeCell ref="O50:O51"/>
    <mergeCell ref="P50:P51"/>
    <mergeCell ref="Q50:Q51"/>
    <mergeCell ref="R50:R51"/>
    <mergeCell ref="S50:S51"/>
    <mergeCell ref="T50:T51"/>
    <mergeCell ref="U50:U51"/>
    <mergeCell ref="N50:N51"/>
    <mergeCell ref="AI50:AI51"/>
    <mergeCell ref="AJ50:AJ51"/>
    <mergeCell ref="AK50:AK51"/>
    <mergeCell ref="V50:V51"/>
    <mergeCell ref="W50:W51"/>
    <mergeCell ref="X50:X51"/>
    <mergeCell ref="Y50:Y51"/>
    <mergeCell ref="AB50:AB51"/>
    <mergeCell ref="AC50:AC51"/>
    <mergeCell ref="AG53:AG54"/>
    <mergeCell ref="AH53:AH54"/>
    <mergeCell ref="AI53:AI54"/>
    <mergeCell ref="AJ53:AJ54"/>
    <mergeCell ref="AK53:AK54"/>
    <mergeCell ref="AL53:AL54"/>
    <mergeCell ref="AM53:AM54"/>
    <mergeCell ref="AN53:AN54"/>
    <mergeCell ref="AO53:AO54"/>
    <mergeCell ref="AP58:AP66"/>
    <mergeCell ref="AQ58:AQ66"/>
    <mergeCell ref="AR58:AR66"/>
    <mergeCell ref="AS58:AS66"/>
    <mergeCell ref="AB58:AB66"/>
    <mergeCell ref="AC58:AC66"/>
    <mergeCell ref="AD58:AD66"/>
    <mergeCell ref="AE58:AE66"/>
    <mergeCell ref="AF58:AF66"/>
    <mergeCell ref="AG58:AG66"/>
    <mergeCell ref="AH58:AH66"/>
    <mergeCell ref="AI58:AI66"/>
    <mergeCell ref="AJ58:AJ66"/>
    <mergeCell ref="AK58:AK66"/>
    <mergeCell ref="AL58:AL66"/>
    <mergeCell ref="AM58:AM66"/>
    <mergeCell ref="AN58:AN66"/>
    <mergeCell ref="AO58:AO66"/>
    <mergeCell ref="F58:F66"/>
    <mergeCell ref="G58:G66"/>
    <mergeCell ref="H58:H66"/>
    <mergeCell ref="I58:I66"/>
    <mergeCell ref="J58:J66"/>
    <mergeCell ref="K58:K66"/>
    <mergeCell ref="L58:L66"/>
    <mergeCell ref="N58:N66"/>
    <mergeCell ref="O58:O66"/>
    <mergeCell ref="R58:R66"/>
    <mergeCell ref="S58:S66"/>
    <mergeCell ref="T58:T66"/>
    <mergeCell ref="U58:U66"/>
    <mergeCell ref="V58:V66"/>
    <mergeCell ref="W58:W66"/>
    <mergeCell ref="AM82:AM83"/>
    <mergeCell ref="U82:U83"/>
    <mergeCell ref="V82:V83"/>
    <mergeCell ref="W82:W83"/>
    <mergeCell ref="X82:X83"/>
    <mergeCell ref="Y82:Y83"/>
    <mergeCell ref="Z82:Z83"/>
    <mergeCell ref="AA82:AA83"/>
    <mergeCell ref="AB82:AB83"/>
    <mergeCell ref="AC82:AC83"/>
    <mergeCell ref="AD67:AD78"/>
    <mergeCell ref="AE67:AE78"/>
    <mergeCell ref="X58:X66"/>
    <mergeCell ref="Y58:Y66"/>
    <mergeCell ref="Z58:Z66"/>
    <mergeCell ref="AA58:AA66"/>
    <mergeCell ref="AD82:AD83"/>
    <mergeCell ref="AE82:AE83"/>
    <mergeCell ref="AG82:AG83"/>
    <mergeCell ref="AH82:AH83"/>
    <mergeCell ref="AI82:AI83"/>
    <mergeCell ref="AJ82:AJ83"/>
    <mergeCell ref="AK82:AK83"/>
    <mergeCell ref="AL82:AL83"/>
    <mergeCell ref="AO85:AO86"/>
    <mergeCell ref="AP85:AP86"/>
    <mergeCell ref="AQ85:AQ86"/>
    <mergeCell ref="AI85:AI86"/>
    <mergeCell ref="AJ85:AJ86"/>
    <mergeCell ref="AK85:AK86"/>
    <mergeCell ref="AL85:AL86"/>
    <mergeCell ref="AR85:AR86"/>
    <mergeCell ref="AS85:AS86"/>
    <mergeCell ref="AT85:AT86"/>
    <mergeCell ref="E82:E83"/>
    <mergeCell ref="F82:F83"/>
    <mergeCell ref="G82:G83"/>
    <mergeCell ref="H82:H83"/>
    <mergeCell ref="I82:I83"/>
    <mergeCell ref="J82:J83"/>
    <mergeCell ref="K82:K83"/>
    <mergeCell ref="L82:L83"/>
    <mergeCell ref="O82:O83"/>
    <mergeCell ref="P82:P83"/>
    <mergeCell ref="Q82:Q83"/>
    <mergeCell ref="R82:R83"/>
    <mergeCell ref="S82:S83"/>
    <mergeCell ref="T82:T83"/>
    <mergeCell ref="AF85:AF86"/>
    <mergeCell ref="AM85:AM86"/>
    <mergeCell ref="AN85:AN86"/>
    <mergeCell ref="T85:T86"/>
    <mergeCell ref="V85:V86"/>
    <mergeCell ref="AG85:AG86"/>
    <mergeCell ref="AH85:AH86"/>
    <mergeCell ref="W85:W86"/>
    <mergeCell ref="X85:X86"/>
    <mergeCell ref="Y85:Y86"/>
    <mergeCell ref="Z85:Z86"/>
    <mergeCell ref="AA85:AA86"/>
    <mergeCell ref="AB85:AB86"/>
    <mergeCell ref="AC85:AC86"/>
    <mergeCell ref="AD85:AD86"/>
    <mergeCell ref="AE85:AE86"/>
    <mergeCell ref="E85:E86"/>
    <mergeCell ref="F85:F86"/>
    <mergeCell ref="G85:G86"/>
    <mergeCell ref="H85:H86"/>
    <mergeCell ref="I85:I86"/>
    <mergeCell ref="J85:J86"/>
    <mergeCell ref="K85:K86"/>
    <mergeCell ref="L85:L86"/>
    <mergeCell ref="AN87:AN88"/>
    <mergeCell ref="V87:V88"/>
    <mergeCell ref="W87:W88"/>
    <mergeCell ref="X87:X88"/>
    <mergeCell ref="Y87:Y88"/>
    <mergeCell ref="Z87:Z88"/>
    <mergeCell ref="AA87:AA88"/>
    <mergeCell ref="AB87:AB88"/>
    <mergeCell ref="AC87:AC88"/>
    <mergeCell ref="AD87:AD88"/>
    <mergeCell ref="O85:O86"/>
    <mergeCell ref="P85:P86"/>
    <mergeCell ref="Q85:Q86"/>
    <mergeCell ref="R85:R86"/>
    <mergeCell ref="S85:S86"/>
    <mergeCell ref="U85:U86"/>
    <mergeCell ref="AO87:AO88"/>
    <mergeCell ref="AP87:AP88"/>
    <mergeCell ref="AQ87:AQ88"/>
    <mergeCell ref="AR87:AR88"/>
    <mergeCell ref="AS87:AS88"/>
    <mergeCell ref="AT87:AT88"/>
    <mergeCell ref="AE87:AE88"/>
    <mergeCell ref="AF87:AF88"/>
    <mergeCell ref="AG87:AG88"/>
    <mergeCell ref="AH87:AH88"/>
    <mergeCell ref="AI87:AI88"/>
    <mergeCell ref="AJ87:AJ88"/>
    <mergeCell ref="AK87:AK88"/>
    <mergeCell ref="AL87:AL88"/>
    <mergeCell ref="AM87:AM88"/>
    <mergeCell ref="AP90:AP92"/>
    <mergeCell ref="AQ90:AQ92"/>
    <mergeCell ref="AR90:AR92"/>
    <mergeCell ref="AS90:AS92"/>
    <mergeCell ref="AT90:AT92"/>
    <mergeCell ref="E87:E88"/>
    <mergeCell ref="F87:F88"/>
    <mergeCell ref="G87:G88"/>
    <mergeCell ref="H87:H88"/>
    <mergeCell ref="I87:I88"/>
    <mergeCell ref="J87:J88"/>
    <mergeCell ref="K87:K88"/>
    <mergeCell ref="L87:L88"/>
    <mergeCell ref="O87:O88"/>
    <mergeCell ref="P87:P88"/>
    <mergeCell ref="Q87:Q88"/>
    <mergeCell ref="R87:R88"/>
    <mergeCell ref="S87:S88"/>
    <mergeCell ref="T87:T88"/>
    <mergeCell ref="U87:U88"/>
    <mergeCell ref="AG90:AG92"/>
    <mergeCell ref="AH90:AH92"/>
    <mergeCell ref="AI90:AI92"/>
    <mergeCell ref="AJ90:AJ92"/>
    <mergeCell ref="AK90:AK92"/>
    <mergeCell ref="AL90:AL92"/>
    <mergeCell ref="AM90:AM92"/>
    <mergeCell ref="AN90:AN92"/>
    <mergeCell ref="AO90:AO92"/>
    <mergeCell ref="X90:X92"/>
    <mergeCell ref="Y90:Y92"/>
    <mergeCell ref="Z90:Z92"/>
    <mergeCell ref="AA90:AA92"/>
    <mergeCell ref="AB90:AB92"/>
    <mergeCell ref="AC90:AC92"/>
    <mergeCell ref="AD90:AD92"/>
    <mergeCell ref="AE90:AE92"/>
    <mergeCell ref="AF90:AF92"/>
    <mergeCell ref="AR93:AR97"/>
    <mergeCell ref="AS93:AS97"/>
    <mergeCell ref="AT93:AT97"/>
    <mergeCell ref="E90:E92"/>
    <mergeCell ref="F90:F92"/>
    <mergeCell ref="G90:G92"/>
    <mergeCell ref="H90:H92"/>
    <mergeCell ref="I90:I92"/>
    <mergeCell ref="J90:J92"/>
    <mergeCell ref="K90:K92"/>
    <mergeCell ref="L90:L92"/>
    <mergeCell ref="O90:O92"/>
    <mergeCell ref="P90:P92"/>
    <mergeCell ref="Q90:Q92"/>
    <mergeCell ref="R90:R92"/>
    <mergeCell ref="S90:S92"/>
    <mergeCell ref="T90:T92"/>
    <mergeCell ref="U90:U92"/>
    <mergeCell ref="V90:V92"/>
    <mergeCell ref="W90:W92"/>
    <mergeCell ref="AI93:AI97"/>
    <mergeCell ref="AL93:AL97"/>
    <mergeCell ref="AM93:AM97"/>
    <mergeCell ref="X93:X97"/>
    <mergeCell ref="AN93:AN97"/>
    <mergeCell ref="AO93:AO97"/>
    <mergeCell ref="AP93:AP97"/>
    <mergeCell ref="AQ93:AQ97"/>
    <mergeCell ref="Z93:Z97"/>
    <mergeCell ref="AA93:AA97"/>
    <mergeCell ref="AB93:AB97"/>
    <mergeCell ref="AC93:AC97"/>
    <mergeCell ref="AD93:AD97"/>
    <mergeCell ref="AE93:AE97"/>
    <mergeCell ref="AF93:AF97"/>
    <mergeCell ref="AG93:AG97"/>
    <mergeCell ref="AH93:AH97"/>
    <mergeCell ref="E93:E97"/>
    <mergeCell ref="F93:F97"/>
    <mergeCell ref="G93:G97"/>
    <mergeCell ref="H93:H97"/>
    <mergeCell ref="I93:I97"/>
    <mergeCell ref="J93:J97"/>
    <mergeCell ref="K93:K97"/>
    <mergeCell ref="L93:L97"/>
    <mergeCell ref="AO100:AO106"/>
    <mergeCell ref="W100:W106"/>
    <mergeCell ref="X100:X106"/>
    <mergeCell ref="Y100:Y106"/>
    <mergeCell ref="Z100:Z106"/>
    <mergeCell ref="AA100:AA106"/>
    <mergeCell ref="AB100:AB106"/>
    <mergeCell ref="AC100:AC106"/>
    <mergeCell ref="AD100:AD106"/>
    <mergeCell ref="E100:E106"/>
    <mergeCell ref="F100:F106"/>
    <mergeCell ref="G100:G106"/>
    <mergeCell ref="H100:H106"/>
    <mergeCell ref="I100:I106"/>
    <mergeCell ref="J100:J106"/>
    <mergeCell ref="K100:K106"/>
    <mergeCell ref="AT100:AT106"/>
    <mergeCell ref="AE100:AE106"/>
    <mergeCell ref="AF100:AF106"/>
    <mergeCell ref="AG100:AG106"/>
    <mergeCell ref="AH100:AH106"/>
    <mergeCell ref="AI100:AI106"/>
    <mergeCell ref="AJ100:AJ106"/>
    <mergeCell ref="AK100:AK106"/>
    <mergeCell ref="AL100:AL106"/>
    <mergeCell ref="AM100:AM106"/>
    <mergeCell ref="AN100:AN106"/>
    <mergeCell ref="AP100:AP106"/>
    <mergeCell ref="AQ100:AQ106"/>
    <mergeCell ref="AI37:AI39"/>
    <mergeCell ref="AJ37:AJ39"/>
    <mergeCell ref="AK37:AK39"/>
    <mergeCell ref="AL37:AL39"/>
    <mergeCell ref="AM37:AM39"/>
    <mergeCell ref="AN37:AN39"/>
    <mergeCell ref="AO37:AO39"/>
    <mergeCell ref="Y53:Y54"/>
    <mergeCell ref="Z53:Z54"/>
    <mergeCell ref="AA53:AA54"/>
    <mergeCell ref="AB53:AB54"/>
    <mergeCell ref="AC53:AC54"/>
    <mergeCell ref="AD53:AD54"/>
    <mergeCell ref="AE53:AE54"/>
    <mergeCell ref="AF53:AF54"/>
    <mergeCell ref="AH37:AH39"/>
    <mergeCell ref="Z50:Z51"/>
    <mergeCell ref="AA50:AA51"/>
    <mergeCell ref="AD50:AD51"/>
    <mergeCell ref="AE50:AE51"/>
    <mergeCell ref="AF50:AF51"/>
    <mergeCell ref="AG50:AG51"/>
    <mergeCell ref="AH50:AH51"/>
    <mergeCell ref="AH41:AH44"/>
    <mergeCell ref="L100:L106"/>
    <mergeCell ref="O100:O106"/>
    <mergeCell ref="P100:P106"/>
    <mergeCell ref="Q100:Q106"/>
    <mergeCell ref="R100:R106"/>
    <mergeCell ref="S100:S106"/>
    <mergeCell ref="T100:T106"/>
    <mergeCell ref="U100:U106"/>
    <mergeCell ref="AG37:AG39"/>
    <mergeCell ref="S37:S39"/>
    <mergeCell ref="T37:T39"/>
    <mergeCell ref="U37:U39"/>
    <mergeCell ref="V37:V39"/>
    <mergeCell ref="W37:W39"/>
    <mergeCell ref="X37:X39"/>
    <mergeCell ref="Y37:Y39"/>
    <mergeCell ref="Z37:Z39"/>
    <mergeCell ref="AF37:AF39"/>
    <mergeCell ref="V48:V49"/>
    <mergeCell ref="W48:W49"/>
    <mergeCell ref="X48:X49"/>
    <mergeCell ref="Y48:Y49"/>
    <mergeCell ref="Z48:Z49"/>
    <mergeCell ref="X53:X54"/>
    <mergeCell ref="J37:J39"/>
    <mergeCell ref="K37:K39"/>
    <mergeCell ref="L37:L39"/>
    <mergeCell ref="O37:O39"/>
    <mergeCell ref="P37:P39"/>
    <mergeCell ref="Q37:Q39"/>
    <mergeCell ref="R37:R39"/>
    <mergeCell ref="C2:AT2"/>
    <mergeCell ref="W9:AD9"/>
    <mergeCell ref="AE9:AL9"/>
    <mergeCell ref="AM9:AT9"/>
    <mergeCell ref="I13:I15"/>
    <mergeCell ref="J13:J15"/>
    <mergeCell ref="K13:K15"/>
    <mergeCell ref="L13:L15"/>
    <mergeCell ref="O13:O15"/>
    <mergeCell ref="X13:X15"/>
    <mergeCell ref="Y13:Y15"/>
    <mergeCell ref="Z13:Z15"/>
    <mergeCell ref="AA13:AA15"/>
    <mergeCell ref="P13:P15"/>
    <mergeCell ref="Q13:Q15"/>
    <mergeCell ref="R13:R15"/>
    <mergeCell ref="B4:F5"/>
    <mergeCell ref="G4:AT5"/>
    <mergeCell ref="AO13:AO15"/>
    <mergeCell ref="AP13:AP15"/>
    <mergeCell ref="AQ13:AQ15"/>
    <mergeCell ref="AR13:AR15"/>
    <mergeCell ref="AS13:AS15"/>
    <mergeCell ref="E13:E15"/>
    <mergeCell ref="F13:F15"/>
    <mergeCell ref="G13:G15"/>
    <mergeCell ref="H13:H15"/>
    <mergeCell ref="AT13:AT15"/>
    <mergeCell ref="AB13:AB15"/>
    <mergeCell ref="AC13:AC15"/>
    <mergeCell ref="AD13:AD15"/>
    <mergeCell ref="AE13:AE15"/>
    <mergeCell ref="AF13:AF15"/>
    <mergeCell ref="AG13:AG15"/>
    <mergeCell ref="V13:V15"/>
    <mergeCell ref="W13:W15"/>
    <mergeCell ref="S13:S15"/>
    <mergeCell ref="T13:T15"/>
    <mergeCell ref="U13:U15"/>
    <mergeCell ref="AN13:AN15"/>
    <mergeCell ref="AL13:AL15"/>
    <mergeCell ref="E48:E49"/>
    <mergeCell ref="F48:F49"/>
    <mergeCell ref="G48:G49"/>
    <mergeCell ref="H48:H49"/>
    <mergeCell ref="E16:E17"/>
    <mergeCell ref="F16:F17"/>
    <mergeCell ref="G16:G17"/>
    <mergeCell ref="H16:H17"/>
    <mergeCell ref="E18:E19"/>
    <mergeCell ref="F18:F19"/>
    <mergeCell ref="G18:G19"/>
    <mergeCell ref="E20:E24"/>
    <mergeCell ref="F20:F24"/>
    <mergeCell ref="G20:G24"/>
    <mergeCell ref="H20:H24"/>
    <mergeCell ref="E26:E31"/>
    <mergeCell ref="F26:F31"/>
    <mergeCell ref="G26:G31"/>
    <mergeCell ref="H26:H31"/>
    <mergeCell ref="E32:E36"/>
    <mergeCell ref="F46:F47"/>
    <mergeCell ref="G46:G47"/>
    <mergeCell ref="H46:H47"/>
    <mergeCell ref="O26:O31"/>
    <mergeCell ref="P26:P31"/>
    <mergeCell ref="J20:J24"/>
    <mergeCell ref="K20:K24"/>
    <mergeCell ref="L20:L24"/>
    <mergeCell ref="AG16:AG17"/>
    <mergeCell ref="AA16:AA17"/>
    <mergeCell ref="AB16:AB17"/>
    <mergeCell ref="AC16:AC17"/>
    <mergeCell ref="AD16:AD17"/>
    <mergeCell ref="AE16:AE17"/>
    <mergeCell ref="AF16:AF17"/>
    <mergeCell ref="U16:U17"/>
    <mergeCell ref="V16:V17"/>
    <mergeCell ref="R18:R19"/>
    <mergeCell ref="S18:S19"/>
    <mergeCell ref="T18:T19"/>
    <mergeCell ref="U18:U19"/>
    <mergeCell ref="V18:V19"/>
    <mergeCell ref="W18:W19"/>
    <mergeCell ref="X18:X19"/>
    <mergeCell ref="Y18:Y19"/>
    <mergeCell ref="Z18:Z19"/>
    <mergeCell ref="AD26:AD31"/>
    <mergeCell ref="I26:I31"/>
    <mergeCell ref="J26:J31"/>
    <mergeCell ref="K26:K31"/>
    <mergeCell ref="AF20:AF24"/>
    <mergeCell ref="AG20:AG24"/>
    <mergeCell ref="Z20:Z24"/>
    <mergeCell ref="AA20:AA24"/>
    <mergeCell ref="AB20:AB24"/>
    <mergeCell ref="AC20:AC24"/>
    <mergeCell ref="AD20:AD24"/>
    <mergeCell ref="AE20:AE24"/>
    <mergeCell ref="T20:T24"/>
    <mergeCell ref="U20:U24"/>
    <mergeCell ref="V20:V24"/>
    <mergeCell ref="W20:W24"/>
    <mergeCell ref="X20:X24"/>
    <mergeCell ref="Y20:Y24"/>
    <mergeCell ref="O20:O24"/>
    <mergeCell ref="P20:P24"/>
    <mergeCell ref="L26:L31"/>
    <mergeCell ref="U26:U31"/>
    <mergeCell ref="V26:V31"/>
    <mergeCell ref="W26:W31"/>
    <mergeCell ref="X26:X31"/>
    <mergeCell ref="Y32:Y36"/>
    <mergeCell ref="Z32:Z36"/>
    <mergeCell ref="AA32:AA36"/>
    <mergeCell ref="AB32:AB36"/>
    <mergeCell ref="AC32:AC36"/>
    <mergeCell ref="AD32:AD36"/>
    <mergeCell ref="AE32:AE36"/>
    <mergeCell ref="AF32:AF36"/>
    <mergeCell ref="AA37:AA39"/>
    <mergeCell ref="AB37:AB39"/>
    <mergeCell ref="AC37:AC39"/>
    <mergeCell ref="AD37:AD39"/>
    <mergeCell ref="AE37:AE39"/>
    <mergeCell ref="O41:O44"/>
    <mergeCell ref="P41:P44"/>
    <mergeCell ref="Q41:Q44"/>
    <mergeCell ref="R41:R44"/>
    <mergeCell ref="AA48:AA49"/>
    <mergeCell ref="P48:P49"/>
    <mergeCell ref="Q48:Q49"/>
    <mergeCell ref="R48:R49"/>
    <mergeCell ref="S48:S49"/>
    <mergeCell ref="T48:T49"/>
    <mergeCell ref="U48:U49"/>
    <mergeCell ref="S41:S44"/>
    <mergeCell ref="T41:T44"/>
    <mergeCell ref="U41:U44"/>
    <mergeCell ref="V41:V44"/>
    <mergeCell ref="W41:W44"/>
    <mergeCell ref="X41:X44"/>
    <mergeCell ref="Y41:Y44"/>
    <mergeCell ref="Z41:Z44"/>
    <mergeCell ref="AA41:AA44"/>
    <mergeCell ref="U46:U47"/>
    <mergeCell ref="V46:V47"/>
    <mergeCell ref="W46:W47"/>
    <mergeCell ref="K48:K49"/>
    <mergeCell ref="L48:L49"/>
    <mergeCell ref="O48:O49"/>
    <mergeCell ref="AN48:AN49"/>
    <mergeCell ref="AH48:AH49"/>
    <mergeCell ref="AI48:AI49"/>
    <mergeCell ref="AJ48:AJ49"/>
    <mergeCell ref="AK48:AK49"/>
    <mergeCell ref="AL48:AL49"/>
    <mergeCell ref="AM48:AM49"/>
    <mergeCell ref="AB48:AB49"/>
    <mergeCell ref="AC48:AC49"/>
    <mergeCell ref="AD48:AD49"/>
    <mergeCell ref="AE48:AE49"/>
    <mergeCell ref="AF48:AF49"/>
    <mergeCell ref="AG48:AG49"/>
    <mergeCell ref="N48:N49"/>
    <mergeCell ref="Q20:Q24"/>
    <mergeCell ref="R20:R24"/>
    <mergeCell ref="S20:S24"/>
    <mergeCell ref="AK26:AK31"/>
    <mergeCell ref="AL26:AL31"/>
    <mergeCell ref="AM26:AM31"/>
    <mergeCell ref="AN26:AN31"/>
    <mergeCell ref="AE26:AE31"/>
    <mergeCell ref="AF26:AF31"/>
    <mergeCell ref="AG26:AG31"/>
    <mergeCell ref="T26:T31"/>
    <mergeCell ref="S26:S31"/>
    <mergeCell ref="AQ16:AQ17"/>
    <mergeCell ref="AR16:AR17"/>
    <mergeCell ref="AS16:AS17"/>
    <mergeCell ref="AT16:AT17"/>
    <mergeCell ref="AT18:AT19"/>
    <mergeCell ref="I18:I19"/>
    <mergeCell ref="J18:J19"/>
    <mergeCell ref="K18:K19"/>
    <mergeCell ref="L18:L19"/>
    <mergeCell ref="O18:O19"/>
    <mergeCell ref="P18:P19"/>
    <mergeCell ref="Q18:Q19"/>
    <mergeCell ref="AA18:AA19"/>
    <mergeCell ref="AB18:AB19"/>
    <mergeCell ref="O16:O17"/>
    <mergeCell ref="AS18:AS19"/>
    <mergeCell ref="AQ18:AQ19"/>
    <mergeCell ref="AR18:AR19"/>
    <mergeCell ref="AN18:AN19"/>
    <mergeCell ref="AO18:AO19"/>
    <mergeCell ref="AP18:AP19"/>
    <mergeCell ref="AO16:AO17"/>
    <mergeCell ref="AP16:AP17"/>
    <mergeCell ref="AI18:AI19"/>
    <mergeCell ref="AM13:AM15"/>
    <mergeCell ref="E53:E54"/>
    <mergeCell ref="F53:F54"/>
    <mergeCell ref="G53:G54"/>
    <mergeCell ref="H53:H54"/>
    <mergeCell ref="I53:I54"/>
    <mergeCell ref="J53:J54"/>
    <mergeCell ref="K53:K54"/>
    <mergeCell ref="L53:L54"/>
    <mergeCell ref="O53:O54"/>
    <mergeCell ref="P53:P54"/>
    <mergeCell ref="Q53:Q54"/>
    <mergeCell ref="R53:R54"/>
    <mergeCell ref="S53:S54"/>
    <mergeCell ref="T53:T54"/>
    <mergeCell ref="U53:U54"/>
    <mergeCell ref="V53:V54"/>
    <mergeCell ref="W53:W54"/>
    <mergeCell ref="Q26:Q31"/>
    <mergeCell ref="R26:R31"/>
    <mergeCell ref="AL20:AL24"/>
    <mergeCell ref="AM20:AM24"/>
    <mergeCell ref="I48:I49"/>
    <mergeCell ref="J48:J49"/>
    <mergeCell ref="AR53:AR54"/>
    <mergeCell ref="AS53:AS54"/>
    <mergeCell ref="AT53:AT54"/>
    <mergeCell ref="O67:O78"/>
    <mergeCell ref="P67:P78"/>
    <mergeCell ref="Q67:Q78"/>
    <mergeCell ref="R67:R78"/>
    <mergeCell ref="S67:S78"/>
    <mergeCell ref="T67:T78"/>
    <mergeCell ref="U67:U78"/>
    <mergeCell ref="V67:V78"/>
    <mergeCell ref="AF67:AF78"/>
    <mergeCell ref="AH67:AH78"/>
    <mergeCell ref="AG67:AG78"/>
    <mergeCell ref="AI67:AI78"/>
    <mergeCell ref="AJ67:AJ78"/>
    <mergeCell ref="AK67:AK78"/>
    <mergeCell ref="AL67:AL78"/>
    <mergeCell ref="AM67:AM78"/>
    <mergeCell ref="W67:W78"/>
    <mergeCell ref="X67:X78"/>
    <mergeCell ref="Y67:Y78"/>
    <mergeCell ref="P58:P66"/>
    <mergeCell ref="Q58:Q66"/>
    <mergeCell ref="E67:E78"/>
    <mergeCell ref="F67:F78"/>
    <mergeCell ref="G67:G78"/>
    <mergeCell ref="H67:H78"/>
    <mergeCell ref="I67:I78"/>
    <mergeCell ref="J67:J78"/>
    <mergeCell ref="K67:K78"/>
    <mergeCell ref="L67:L78"/>
    <mergeCell ref="N67:N78"/>
    <mergeCell ref="AT67:AT78"/>
    <mergeCell ref="M13:M15"/>
    <mergeCell ref="M16:M17"/>
    <mergeCell ref="M18:M19"/>
    <mergeCell ref="M20:M24"/>
    <mergeCell ref="M26:M31"/>
    <mergeCell ref="M32:M36"/>
    <mergeCell ref="M37:M39"/>
    <mergeCell ref="M41:M44"/>
    <mergeCell ref="M46:M47"/>
    <mergeCell ref="M48:M49"/>
    <mergeCell ref="M50:M51"/>
    <mergeCell ref="M53:M54"/>
    <mergeCell ref="M58:M66"/>
    <mergeCell ref="M67:M78"/>
    <mergeCell ref="Z67:Z78"/>
    <mergeCell ref="AA67:AA78"/>
    <mergeCell ref="AB67:AB78"/>
    <mergeCell ref="AC67:AC78"/>
    <mergeCell ref="AN67:AN78"/>
    <mergeCell ref="AO67:AO78"/>
    <mergeCell ref="AP67:AP78"/>
    <mergeCell ref="AP53:AP54"/>
    <mergeCell ref="AQ53:AQ54"/>
    <mergeCell ref="M82:M83"/>
    <mergeCell ref="M85:M86"/>
    <mergeCell ref="M87:M88"/>
    <mergeCell ref="M90:M92"/>
    <mergeCell ref="M93:M97"/>
    <mergeCell ref="M100:M106"/>
    <mergeCell ref="AQ67:AQ78"/>
    <mergeCell ref="AR67:AR78"/>
    <mergeCell ref="AS67:AS78"/>
    <mergeCell ref="AR100:AR106"/>
    <mergeCell ref="AS100:AS106"/>
    <mergeCell ref="O93:O97"/>
    <mergeCell ref="P93:P97"/>
    <mergeCell ref="Q93:Q97"/>
    <mergeCell ref="R93:R97"/>
    <mergeCell ref="S93:S97"/>
    <mergeCell ref="T93:T97"/>
    <mergeCell ref="U93:U97"/>
    <mergeCell ref="V93:V97"/>
    <mergeCell ref="W93:W97"/>
    <mergeCell ref="Y93:Y97"/>
    <mergeCell ref="AJ93:AJ97"/>
    <mergeCell ref="AK93:AK97"/>
    <mergeCell ref="V100:V106"/>
  </mergeCells>
  <pageMargins left="0.70866141732283472" right="0.70866141732283472" top="0.74803149606299213" bottom="0.74803149606299213" header="0.31496062992125984" footer="0.31496062992125984"/>
  <pageSetup paperSize="281" scale="10" orientation="landscape" r:id="rId1"/>
  <rowBreaks count="4" manualBreakCount="4">
    <brk id="25" max="46" man="1"/>
    <brk id="47" max="46" man="1"/>
    <brk id="68" max="46" man="1"/>
    <brk id="87" max="46" man="1"/>
  </rowBreaks>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5"/>
  <sheetViews>
    <sheetView topLeftCell="A3" zoomScale="10" zoomScaleNormal="10" zoomScaleSheetLayoutView="10" zoomScalePageLayoutView="75" workbookViewId="0">
      <selection activeCell="F10" sqref="F10"/>
    </sheetView>
  </sheetViews>
  <sheetFormatPr baseColWidth="10" defaultColWidth="11.6640625" defaultRowHeight="25.2"/>
  <cols>
    <col min="1" max="1" width="11.6640625" style="743"/>
    <col min="2" max="2" width="208.109375" style="739" customWidth="1"/>
    <col min="3" max="3" width="182.109375" style="740" customWidth="1"/>
    <col min="4" max="4" width="255.109375" style="740" customWidth="1"/>
    <col min="5" max="8" width="187.6640625" style="741" customWidth="1"/>
    <col min="9" max="9" width="187.6640625" style="742" customWidth="1"/>
    <col min="10" max="10" width="18.33203125" style="743" customWidth="1"/>
    <col min="11" max="16384" width="11.6640625" style="743"/>
  </cols>
  <sheetData>
    <row r="1" spans="1:10" ht="25.8" hidden="1" thickBot="1">
      <c r="A1" s="986"/>
      <c r="B1" s="1063"/>
      <c r="C1" s="1064"/>
      <c r="D1" s="1064"/>
      <c r="E1" s="1065"/>
      <c r="F1" s="1065"/>
      <c r="G1" s="1065"/>
      <c r="H1" s="1065"/>
      <c r="I1" s="1067"/>
      <c r="J1" s="987"/>
    </row>
    <row r="2" spans="1:10" ht="26.7" hidden="1" customHeight="1" thickBot="1">
      <c r="A2" s="988"/>
      <c r="B2" s="744"/>
      <c r="C2" s="1526" t="s">
        <v>161</v>
      </c>
      <c r="D2" s="1527"/>
      <c r="E2" s="1527"/>
      <c r="F2" s="1527"/>
      <c r="G2" s="1527"/>
      <c r="H2" s="1527"/>
      <c r="I2" s="1527"/>
      <c r="J2" s="989"/>
    </row>
    <row r="3" spans="1:10" ht="92.4" customHeight="1">
      <c r="A3" s="1123"/>
      <c r="B3" s="1124"/>
      <c r="C3" s="1125"/>
      <c r="D3" s="1125"/>
      <c r="E3" s="1125"/>
      <c r="F3" s="1125"/>
      <c r="G3" s="1125"/>
      <c r="H3" s="1125"/>
      <c r="I3" s="1125"/>
      <c r="J3" s="1127"/>
    </row>
    <row r="4" spans="1:10" ht="323.25" customHeight="1">
      <c r="A4" s="1128"/>
      <c r="B4" s="1556"/>
      <c r="C4" s="1556"/>
      <c r="D4" s="1556"/>
      <c r="E4" s="1557" t="s">
        <v>914</v>
      </c>
      <c r="F4" s="1558"/>
      <c r="G4" s="1558"/>
      <c r="H4" s="1558"/>
      <c r="I4" s="1558"/>
      <c r="J4" s="1129"/>
    </row>
    <row r="5" spans="1:10" ht="409.6" customHeight="1">
      <c r="A5" s="1128"/>
      <c r="B5" s="1556"/>
      <c r="C5" s="1556"/>
      <c r="D5" s="1556"/>
      <c r="E5" s="1558"/>
      <c r="F5" s="1558"/>
      <c r="G5" s="1558"/>
      <c r="H5" s="1558"/>
      <c r="I5" s="1558"/>
      <c r="J5" s="1129"/>
    </row>
    <row r="6" spans="1:10" ht="70.2" customHeight="1">
      <c r="A6" s="1128"/>
      <c r="B6" s="745"/>
      <c r="C6" s="746"/>
      <c r="D6" s="884"/>
      <c r="E6" s="747"/>
      <c r="F6" s="748"/>
      <c r="G6" s="748"/>
      <c r="H6" s="748"/>
      <c r="I6" s="748"/>
      <c r="J6" s="1129"/>
    </row>
    <row r="7" spans="1:10" s="1017" customFormat="1" ht="151.19999999999999" customHeight="1">
      <c r="A7" s="1130"/>
      <c r="B7" s="1559" t="s">
        <v>891</v>
      </c>
      <c r="C7" s="1559"/>
      <c r="D7" s="1559" t="s">
        <v>704</v>
      </c>
      <c r="E7" s="1559"/>
      <c r="F7" s="1560" t="s">
        <v>808</v>
      </c>
      <c r="G7" s="1560"/>
      <c r="H7" s="1560"/>
      <c r="I7" s="1560"/>
      <c r="J7" s="1131"/>
    </row>
    <row r="8" spans="1:10" s="749" customFormat="1" ht="67.2" customHeight="1" thickBot="1">
      <c r="A8" s="1128"/>
      <c r="B8" s="746"/>
      <c r="C8" s="746"/>
      <c r="D8" s="885"/>
      <c r="E8" s="746"/>
      <c r="F8" s="822"/>
      <c r="G8" s="822"/>
      <c r="H8" s="746"/>
      <c r="I8" s="746"/>
      <c r="J8" s="1129"/>
    </row>
    <row r="9" spans="1:10" s="1185" customFormat="1" ht="408" customHeight="1">
      <c r="A9" s="1177" t="s">
        <v>809</v>
      </c>
      <c r="B9" s="1306" t="s">
        <v>710</v>
      </c>
      <c r="C9" s="1181" t="s">
        <v>711</v>
      </c>
      <c r="D9" s="1181" t="s">
        <v>843</v>
      </c>
      <c r="E9" s="1181" t="s">
        <v>845</v>
      </c>
      <c r="F9" s="1180" t="s">
        <v>598</v>
      </c>
      <c r="G9" s="1180" t="s">
        <v>602</v>
      </c>
      <c r="H9" s="1180" t="s">
        <v>603</v>
      </c>
      <c r="I9" s="1183" t="s">
        <v>604</v>
      </c>
      <c r="J9" s="1184"/>
    </row>
    <row r="10" spans="1:10" s="1194" customFormat="1" ht="177" customHeight="1">
      <c r="A10" s="1186"/>
      <c r="B10" s="1187" t="s">
        <v>599</v>
      </c>
      <c r="C10" s="1188"/>
      <c r="D10" s="1189"/>
      <c r="E10" s="1190">
        <f>'MATRIZ PLURIANUAL (2)'!L5</f>
        <v>1452742770047.8403</v>
      </c>
      <c r="F10" s="1190">
        <f>'MATRIZ PLURIANUAL (2)'!U5</f>
        <v>370924305476.87531</v>
      </c>
      <c r="G10" s="1190">
        <f>'MATRIZ PLURIANUAL (2)'!AC5</f>
        <v>368887198513.44519</v>
      </c>
      <c r="H10" s="1190">
        <f>'MATRIZ PLURIANUAL (2)'!AK5</f>
        <v>358363927182.24689</v>
      </c>
      <c r="I10" s="1192">
        <f>'MATRIZ PLURIANUAL (2)'!AS5</f>
        <v>354567338875.27301</v>
      </c>
      <c r="J10" s="1193"/>
    </row>
    <row r="11" spans="1:10" s="1194" customFormat="1" ht="177" customHeight="1">
      <c r="A11" s="1186"/>
      <c r="B11" s="1195" t="s">
        <v>627</v>
      </c>
      <c r="C11" s="1196"/>
      <c r="D11" s="1197"/>
      <c r="E11" s="1198">
        <f>'MATRIZ PLURIANUAL (2)'!L6</f>
        <v>43330907399.848251</v>
      </c>
      <c r="F11" s="1198">
        <f>'MATRIZ PLURIANUAL (2)'!U6</f>
        <v>6155725277.6199999</v>
      </c>
      <c r="G11" s="1198">
        <f>'MATRIZ PLURIANUAL (2)'!AC6</f>
        <v>13153706908.8939</v>
      </c>
      <c r="H11" s="1198">
        <f>'MATRIZ PLURIANUAL (2)'!AK6</f>
        <v>12733943359.26</v>
      </c>
      <c r="I11" s="1200">
        <f>'MATRIZ PLURIANUAL (2)'!AS6</f>
        <v>11287531854.074347</v>
      </c>
      <c r="J11" s="1193"/>
    </row>
    <row r="12" spans="1:10" s="1030" customFormat="1" ht="285" customHeight="1">
      <c r="A12" s="1134"/>
      <c r="B12" s="1547" t="s">
        <v>123</v>
      </c>
      <c r="C12" s="1545" t="s">
        <v>124</v>
      </c>
      <c r="D12" s="1155" t="s">
        <v>713</v>
      </c>
      <c r="E12" s="1518">
        <f>'MATRIZ PLURIANUAL (2)'!L7</f>
        <v>13020145880.990332</v>
      </c>
      <c r="F12" s="1518">
        <f>'MATRIZ PLURIANUAL (2)'!U7</f>
        <v>1000000000</v>
      </c>
      <c r="G12" s="1518">
        <f>'MATRIZ PLURIANUAL (2)'!AC7</f>
        <v>4068491959.5084</v>
      </c>
      <c r="H12" s="1518">
        <f>'MATRIZ PLURIANUAL (2)'!AK7</f>
        <v>4102969048.5599999</v>
      </c>
      <c r="I12" s="1522">
        <f>'MATRIZ PLURIANUAL (2)'!AS7</f>
        <v>3848684872.9219317</v>
      </c>
      <c r="J12" s="1135"/>
    </row>
    <row r="13" spans="1:10" s="1030" customFormat="1" ht="285" customHeight="1">
      <c r="A13" s="1134"/>
      <c r="B13" s="1548"/>
      <c r="C13" s="1550"/>
      <c r="D13" s="1155" t="s">
        <v>714</v>
      </c>
      <c r="E13" s="1518"/>
      <c r="F13" s="1518"/>
      <c r="G13" s="1518"/>
      <c r="H13" s="1518"/>
      <c r="I13" s="1522"/>
      <c r="J13" s="1135"/>
    </row>
    <row r="14" spans="1:10" s="1030" customFormat="1" ht="285" customHeight="1">
      <c r="A14" s="1134"/>
      <c r="B14" s="1548"/>
      <c r="C14" s="1546"/>
      <c r="D14" s="1155" t="s">
        <v>715</v>
      </c>
      <c r="E14" s="1518"/>
      <c r="F14" s="1518"/>
      <c r="G14" s="1518"/>
      <c r="H14" s="1518"/>
      <c r="I14" s="1522"/>
      <c r="J14" s="1135"/>
    </row>
    <row r="15" spans="1:10" s="1030" customFormat="1" ht="285" customHeight="1">
      <c r="A15" s="1134"/>
      <c r="B15" s="1548"/>
      <c r="C15" s="1545" t="s">
        <v>125</v>
      </c>
      <c r="D15" s="1155" t="s">
        <v>716</v>
      </c>
      <c r="E15" s="1518">
        <f>'MATRIZ PLURIANUAL (2)'!L12</f>
        <v>11568079167.619999</v>
      </c>
      <c r="F15" s="1518">
        <f>'MATRIZ PLURIANUAL (2)'!U12</f>
        <v>2755725277.6199999</v>
      </c>
      <c r="G15" s="1518">
        <f>'MATRIZ PLURIANUAL (2)'!AC12</f>
        <v>3187100000</v>
      </c>
      <c r="H15" s="1518">
        <f>'MATRIZ PLURIANUAL (2)'!AK12</f>
        <v>3027263000</v>
      </c>
      <c r="I15" s="1522">
        <f>'MATRIZ PLURIANUAL (2)'!AS12</f>
        <v>2597990890</v>
      </c>
      <c r="J15" s="1135"/>
    </row>
    <row r="16" spans="1:10" s="1030" customFormat="1" ht="285" customHeight="1">
      <c r="A16" s="1134"/>
      <c r="B16" s="1548"/>
      <c r="C16" s="1546"/>
      <c r="D16" s="1155" t="s">
        <v>717</v>
      </c>
      <c r="E16" s="1518"/>
      <c r="F16" s="1518"/>
      <c r="G16" s="1518"/>
      <c r="H16" s="1518"/>
      <c r="I16" s="1522"/>
      <c r="J16" s="1135"/>
    </row>
    <row r="17" spans="1:10" s="1030" customFormat="1" ht="285" customHeight="1">
      <c r="A17" s="1134"/>
      <c r="B17" s="1548"/>
      <c r="C17" s="1545" t="s">
        <v>126</v>
      </c>
      <c r="D17" s="1155" t="s">
        <v>718</v>
      </c>
      <c r="E17" s="1518">
        <f>'MATRIZ PLURIANUAL (2)'!L15</f>
        <v>9707609410.767168</v>
      </c>
      <c r="F17" s="1518">
        <f>'MATRIZ PLURIANUAL (2)'!U15</f>
        <v>1000000000</v>
      </c>
      <c r="G17" s="1518">
        <f>'MATRIZ PLURIANUAL (2)'!AC15</f>
        <v>2638868969.6313</v>
      </c>
      <c r="H17" s="1518">
        <f>'MATRIZ PLURIANUAL (2)'!AK15</f>
        <v>3002226786.4199996</v>
      </c>
      <c r="I17" s="1522">
        <f>'MATRIZ PLURIANUAL (2)'!AS15</f>
        <v>3066513654.6914487</v>
      </c>
      <c r="J17" s="1135"/>
    </row>
    <row r="18" spans="1:10" s="1030" customFormat="1" ht="285" customHeight="1">
      <c r="A18" s="1134"/>
      <c r="B18" s="1548"/>
      <c r="C18" s="1546"/>
      <c r="D18" s="1155" t="s">
        <v>719</v>
      </c>
      <c r="E18" s="1518"/>
      <c r="F18" s="1518"/>
      <c r="G18" s="1518"/>
      <c r="H18" s="1518"/>
      <c r="I18" s="1522"/>
      <c r="J18" s="1135"/>
    </row>
    <row r="19" spans="1:10" s="1030" customFormat="1" ht="285" customHeight="1">
      <c r="A19" s="1134"/>
      <c r="B19" s="1548"/>
      <c r="C19" s="1545" t="s">
        <v>127</v>
      </c>
      <c r="D19" s="1155" t="s">
        <v>724</v>
      </c>
      <c r="E19" s="1518">
        <f>'MATRIZ PLURIANUAL (2)'!L18</f>
        <v>9035072940.4951668</v>
      </c>
      <c r="F19" s="1518">
        <f>'MATRIZ PLURIANUAL (2)'!U18</f>
        <v>1400000000</v>
      </c>
      <c r="G19" s="1518">
        <f>'MATRIZ PLURIANUAL (2)'!AC18</f>
        <v>3259245979.7542</v>
      </c>
      <c r="H19" s="1518">
        <f>'MATRIZ PLURIANUAL (2)'!AK18</f>
        <v>2601484524.2800002</v>
      </c>
      <c r="I19" s="1522">
        <f>'MATRIZ PLURIANUAL (2)'!AS18</f>
        <v>1774342436.4609659</v>
      </c>
      <c r="J19" s="1135"/>
    </row>
    <row r="20" spans="1:10" s="1030" customFormat="1" ht="285" customHeight="1">
      <c r="A20" s="1134"/>
      <c r="B20" s="1548"/>
      <c r="C20" s="1550"/>
      <c r="D20" s="1155" t="s">
        <v>723</v>
      </c>
      <c r="E20" s="1518"/>
      <c r="F20" s="1518"/>
      <c r="G20" s="1518"/>
      <c r="H20" s="1518"/>
      <c r="I20" s="1522"/>
      <c r="J20" s="1135"/>
    </row>
    <row r="21" spans="1:10" s="1030" customFormat="1" ht="285" customHeight="1">
      <c r="A21" s="1134"/>
      <c r="B21" s="1548"/>
      <c r="C21" s="1550"/>
      <c r="D21" s="1155" t="s">
        <v>722</v>
      </c>
      <c r="E21" s="1518"/>
      <c r="F21" s="1518"/>
      <c r="G21" s="1518"/>
      <c r="H21" s="1518"/>
      <c r="I21" s="1522"/>
      <c r="J21" s="1135"/>
    </row>
    <row r="22" spans="1:10" s="1030" customFormat="1" ht="285" customHeight="1">
      <c r="A22" s="1134"/>
      <c r="B22" s="1548"/>
      <c r="C22" s="1550"/>
      <c r="D22" s="1155" t="s">
        <v>720</v>
      </c>
      <c r="E22" s="1518"/>
      <c r="F22" s="1518"/>
      <c r="G22" s="1518"/>
      <c r="H22" s="1518"/>
      <c r="I22" s="1522"/>
      <c r="J22" s="1135"/>
    </row>
    <row r="23" spans="1:10" s="1030" customFormat="1" ht="285" customHeight="1">
      <c r="A23" s="1134"/>
      <c r="B23" s="1549"/>
      <c r="C23" s="1546"/>
      <c r="D23" s="1155" t="s">
        <v>721</v>
      </c>
      <c r="E23" s="1518"/>
      <c r="F23" s="1518"/>
      <c r="G23" s="1518"/>
      <c r="H23" s="1518"/>
      <c r="I23" s="1522"/>
      <c r="J23" s="1135"/>
    </row>
    <row r="24" spans="1:10" s="1031" customFormat="1" ht="249" customHeight="1">
      <c r="A24" s="1136"/>
      <c r="B24" s="1156" t="s">
        <v>628</v>
      </c>
      <c r="C24" s="1157"/>
      <c r="D24" s="1158"/>
      <c r="E24" s="1201">
        <f>'MATRIZ PLURIANUAL (2)'!L24</f>
        <v>51553693457.433418</v>
      </c>
      <c r="F24" s="1201">
        <f>'MATRIZ PLURIANUAL (2)'!U24</f>
        <v>16210467545.769999</v>
      </c>
      <c r="G24" s="1201">
        <f>'MATRIZ PLURIANUAL (2)'!AC24</f>
        <v>11933371488.6481</v>
      </c>
      <c r="H24" s="1201">
        <f>'MATRIZ PLURIANUAL (2)'!AK24</f>
        <v>11632687813.540001</v>
      </c>
      <c r="I24" s="1203">
        <f>'MATRIZ PLURIANUAL (2)'!AS24</f>
        <v>11777166609.475313</v>
      </c>
      <c r="J24" s="1137"/>
    </row>
    <row r="25" spans="1:10" s="1030" customFormat="1" ht="279" customHeight="1">
      <c r="A25" s="1134"/>
      <c r="B25" s="1547" t="s">
        <v>128</v>
      </c>
      <c r="C25" s="1545" t="s">
        <v>129</v>
      </c>
      <c r="D25" s="1155" t="s">
        <v>725</v>
      </c>
      <c r="E25" s="1518">
        <f>'MATRIZ PLURIANUAL (2)'!L25</f>
        <v>20805749628.007919</v>
      </c>
      <c r="F25" s="1518">
        <f>'MATRIZ PLURIANUAL (2)'!U25</f>
        <v>4270000000</v>
      </c>
      <c r="G25" s="1518">
        <f>'MATRIZ PLURIANUAL (2)'!AC25</f>
        <v>5595570249.3855009</v>
      </c>
      <c r="H25" s="1518">
        <f>'MATRIZ PLURIANUAL (2)'!AK25</f>
        <v>5444673269.7000008</v>
      </c>
      <c r="I25" s="1522">
        <f>'MATRIZ PLURIANUAL (2)'!AS25</f>
        <v>5495506108.9224148</v>
      </c>
      <c r="J25" s="1135"/>
    </row>
    <row r="26" spans="1:10" s="1030" customFormat="1" ht="279" customHeight="1">
      <c r="A26" s="1134"/>
      <c r="B26" s="1548"/>
      <c r="C26" s="1550"/>
      <c r="D26" s="1155" t="s">
        <v>726</v>
      </c>
      <c r="E26" s="1518"/>
      <c r="F26" s="1518"/>
      <c r="G26" s="1518"/>
      <c r="H26" s="1518"/>
      <c r="I26" s="1522"/>
      <c r="J26" s="1135"/>
    </row>
    <row r="27" spans="1:10" s="1030" customFormat="1" ht="279" customHeight="1">
      <c r="A27" s="1134"/>
      <c r="B27" s="1548"/>
      <c r="C27" s="1550"/>
      <c r="D27" s="1155" t="s">
        <v>727</v>
      </c>
      <c r="E27" s="1518"/>
      <c r="F27" s="1518"/>
      <c r="G27" s="1518"/>
      <c r="H27" s="1518"/>
      <c r="I27" s="1522"/>
      <c r="J27" s="1135"/>
    </row>
    <row r="28" spans="1:10" s="1030" customFormat="1" ht="279" customHeight="1">
      <c r="A28" s="1134"/>
      <c r="B28" s="1548"/>
      <c r="C28" s="1550"/>
      <c r="D28" s="1155" t="s">
        <v>728</v>
      </c>
      <c r="E28" s="1518"/>
      <c r="F28" s="1518"/>
      <c r="G28" s="1518"/>
      <c r="H28" s="1518"/>
      <c r="I28" s="1522"/>
      <c r="J28" s="1135"/>
    </row>
    <row r="29" spans="1:10" s="1030" customFormat="1" ht="279" customHeight="1">
      <c r="A29" s="1134"/>
      <c r="B29" s="1548"/>
      <c r="C29" s="1550"/>
      <c r="D29" s="1155" t="s">
        <v>729</v>
      </c>
      <c r="E29" s="1518"/>
      <c r="F29" s="1518"/>
      <c r="G29" s="1518"/>
      <c r="H29" s="1518"/>
      <c r="I29" s="1522"/>
      <c r="J29" s="1135"/>
    </row>
    <row r="30" spans="1:10" s="1030" customFormat="1" ht="279" customHeight="1">
      <c r="A30" s="1134"/>
      <c r="B30" s="1548"/>
      <c r="C30" s="1546"/>
      <c r="D30" s="1155" t="s">
        <v>730</v>
      </c>
      <c r="E30" s="1518"/>
      <c r="F30" s="1518"/>
      <c r="G30" s="1518"/>
      <c r="H30" s="1518"/>
      <c r="I30" s="1522"/>
      <c r="J30" s="1135"/>
    </row>
    <row r="31" spans="1:10" s="1030" customFormat="1" ht="279" customHeight="1">
      <c r="A31" s="1134"/>
      <c r="B31" s="1548"/>
      <c r="C31" s="1545" t="s">
        <v>130</v>
      </c>
      <c r="D31" s="1155" t="s">
        <v>731</v>
      </c>
      <c r="E31" s="1511">
        <f>'MATRIZ PLURIANUAL (2)'!L32</f>
        <v>10850702436.702749</v>
      </c>
      <c r="F31" s="1511">
        <f>'MATRIZ PLURIANUAL (2)'!U32</f>
        <v>1980778120.5699999</v>
      </c>
      <c r="G31" s="1511">
        <f>'MATRIZ PLURIANUAL (2)'!AC32</f>
        <v>3000510069.6313</v>
      </c>
      <c r="H31" s="1511">
        <f>'MATRIZ PLURIANUAL (2)'!AK32</f>
        <v>2915961043.4200001</v>
      </c>
      <c r="I31" s="1515">
        <f>'MATRIZ PLURIANUAL (2)'!AS32</f>
        <v>2953453203.0814486</v>
      </c>
      <c r="J31" s="1135"/>
    </row>
    <row r="32" spans="1:10" s="1030" customFormat="1" ht="279" customHeight="1">
      <c r="A32" s="1134"/>
      <c r="B32" s="1548"/>
      <c r="C32" s="1550"/>
      <c r="D32" s="1155" t="s">
        <v>732</v>
      </c>
      <c r="E32" s="1513"/>
      <c r="F32" s="1513"/>
      <c r="G32" s="1513"/>
      <c r="H32" s="1513"/>
      <c r="I32" s="1516"/>
      <c r="J32" s="1135"/>
    </row>
    <row r="33" spans="1:10" s="1030" customFormat="1" ht="279" customHeight="1">
      <c r="A33" s="1134"/>
      <c r="B33" s="1548"/>
      <c r="C33" s="1550"/>
      <c r="D33" s="1155" t="s">
        <v>733</v>
      </c>
      <c r="E33" s="1513"/>
      <c r="F33" s="1513"/>
      <c r="G33" s="1513"/>
      <c r="H33" s="1513"/>
      <c r="I33" s="1516"/>
      <c r="J33" s="1135"/>
    </row>
    <row r="34" spans="1:10" s="1030" customFormat="1" ht="279" customHeight="1">
      <c r="A34" s="1134"/>
      <c r="B34" s="1548"/>
      <c r="C34" s="1550"/>
      <c r="D34" s="1155" t="s">
        <v>734</v>
      </c>
      <c r="E34" s="1513"/>
      <c r="F34" s="1513"/>
      <c r="G34" s="1513"/>
      <c r="H34" s="1513"/>
      <c r="I34" s="1516"/>
      <c r="J34" s="1135"/>
    </row>
    <row r="35" spans="1:10" s="1030" customFormat="1" ht="279" customHeight="1">
      <c r="A35" s="1134"/>
      <c r="B35" s="1548"/>
      <c r="C35" s="1546"/>
      <c r="D35" s="1155" t="s">
        <v>735</v>
      </c>
      <c r="E35" s="1512"/>
      <c r="F35" s="1512"/>
      <c r="G35" s="1512"/>
      <c r="H35" s="1512"/>
      <c r="I35" s="1517"/>
      <c r="J35" s="1135"/>
    </row>
    <row r="36" spans="1:10" s="1030" customFormat="1" ht="279" customHeight="1">
      <c r="A36" s="1134"/>
      <c r="B36" s="1548"/>
      <c r="C36" s="1545" t="s">
        <v>131</v>
      </c>
      <c r="D36" s="1155" t="s">
        <v>736</v>
      </c>
      <c r="E36" s="1518">
        <f>'MATRIZ PLURIANUAL (2)'!L38</f>
        <v>19897241392.722748</v>
      </c>
      <c r="F36" s="1518">
        <f>'MATRIZ PLURIANUAL (2)'!U38</f>
        <v>9959689425.1999989</v>
      </c>
      <c r="G36" s="1518">
        <f>'MATRIZ PLURIANUAL (2)'!AC38</f>
        <v>3337291169.6313</v>
      </c>
      <c r="H36" s="1518">
        <f>'MATRIZ PLURIANUAL (2)'!AK38</f>
        <v>3272053500.4200001</v>
      </c>
      <c r="I36" s="1522">
        <f>'MATRIZ PLURIANUAL (2)'!AS38</f>
        <v>3328207297.4714489</v>
      </c>
      <c r="J36" s="1135"/>
    </row>
    <row r="37" spans="1:10" s="1030" customFormat="1" ht="279" customHeight="1">
      <c r="A37" s="1134"/>
      <c r="B37" s="1548"/>
      <c r="C37" s="1550"/>
      <c r="D37" s="1155" t="s">
        <v>737</v>
      </c>
      <c r="E37" s="1518"/>
      <c r="F37" s="1518"/>
      <c r="G37" s="1518"/>
      <c r="H37" s="1518"/>
      <c r="I37" s="1522"/>
      <c r="J37" s="1135"/>
    </row>
    <row r="38" spans="1:10" s="1030" customFormat="1" ht="279" customHeight="1">
      <c r="A38" s="1134"/>
      <c r="B38" s="1549"/>
      <c r="C38" s="1546"/>
      <c r="D38" s="1155" t="s">
        <v>738</v>
      </c>
      <c r="E38" s="1518"/>
      <c r="F38" s="1518"/>
      <c r="G38" s="1518"/>
      <c r="H38" s="1518"/>
      <c r="I38" s="1522"/>
      <c r="J38" s="1135"/>
    </row>
    <row r="39" spans="1:10" s="1031" customFormat="1" ht="225" customHeight="1">
      <c r="A39" s="1136"/>
      <c r="B39" s="1159" t="s">
        <v>629</v>
      </c>
      <c r="C39" s="1160"/>
      <c r="D39" s="1161"/>
      <c r="E39" s="1204">
        <f>'MATRIZ PLURIANUAL (2)'!L42</f>
        <v>206603501404.72684</v>
      </c>
      <c r="F39" s="1204">
        <f>'MATRIZ PLURIANUAL (2)'!U42</f>
        <v>64737599516.960007</v>
      </c>
      <c r="G39" s="1204">
        <f>'MATRIZ PLURIANUAL (2)'!AC42</f>
        <v>53120455174.256996</v>
      </c>
      <c r="H39" s="1204">
        <f>'MATRIZ PLURIANUAL (2)'!AK42</f>
        <v>46054930820.719994</v>
      </c>
      <c r="I39" s="1206">
        <f>'MATRIZ PLURIANUAL (2)'!AS42</f>
        <v>42690515892.789833</v>
      </c>
      <c r="J39" s="1137"/>
    </row>
    <row r="40" spans="1:10" s="1031" customFormat="1" ht="241.2" customHeight="1">
      <c r="A40" s="1136"/>
      <c r="B40" s="1547" t="s">
        <v>132</v>
      </c>
      <c r="C40" s="1545" t="s">
        <v>133</v>
      </c>
      <c r="D40" s="1155" t="s">
        <v>739</v>
      </c>
      <c r="E40" s="1511">
        <f>'MATRIZ PLURIANUAL (2)'!L43</f>
        <v>206603501404.72684</v>
      </c>
      <c r="F40" s="1511">
        <f>'MATRIZ PLURIANUAL (2)'!U43</f>
        <v>64737599516.960007</v>
      </c>
      <c r="G40" s="1511">
        <f>'MATRIZ PLURIANUAL (2)'!AC43</f>
        <v>53120455174.256996</v>
      </c>
      <c r="H40" s="1511">
        <f>'MATRIZ PLURIANUAL (2)'!AK43</f>
        <v>46054930820.719994</v>
      </c>
      <c r="I40" s="1515">
        <f>'MATRIZ PLURIANUAL (2)'!AS43</f>
        <v>42690515892.789833</v>
      </c>
      <c r="J40" s="1137"/>
    </row>
    <row r="41" spans="1:10" s="1031" customFormat="1" ht="241.2" customHeight="1">
      <c r="A41" s="1136"/>
      <c r="B41" s="1548"/>
      <c r="C41" s="1550"/>
      <c r="D41" s="1155" t="s">
        <v>740</v>
      </c>
      <c r="E41" s="1513"/>
      <c r="F41" s="1513"/>
      <c r="G41" s="1513"/>
      <c r="H41" s="1513"/>
      <c r="I41" s="1516"/>
      <c r="J41" s="1137"/>
    </row>
    <row r="42" spans="1:10" s="1031" customFormat="1" ht="241.2" customHeight="1">
      <c r="A42" s="1136"/>
      <c r="B42" s="1548"/>
      <c r="C42" s="1550"/>
      <c r="D42" s="1155" t="s">
        <v>741</v>
      </c>
      <c r="E42" s="1513"/>
      <c r="F42" s="1513"/>
      <c r="G42" s="1513"/>
      <c r="H42" s="1513"/>
      <c r="I42" s="1516"/>
      <c r="J42" s="1137"/>
    </row>
    <row r="43" spans="1:10" s="1031" customFormat="1" ht="241.2" customHeight="1">
      <c r="A43" s="1136"/>
      <c r="B43" s="1549"/>
      <c r="C43" s="1546"/>
      <c r="D43" s="1155" t="s">
        <v>742</v>
      </c>
      <c r="E43" s="1512"/>
      <c r="F43" s="1512"/>
      <c r="G43" s="1512"/>
      <c r="H43" s="1512"/>
      <c r="I43" s="1517"/>
      <c r="J43" s="1137"/>
    </row>
    <row r="44" spans="1:10" s="1031" customFormat="1" ht="207" customHeight="1">
      <c r="A44" s="1136"/>
      <c r="B44" s="1162" t="s">
        <v>630</v>
      </c>
      <c r="C44" s="1163"/>
      <c r="D44" s="1164"/>
      <c r="E44" s="1207">
        <f>'MATRIZ PLURIANUAL (2)'!L48</f>
        <v>1035285588251.8779</v>
      </c>
      <c r="F44" s="1207">
        <f>'MATRIZ PLURIANUAL (2)'!U48</f>
        <v>251627975929.89529</v>
      </c>
      <c r="G44" s="1207">
        <f>'MATRIZ PLURIANUAL (2)'!AC48</f>
        <v>261629497376.49744</v>
      </c>
      <c r="H44" s="1207">
        <f>'MATRIZ PLURIANUAL (2)'!AK48</f>
        <v>260233709313.07892</v>
      </c>
      <c r="I44" s="1209">
        <f>'MATRIZ PLURIANUAL (2)'!AS48</f>
        <v>261794405632.40631</v>
      </c>
      <c r="J44" s="1137"/>
    </row>
    <row r="45" spans="1:10" s="1030" customFormat="1" ht="315" customHeight="1">
      <c r="A45" s="1134"/>
      <c r="B45" s="1547" t="s">
        <v>134</v>
      </c>
      <c r="C45" s="1545" t="s">
        <v>135</v>
      </c>
      <c r="D45" s="1165" t="s">
        <v>743</v>
      </c>
      <c r="E45" s="1511">
        <f>'MATRIZ PLURIANUAL (2)'!L49</f>
        <v>909544426861.02173</v>
      </c>
      <c r="F45" s="1511">
        <f>'MATRIZ PLURIANUAL (2)'!U49</f>
        <v>227758156129.72998</v>
      </c>
      <c r="G45" s="1511">
        <f>'MATRIZ PLURIANUAL (2)'!AC49</f>
        <v>226815004265.57428</v>
      </c>
      <c r="H45" s="1511">
        <f>'MATRIZ PLURIANUAL (2)'!AK49</f>
        <v>226798794645.57886</v>
      </c>
      <c r="I45" s="1515">
        <f>'MATRIZ PLURIANUAL (2)'!AS49</f>
        <v>228172471820.13852</v>
      </c>
      <c r="J45" s="1135"/>
    </row>
    <row r="46" spans="1:10" s="1030" customFormat="1" ht="315" customHeight="1">
      <c r="A46" s="1134"/>
      <c r="B46" s="1548"/>
      <c r="C46" s="1546"/>
      <c r="D46" s="1155" t="s">
        <v>744</v>
      </c>
      <c r="E46" s="1512"/>
      <c r="F46" s="1512"/>
      <c r="G46" s="1512"/>
      <c r="H46" s="1512"/>
      <c r="I46" s="1517"/>
      <c r="J46" s="1135"/>
    </row>
    <row r="47" spans="1:10" s="1030" customFormat="1" ht="315" customHeight="1">
      <c r="A47" s="1134"/>
      <c r="B47" s="1548"/>
      <c r="C47" s="1545" t="s">
        <v>136</v>
      </c>
      <c r="D47" s="1155" t="s">
        <v>745</v>
      </c>
      <c r="E47" s="1518">
        <f>'MATRIZ PLURIANUAL (2)'!L51</f>
        <v>10967234928.402748</v>
      </c>
      <c r="F47" s="1518">
        <f>'MATRIZ PLURIANUAL (2)'!U51</f>
        <v>1898758315.1600001</v>
      </c>
      <c r="G47" s="1518">
        <f>'MATRIZ PLURIANUAL (2)'!AC51</f>
        <v>3117123969.6313</v>
      </c>
      <c r="H47" s="1518">
        <f>'MATRIZ PLURIANUAL (2)'!AK51</f>
        <v>2980303536.4200001</v>
      </c>
      <c r="I47" s="1522">
        <f>'MATRIZ PLURIANUAL (2)'!AS51</f>
        <v>2971049107.1914487</v>
      </c>
      <c r="J47" s="1135"/>
    </row>
    <row r="48" spans="1:10" s="1030" customFormat="1" ht="315" customHeight="1">
      <c r="A48" s="1134"/>
      <c r="B48" s="1548"/>
      <c r="C48" s="1546"/>
      <c r="D48" s="1155" t="s">
        <v>746</v>
      </c>
      <c r="E48" s="1518"/>
      <c r="F48" s="1518"/>
      <c r="G48" s="1518"/>
      <c r="H48" s="1518"/>
      <c r="I48" s="1522"/>
      <c r="J48" s="1135"/>
    </row>
    <row r="49" spans="1:10" s="1030" customFormat="1" ht="315" customHeight="1">
      <c r="A49" s="1134"/>
      <c r="B49" s="1548"/>
      <c r="C49" s="1545" t="s">
        <v>137</v>
      </c>
      <c r="D49" s="1155" t="s">
        <v>747</v>
      </c>
      <c r="E49" s="1511">
        <f>'MATRIZ PLURIANUAL (2)'!L54</f>
        <v>8717609410.7427483</v>
      </c>
      <c r="F49" s="1511">
        <f>'MATRIZ PLURIANUAL (2)'!U54</f>
        <v>1390000000</v>
      </c>
      <c r="G49" s="1511">
        <f>'MATRIZ PLURIANUAL (2)'!AC54</f>
        <v>2488868969.6313</v>
      </c>
      <c r="H49" s="1511">
        <f>'MATRIZ PLURIANUAL (2)'!AK54</f>
        <v>2402226786.4199996</v>
      </c>
      <c r="I49" s="1515">
        <f>'MATRIZ PLURIANUAL (2)'!AS54</f>
        <v>2436513654.6914487</v>
      </c>
      <c r="J49" s="1135"/>
    </row>
    <row r="50" spans="1:10" s="1030" customFormat="1" ht="315" customHeight="1">
      <c r="A50" s="1134"/>
      <c r="B50" s="1548"/>
      <c r="C50" s="1546"/>
      <c r="D50" s="1155" t="s">
        <v>748</v>
      </c>
      <c r="E50" s="1512"/>
      <c r="F50" s="1512"/>
      <c r="G50" s="1512"/>
      <c r="H50" s="1512"/>
      <c r="I50" s="1517"/>
      <c r="J50" s="1135"/>
    </row>
    <row r="51" spans="1:10" s="1030" customFormat="1" ht="315" customHeight="1">
      <c r="A51" s="1134"/>
      <c r="B51" s="1548"/>
      <c r="C51" s="1166" t="s">
        <v>138</v>
      </c>
      <c r="D51" s="1155" t="s">
        <v>749</v>
      </c>
      <c r="E51" s="1299">
        <f>'MATRIZ PLURIANUAL (2)'!L57</f>
        <v>2842536470.2475829</v>
      </c>
      <c r="F51" s="1299">
        <f>'MATRIZ PLURIANUAL (2)'!U57</f>
        <v>400000000</v>
      </c>
      <c r="G51" s="1299">
        <f>'MATRIZ PLURIANUAL (2)'!AC57</f>
        <v>829622989.87709999</v>
      </c>
      <c r="H51" s="1299">
        <f>'MATRIZ PLURIANUAL (2)'!AK57</f>
        <v>800742262.13999999</v>
      </c>
      <c r="I51" s="1300">
        <f>'MATRIZ PLURIANUAL (2)'!AS57</f>
        <v>812171218.23048294</v>
      </c>
      <c r="J51" s="1135"/>
    </row>
    <row r="52" spans="1:10" s="1030" customFormat="1" ht="315" customHeight="1">
      <c r="A52" s="1134"/>
      <c r="B52" s="1548"/>
      <c r="C52" s="1545" t="s">
        <v>139</v>
      </c>
      <c r="D52" s="1155" t="s">
        <v>750</v>
      </c>
      <c r="E52" s="1511">
        <f>'MATRIZ PLURIANUAL (2)'!L59</f>
        <v>5335072940.4951658</v>
      </c>
      <c r="F52" s="1511">
        <f>'MATRIZ PLURIANUAL (2)'!U59</f>
        <v>450000000</v>
      </c>
      <c r="G52" s="1511">
        <f>'MATRIZ PLURIANUAL (2)'!AC59</f>
        <v>1659245979.7542</v>
      </c>
      <c r="H52" s="1511">
        <f>'MATRIZ PLURIANUAL (2)'!AK59</f>
        <v>1601484524.28</v>
      </c>
      <c r="I52" s="1515">
        <f>'MATRIZ PLURIANUAL (2)'!AS59</f>
        <v>1624342436.4609659</v>
      </c>
      <c r="J52" s="1135"/>
    </row>
    <row r="53" spans="1:10" s="1030" customFormat="1" ht="315" customHeight="1">
      <c r="A53" s="1134"/>
      <c r="B53" s="1548"/>
      <c r="C53" s="1546"/>
      <c r="D53" s="1155" t="s">
        <v>751</v>
      </c>
      <c r="E53" s="1512"/>
      <c r="F53" s="1512"/>
      <c r="G53" s="1512"/>
      <c r="H53" s="1512"/>
      <c r="I53" s="1517"/>
      <c r="J53" s="1135"/>
    </row>
    <row r="54" spans="1:10" s="1030" customFormat="1" ht="315" customHeight="1">
      <c r="A54" s="1134"/>
      <c r="B54" s="1548"/>
      <c r="C54" s="1166" t="s">
        <v>140</v>
      </c>
      <c r="D54" s="1155" t="s">
        <v>752</v>
      </c>
      <c r="E54" s="1299">
        <f>'MATRIZ PLURIANUAL (2)'!L61</f>
        <v>2832536470.2475829</v>
      </c>
      <c r="F54" s="1299">
        <f>'MATRIZ PLURIANUAL (2)'!U61</f>
        <v>390000000</v>
      </c>
      <c r="G54" s="1299">
        <f>'MATRIZ PLURIANUAL (2)'!AC61</f>
        <v>829622989.87709999</v>
      </c>
      <c r="H54" s="1299">
        <f>'MATRIZ PLURIANUAL (2)'!AK61</f>
        <v>800742262.13999999</v>
      </c>
      <c r="I54" s="1300">
        <f>'MATRIZ PLURIANUAL (2)'!AS61</f>
        <v>812171218.23048294</v>
      </c>
      <c r="J54" s="1135"/>
    </row>
    <row r="55" spans="1:10" s="1030" customFormat="1" ht="315" customHeight="1">
      <c r="A55" s="1134"/>
      <c r="B55" s="1548"/>
      <c r="C55" s="1166" t="s">
        <v>141</v>
      </c>
      <c r="D55" s="1155" t="s">
        <v>753</v>
      </c>
      <c r="E55" s="1299">
        <f>'MATRIZ PLURIANUAL (2)'!L63</f>
        <v>5175072940.4951658</v>
      </c>
      <c r="F55" s="1299">
        <f>'MATRIZ PLURIANUAL (2)'!U63</f>
        <v>290000000</v>
      </c>
      <c r="G55" s="1299">
        <f>'MATRIZ PLURIANUAL (2)'!AC63</f>
        <v>1659245979.7542</v>
      </c>
      <c r="H55" s="1299">
        <f>'MATRIZ PLURIANUAL (2)'!AK63</f>
        <v>1601484524.28</v>
      </c>
      <c r="I55" s="1300">
        <f>'MATRIZ PLURIANUAL (2)'!AS63</f>
        <v>1624342436.4609659</v>
      </c>
      <c r="J55" s="1135"/>
    </row>
    <row r="56" spans="1:10" s="1030" customFormat="1" ht="315" customHeight="1">
      <c r="A56" s="1134"/>
      <c r="B56" s="1548"/>
      <c r="C56" s="1166" t="s">
        <v>142</v>
      </c>
      <c r="D56" s="1155" t="s">
        <v>754</v>
      </c>
      <c r="E56" s="1299">
        <f>'MATRIZ PLURIANUAL (2)'!L65</f>
        <v>9820815010.2475834</v>
      </c>
      <c r="F56" s="1299">
        <f>'MATRIZ PLURIANUAL (2)'!U65</f>
        <v>2924606000</v>
      </c>
      <c r="G56" s="1299">
        <f>'MATRIZ PLURIANUAL (2)'!AC65</f>
        <v>2470222989.8771</v>
      </c>
      <c r="H56" s="1299">
        <f>'MATRIZ PLURIANUAL (2)'!AK65</f>
        <v>2279960262.1400003</v>
      </c>
      <c r="I56" s="1300">
        <f>'MATRIZ PLURIANUAL (2)'!AS65</f>
        <v>2146025758.2304831</v>
      </c>
      <c r="J56" s="1135"/>
    </row>
    <row r="57" spans="1:10" s="1030" customFormat="1" ht="315" customHeight="1">
      <c r="A57" s="1134"/>
      <c r="B57" s="1548"/>
      <c r="C57" s="1545" t="s">
        <v>143</v>
      </c>
      <c r="D57" s="1155" t="s">
        <v>755</v>
      </c>
      <c r="E57" s="1511">
        <f>'MATRIZ PLURIANUAL (2)'!L67</f>
        <v>10753071310.556675</v>
      </c>
      <c r="F57" s="1511">
        <f>'MATRIZ PLURIANUAL (2)'!U67</f>
        <v>1803071310.5553</v>
      </c>
      <c r="G57" s="1511">
        <f>'MATRIZ PLURIANUAL (2)'!AC67</f>
        <v>3049999999.9956503</v>
      </c>
      <c r="H57" s="1511">
        <f>'MATRIZ PLURIANUAL (2)'!AK67</f>
        <v>2899999999.9999995</v>
      </c>
      <c r="I57" s="1515">
        <f>'MATRIZ PLURIANUAL (2)'!AS67</f>
        <v>3000000000.0057244</v>
      </c>
      <c r="J57" s="1135"/>
    </row>
    <row r="58" spans="1:10" s="1030" customFormat="1" ht="315" customHeight="1">
      <c r="A58" s="1134"/>
      <c r="B58" s="1548"/>
      <c r="C58" s="1550"/>
      <c r="D58" s="1155" t="s">
        <v>756</v>
      </c>
      <c r="E58" s="1513"/>
      <c r="F58" s="1513"/>
      <c r="G58" s="1513"/>
      <c r="H58" s="1513"/>
      <c r="I58" s="1516"/>
      <c r="J58" s="1135"/>
    </row>
    <row r="59" spans="1:10" s="1030" customFormat="1" ht="315" customHeight="1">
      <c r="A59" s="1134"/>
      <c r="B59" s="1548"/>
      <c r="C59" s="1550"/>
      <c r="D59" s="1155" t="s">
        <v>757</v>
      </c>
      <c r="E59" s="1513"/>
      <c r="F59" s="1513"/>
      <c r="G59" s="1513"/>
      <c r="H59" s="1513"/>
      <c r="I59" s="1516"/>
      <c r="J59" s="1135"/>
    </row>
    <row r="60" spans="1:10" s="1030" customFormat="1" ht="315" customHeight="1">
      <c r="A60" s="1134"/>
      <c r="B60" s="1548"/>
      <c r="C60" s="1550"/>
      <c r="D60" s="1155" t="s">
        <v>758</v>
      </c>
      <c r="E60" s="1513"/>
      <c r="F60" s="1513"/>
      <c r="G60" s="1513"/>
      <c r="H60" s="1513"/>
      <c r="I60" s="1516"/>
      <c r="J60" s="1135"/>
    </row>
    <row r="61" spans="1:10" s="1030" customFormat="1" ht="315" customHeight="1">
      <c r="A61" s="1134"/>
      <c r="B61" s="1548"/>
      <c r="C61" s="1550"/>
      <c r="D61" s="1155" t="s">
        <v>759</v>
      </c>
      <c r="E61" s="1513"/>
      <c r="F61" s="1513"/>
      <c r="G61" s="1513"/>
      <c r="H61" s="1513"/>
      <c r="I61" s="1516"/>
      <c r="J61" s="1135"/>
    </row>
    <row r="62" spans="1:10" s="1030" customFormat="1" ht="315" customHeight="1">
      <c r="A62" s="1134"/>
      <c r="B62" s="1548"/>
      <c r="C62" s="1550"/>
      <c r="D62" s="1155" t="s">
        <v>760</v>
      </c>
      <c r="E62" s="1513"/>
      <c r="F62" s="1513"/>
      <c r="G62" s="1513"/>
      <c r="H62" s="1513"/>
      <c r="I62" s="1516"/>
      <c r="J62" s="1135"/>
    </row>
    <row r="63" spans="1:10" s="1030" customFormat="1" ht="315" customHeight="1">
      <c r="A63" s="1134"/>
      <c r="B63" s="1548"/>
      <c r="C63" s="1550"/>
      <c r="D63" s="1155" t="s">
        <v>761</v>
      </c>
      <c r="E63" s="1513"/>
      <c r="F63" s="1513"/>
      <c r="G63" s="1513"/>
      <c r="H63" s="1513"/>
      <c r="I63" s="1516"/>
      <c r="J63" s="1135"/>
    </row>
    <row r="64" spans="1:10" s="1030" customFormat="1" ht="315" customHeight="1">
      <c r="A64" s="1134"/>
      <c r="B64" s="1548"/>
      <c r="C64" s="1550"/>
      <c r="D64" s="1155" t="s">
        <v>762</v>
      </c>
      <c r="E64" s="1513"/>
      <c r="F64" s="1513"/>
      <c r="G64" s="1513"/>
      <c r="H64" s="1513"/>
      <c r="I64" s="1516"/>
      <c r="J64" s="1135"/>
    </row>
    <row r="65" spans="1:10" s="1030" customFormat="1" ht="315" customHeight="1">
      <c r="A65" s="1134"/>
      <c r="B65" s="1548"/>
      <c r="C65" s="1546"/>
      <c r="D65" s="1155" t="s">
        <v>763</v>
      </c>
      <c r="E65" s="1512"/>
      <c r="F65" s="1512"/>
      <c r="G65" s="1512"/>
      <c r="H65" s="1512"/>
      <c r="I65" s="1517"/>
      <c r="J65" s="1135"/>
    </row>
    <row r="66" spans="1:10" s="1030" customFormat="1" ht="315" customHeight="1">
      <c r="A66" s="1134"/>
      <c r="B66" s="1548"/>
      <c r="C66" s="1545" t="s">
        <v>144</v>
      </c>
      <c r="D66" s="1155" t="s">
        <v>764</v>
      </c>
      <c r="E66" s="1511">
        <f>'MATRIZ PLURIANUAL (2)'!L72</f>
        <v>32888488449.945164</v>
      </c>
      <c r="F66" s="1511">
        <f>'MATRIZ PLURIANUAL (2)'!U72</f>
        <v>6840025417.4499998</v>
      </c>
      <c r="G66" s="1511">
        <f>'MATRIZ PLURIANUAL (2)'!AC72</f>
        <v>8914309343.7542</v>
      </c>
      <c r="H66" s="1511">
        <f>'MATRIZ PLURIANUAL (2)'!AK72</f>
        <v>8560547888.2799997</v>
      </c>
      <c r="I66" s="1515">
        <f>'MATRIZ PLURIANUAL (2)'!AS72</f>
        <v>8573605800.4609652</v>
      </c>
      <c r="J66" s="1135"/>
    </row>
    <row r="67" spans="1:10" s="1030" customFormat="1" ht="315" customHeight="1">
      <c r="A67" s="1134"/>
      <c r="B67" s="1548"/>
      <c r="C67" s="1550"/>
      <c r="D67" s="1155" t="s">
        <v>765</v>
      </c>
      <c r="E67" s="1513"/>
      <c r="F67" s="1513"/>
      <c r="G67" s="1513"/>
      <c r="H67" s="1513"/>
      <c r="I67" s="1516"/>
      <c r="J67" s="1135"/>
    </row>
    <row r="68" spans="1:10" s="1030" customFormat="1" ht="315" customHeight="1">
      <c r="A68" s="1134"/>
      <c r="B68" s="1548"/>
      <c r="C68" s="1550"/>
      <c r="D68" s="1155" t="s">
        <v>766</v>
      </c>
      <c r="E68" s="1513"/>
      <c r="F68" s="1513"/>
      <c r="G68" s="1513"/>
      <c r="H68" s="1513"/>
      <c r="I68" s="1516"/>
      <c r="J68" s="1135"/>
    </row>
    <row r="69" spans="1:10" s="1030" customFormat="1" ht="315" customHeight="1">
      <c r="A69" s="1134"/>
      <c r="B69" s="1548"/>
      <c r="C69" s="1550"/>
      <c r="D69" s="1155" t="s">
        <v>767</v>
      </c>
      <c r="E69" s="1513"/>
      <c r="F69" s="1513"/>
      <c r="G69" s="1513"/>
      <c r="H69" s="1513"/>
      <c r="I69" s="1516"/>
      <c r="J69" s="1135"/>
    </row>
    <row r="70" spans="1:10" s="1030" customFormat="1" ht="315" customHeight="1">
      <c r="A70" s="1134"/>
      <c r="B70" s="1548"/>
      <c r="C70" s="1550"/>
      <c r="D70" s="1155" t="s">
        <v>768</v>
      </c>
      <c r="E70" s="1513"/>
      <c r="F70" s="1513"/>
      <c r="G70" s="1513"/>
      <c r="H70" s="1513"/>
      <c r="I70" s="1516"/>
      <c r="J70" s="1135"/>
    </row>
    <row r="71" spans="1:10" s="1030" customFormat="1" ht="315" customHeight="1">
      <c r="A71" s="1134"/>
      <c r="B71" s="1548"/>
      <c r="C71" s="1550"/>
      <c r="D71" s="1155" t="s">
        <v>769</v>
      </c>
      <c r="E71" s="1513"/>
      <c r="F71" s="1513"/>
      <c r="G71" s="1513"/>
      <c r="H71" s="1513"/>
      <c r="I71" s="1516"/>
      <c r="J71" s="1135"/>
    </row>
    <row r="72" spans="1:10" s="1030" customFormat="1" ht="315" customHeight="1">
      <c r="A72" s="1134"/>
      <c r="B72" s="1548"/>
      <c r="C72" s="1550"/>
      <c r="D72" s="1155" t="s">
        <v>770</v>
      </c>
      <c r="E72" s="1513"/>
      <c r="F72" s="1513"/>
      <c r="G72" s="1513"/>
      <c r="H72" s="1513"/>
      <c r="I72" s="1516"/>
      <c r="J72" s="1135"/>
    </row>
    <row r="73" spans="1:10" s="1030" customFormat="1" ht="315" customHeight="1">
      <c r="A73" s="1134"/>
      <c r="B73" s="1548"/>
      <c r="C73" s="1550"/>
      <c r="D73" s="1155" t="s">
        <v>771</v>
      </c>
      <c r="E73" s="1513"/>
      <c r="F73" s="1513"/>
      <c r="G73" s="1513"/>
      <c r="H73" s="1513"/>
      <c r="I73" s="1516"/>
      <c r="J73" s="1135"/>
    </row>
    <row r="74" spans="1:10" s="1030" customFormat="1" ht="315" customHeight="1">
      <c r="A74" s="1134"/>
      <c r="B74" s="1548"/>
      <c r="C74" s="1550"/>
      <c r="D74" s="1155" t="s">
        <v>772</v>
      </c>
      <c r="E74" s="1513"/>
      <c r="F74" s="1513"/>
      <c r="G74" s="1513"/>
      <c r="H74" s="1513"/>
      <c r="I74" s="1516"/>
      <c r="J74" s="1135"/>
    </row>
    <row r="75" spans="1:10" s="1030" customFormat="1" ht="315" customHeight="1">
      <c r="A75" s="1134"/>
      <c r="B75" s="1548"/>
      <c r="C75" s="1550"/>
      <c r="D75" s="1155" t="s">
        <v>773</v>
      </c>
      <c r="E75" s="1513"/>
      <c r="F75" s="1513"/>
      <c r="G75" s="1513"/>
      <c r="H75" s="1513"/>
      <c r="I75" s="1516"/>
      <c r="J75" s="1135"/>
    </row>
    <row r="76" spans="1:10" s="1030" customFormat="1" ht="315" customHeight="1">
      <c r="A76" s="1134"/>
      <c r="B76" s="1548"/>
      <c r="C76" s="1550"/>
      <c r="D76" s="1155" t="s">
        <v>774</v>
      </c>
      <c r="E76" s="1513"/>
      <c r="F76" s="1513"/>
      <c r="G76" s="1513"/>
      <c r="H76" s="1513"/>
      <c r="I76" s="1516"/>
      <c r="J76" s="1135"/>
    </row>
    <row r="77" spans="1:10" s="1030" customFormat="1" ht="315" customHeight="1">
      <c r="A77" s="1134"/>
      <c r="B77" s="1548"/>
      <c r="C77" s="1546"/>
      <c r="D77" s="1155" t="s">
        <v>775</v>
      </c>
      <c r="E77" s="1512"/>
      <c r="F77" s="1512"/>
      <c r="G77" s="1512"/>
      <c r="H77" s="1512"/>
      <c r="I77" s="1517"/>
      <c r="J77" s="1135"/>
    </row>
    <row r="78" spans="1:10" s="1030" customFormat="1" ht="315" customHeight="1">
      <c r="A78" s="1134"/>
      <c r="B78" s="1548"/>
      <c r="C78" s="1166" t="s">
        <v>145</v>
      </c>
      <c r="D78" s="1155" t="s">
        <v>776</v>
      </c>
      <c r="E78" s="1299">
        <f>'MATRIZ PLURIANUAL (2)'!L74</f>
        <v>9168431697.4951668</v>
      </c>
      <c r="F78" s="1299">
        <f>'MATRIZ PLURIANUAL (2)'!U74</f>
        <v>1283358757</v>
      </c>
      <c r="G78" s="1299">
        <f>'MATRIZ PLURIANUAL (2)'!AC74</f>
        <v>2659245979.7542</v>
      </c>
      <c r="H78" s="1299">
        <f>'MATRIZ PLURIANUAL (2)'!AK74</f>
        <v>2601484524.2800002</v>
      </c>
      <c r="I78" s="1300">
        <f>'MATRIZ PLURIANUAL (2)'!AS74</f>
        <v>2624342436.4609661</v>
      </c>
      <c r="J78" s="1135"/>
    </row>
    <row r="79" spans="1:10" s="1030" customFormat="1" ht="315" customHeight="1">
      <c r="A79" s="1134"/>
      <c r="B79" s="1549"/>
      <c r="C79" s="1166" t="s">
        <v>146</v>
      </c>
      <c r="D79" s="1155" t="s">
        <v>777</v>
      </c>
      <c r="E79" s="1299">
        <f>'MATRIZ PLURIANUAL (2)'!L76</f>
        <v>27240291761.980663</v>
      </c>
      <c r="F79" s="1299">
        <f>'MATRIZ PLURIANUAL (2)'!U76</f>
        <v>6200000000</v>
      </c>
      <c r="G79" s="1299">
        <f>'MATRIZ PLURIANUAL (2)'!AC76</f>
        <v>7136983919.0167999</v>
      </c>
      <c r="H79" s="1299">
        <f>'MATRIZ PLURIANUAL (2)'!AK76</f>
        <v>6905938097.1199999</v>
      </c>
      <c r="I79" s="1300">
        <f>'MATRIZ PLURIANUAL (2)'!AS76</f>
        <v>6997369745.8438635</v>
      </c>
      <c r="J79" s="1135"/>
    </row>
    <row r="80" spans="1:10" s="1031" customFormat="1" ht="201" customHeight="1">
      <c r="A80" s="1136"/>
      <c r="B80" s="1167" t="s">
        <v>631</v>
      </c>
      <c r="C80" s="1168"/>
      <c r="D80" s="1169"/>
      <c r="E80" s="1213">
        <f>'MATRIZ PLURIANUAL (2)'!L78</f>
        <v>67771221757.88327</v>
      </c>
      <c r="F80" s="1213">
        <f>'MATRIZ PLURIANUAL (2)'!U78</f>
        <v>19180100362.12001</v>
      </c>
      <c r="G80" s="1213">
        <f>'MATRIZ PLURIANUAL (2)'!AC78</f>
        <v>16391589446.13192</v>
      </c>
      <c r="H80" s="1213">
        <f>'MATRIZ PLURIANUAL (2)'!AK78</f>
        <v>15988703984.528002</v>
      </c>
      <c r="I80" s="1215">
        <f>'MATRIZ PLURIANUAL (2)'!AS78</f>
        <v>16210827965.103342</v>
      </c>
      <c r="J80" s="1137"/>
    </row>
    <row r="81" spans="1:10" s="1030" customFormat="1" ht="288" customHeight="1">
      <c r="A81" s="1134"/>
      <c r="B81" s="1547" t="s">
        <v>147</v>
      </c>
      <c r="C81" s="1545" t="s">
        <v>148</v>
      </c>
      <c r="D81" s="1155" t="s">
        <v>778</v>
      </c>
      <c r="E81" s="1511">
        <f>'MATRIZ PLURIANUAL (2)'!L79</f>
        <v>31407614346.685841</v>
      </c>
      <c r="F81" s="1511">
        <f>'MATRIZ PLURIANUAL (2)'!U79</f>
        <v>6405074772.9600105</v>
      </c>
      <c r="G81" s="1511">
        <f>'MATRIZ PLURIANUAL (2)'!AC79</f>
        <v>8466392398.7710009</v>
      </c>
      <c r="H81" s="1511">
        <f>'MATRIZ PLURIANUAL (2)'!AK79</f>
        <v>8198409996.4000006</v>
      </c>
      <c r="I81" s="1515">
        <f>'MATRIZ PLURIANUAL (2)'!AS79</f>
        <v>8337737178.5548296</v>
      </c>
      <c r="J81" s="1135"/>
    </row>
    <row r="82" spans="1:10" s="1030" customFormat="1" ht="288" customHeight="1">
      <c r="A82" s="1134"/>
      <c r="B82" s="1548"/>
      <c r="C82" s="1546"/>
      <c r="D82" s="1155" t="s">
        <v>779</v>
      </c>
      <c r="E82" s="1512"/>
      <c r="F82" s="1512"/>
      <c r="G82" s="1512"/>
      <c r="H82" s="1512"/>
      <c r="I82" s="1517"/>
      <c r="J82" s="1135"/>
    </row>
    <row r="83" spans="1:10" s="1030" customFormat="1" ht="288" customHeight="1">
      <c r="A83" s="1134"/>
      <c r="B83" s="1548"/>
      <c r="C83" s="1166" t="s">
        <v>149</v>
      </c>
      <c r="D83" s="1155" t="s">
        <v>780</v>
      </c>
      <c r="E83" s="1299">
        <f>'MATRIZ PLURIANUAL (2)'!L82</f>
        <v>14612491604.75</v>
      </c>
      <c r="F83" s="1299">
        <f>'MATRIZ PLURIANUAL (2)'!U82</f>
        <v>4645817563</v>
      </c>
      <c r="G83" s="1299">
        <f>'MATRIZ PLURIANUAL (2)'!AC82</f>
        <v>3282807500</v>
      </c>
      <c r="H83" s="1299">
        <f>'MATRIZ PLURIANUAL (2)'!AK82</f>
        <v>3320329725</v>
      </c>
      <c r="I83" s="1300">
        <f>'MATRIZ PLURIANUAL (2)'!AS82</f>
        <v>3363536816.75</v>
      </c>
      <c r="J83" s="1135"/>
    </row>
    <row r="84" spans="1:10" s="1030" customFormat="1" ht="288" customHeight="1">
      <c r="A84" s="1134"/>
      <c r="B84" s="1548"/>
      <c r="C84" s="1545" t="s">
        <v>150</v>
      </c>
      <c r="D84" s="1155" t="s">
        <v>781</v>
      </c>
      <c r="E84" s="1511">
        <f>'MATRIZ PLURIANUAL (2)'!L84</f>
        <v>13723506395.704681</v>
      </c>
      <c r="F84" s="1511">
        <f>'MATRIZ PLURIANUAL (2)'!U84</f>
        <v>7429208026.1599998</v>
      </c>
      <c r="G84" s="1511">
        <f>'MATRIZ PLURIANUAL (2)'!AC84</f>
        <v>2153520577.72962</v>
      </c>
      <c r="H84" s="1511">
        <f>'MATRIZ PLURIANUAL (2)'!AK84</f>
        <v>2067737476.7079997</v>
      </c>
      <c r="I84" s="1515">
        <f>'MATRIZ PLURIANUAL (2)'!AS84</f>
        <v>2073040315.1070626</v>
      </c>
      <c r="J84" s="1135"/>
    </row>
    <row r="85" spans="1:10" s="1030" customFormat="1" ht="288" customHeight="1">
      <c r="A85" s="1134"/>
      <c r="B85" s="1548"/>
      <c r="C85" s="1546"/>
      <c r="D85" s="1155" t="s">
        <v>782</v>
      </c>
      <c r="E85" s="1512"/>
      <c r="F85" s="1512"/>
      <c r="G85" s="1512"/>
      <c r="H85" s="1512"/>
      <c r="I85" s="1517"/>
      <c r="J85" s="1135"/>
    </row>
    <row r="86" spans="1:10" s="1030" customFormat="1" ht="288" customHeight="1">
      <c r="A86" s="1134"/>
      <c r="B86" s="1548"/>
      <c r="C86" s="1545" t="s">
        <v>151</v>
      </c>
      <c r="D86" s="1155" t="s">
        <v>783</v>
      </c>
      <c r="E86" s="1511">
        <f>'MATRIZ PLURIANUAL (2)'!L87</f>
        <v>8027609410.7427483</v>
      </c>
      <c r="F86" s="1511">
        <f>'MATRIZ PLURIANUAL (2)'!U87</f>
        <v>700000000</v>
      </c>
      <c r="G86" s="1511">
        <f>'MATRIZ PLURIANUAL (2)'!AC87</f>
        <v>2488868969.6313</v>
      </c>
      <c r="H86" s="1511">
        <f>'MATRIZ PLURIANUAL (2)'!AK87</f>
        <v>2402226786.4199996</v>
      </c>
      <c r="I86" s="1515">
        <f>'MATRIZ PLURIANUAL (2)'!AS87</f>
        <v>2436513654.6914487</v>
      </c>
      <c r="J86" s="1135"/>
    </row>
    <row r="87" spans="1:10" s="1030" customFormat="1" ht="288" customHeight="1">
      <c r="A87" s="1134"/>
      <c r="B87" s="1549"/>
      <c r="C87" s="1546"/>
      <c r="D87" s="1155" t="s">
        <v>784</v>
      </c>
      <c r="E87" s="1512"/>
      <c r="F87" s="1512"/>
      <c r="G87" s="1512"/>
      <c r="H87" s="1512"/>
      <c r="I87" s="1517"/>
      <c r="J87" s="1135"/>
    </row>
    <row r="88" spans="1:10" s="1031" customFormat="1" ht="237" customHeight="1">
      <c r="A88" s="1136"/>
      <c r="B88" s="1170" t="s">
        <v>632</v>
      </c>
      <c r="C88" s="1171"/>
      <c r="D88" s="1172"/>
      <c r="E88" s="1216">
        <f>'MATRIZ PLURIANUAL (2)'!L90</f>
        <v>35296239419.780327</v>
      </c>
      <c r="F88" s="1216">
        <f>'MATRIZ PLURIANUAL (2)'!U90</f>
        <v>10498105238.290001</v>
      </c>
      <c r="G88" s="1216">
        <f>'MATRIZ PLURIANUAL (2)'!AC90</f>
        <v>9141836959.5084</v>
      </c>
      <c r="H88" s="1216">
        <f>'MATRIZ PLURIANUAL (2)'!AK90</f>
        <v>8311282398.5599995</v>
      </c>
      <c r="I88" s="1218">
        <f>'MATRIZ PLURIANUAL (2)'!AS90</f>
        <v>7345014823.4219322</v>
      </c>
      <c r="J88" s="1137"/>
    </row>
    <row r="89" spans="1:10" s="1030" customFormat="1" ht="339" customHeight="1">
      <c r="A89" s="1134"/>
      <c r="B89" s="1547" t="s">
        <v>152</v>
      </c>
      <c r="C89" s="1545" t="s">
        <v>153</v>
      </c>
      <c r="D89" s="1155" t="s">
        <v>785</v>
      </c>
      <c r="E89" s="1511">
        <f>'MATRIZ PLURIANUAL (2)'!L91</f>
        <v>7970544851.2427483</v>
      </c>
      <c r="F89" s="1511">
        <f>'MATRIZ PLURIANUAL (2)'!U91</f>
        <v>404000000</v>
      </c>
      <c r="G89" s="1511">
        <f>'MATRIZ PLURIANUAL (2)'!AC91</f>
        <v>2576813969.6313</v>
      </c>
      <c r="H89" s="1511">
        <f>'MATRIZ PLURIANUAL (2)'!AK91</f>
        <v>2481578136.4199996</v>
      </c>
      <c r="I89" s="1515">
        <f>'MATRIZ PLURIANUAL (2)'!AS91</f>
        <v>2508152745.1914487</v>
      </c>
      <c r="J89" s="1135"/>
    </row>
    <row r="90" spans="1:10" s="1030" customFormat="1" ht="339" customHeight="1">
      <c r="A90" s="1134"/>
      <c r="B90" s="1548"/>
      <c r="C90" s="1550"/>
      <c r="D90" s="1155" t="s">
        <v>786</v>
      </c>
      <c r="E90" s="1513"/>
      <c r="F90" s="1513"/>
      <c r="G90" s="1513"/>
      <c r="H90" s="1513"/>
      <c r="I90" s="1516"/>
      <c r="J90" s="1135"/>
    </row>
    <row r="91" spans="1:10" s="1030" customFormat="1" ht="339" customHeight="1">
      <c r="A91" s="1134"/>
      <c r="B91" s="1548"/>
      <c r="C91" s="1546"/>
      <c r="D91" s="1155" t="s">
        <v>787</v>
      </c>
      <c r="E91" s="1513"/>
      <c r="F91" s="1513"/>
      <c r="G91" s="1513"/>
      <c r="H91" s="1513"/>
      <c r="I91" s="1516"/>
      <c r="J91" s="1135"/>
    </row>
    <row r="92" spans="1:10" s="1030" customFormat="1" ht="339" customHeight="1">
      <c r="A92" s="1134"/>
      <c r="B92" s="1548"/>
      <c r="C92" s="1545" t="s">
        <v>154</v>
      </c>
      <c r="D92" s="1155" t="s">
        <v>788</v>
      </c>
      <c r="E92" s="1511">
        <f>'MATRIZ PLURIANUAL (2)'!L96</f>
        <v>2992536470.2475829</v>
      </c>
      <c r="F92" s="1511">
        <f>'MATRIZ PLURIANUAL (2)'!U96</f>
        <v>550000000</v>
      </c>
      <c r="G92" s="1511">
        <f>'MATRIZ PLURIANUAL (2)'!AC96</f>
        <v>829622989.87709999</v>
      </c>
      <c r="H92" s="1511">
        <f>'MATRIZ PLURIANUAL (2)'!AK96</f>
        <v>800742262.13999999</v>
      </c>
      <c r="I92" s="1515">
        <f>'MATRIZ PLURIANUAL (2)'!AS96</f>
        <v>812171218.23048294</v>
      </c>
      <c r="J92" s="1135"/>
    </row>
    <row r="93" spans="1:10" s="1030" customFormat="1" ht="339" customHeight="1">
      <c r="A93" s="1134"/>
      <c r="B93" s="1548"/>
      <c r="C93" s="1550"/>
      <c r="D93" s="1155" t="s">
        <v>789</v>
      </c>
      <c r="E93" s="1513"/>
      <c r="F93" s="1513"/>
      <c r="G93" s="1513"/>
      <c r="H93" s="1513"/>
      <c r="I93" s="1516"/>
      <c r="J93" s="1135"/>
    </row>
    <row r="94" spans="1:10" s="1030" customFormat="1" ht="339" customHeight="1">
      <c r="A94" s="1134"/>
      <c r="B94" s="1548"/>
      <c r="C94" s="1550"/>
      <c r="D94" s="1155" t="s">
        <v>790</v>
      </c>
      <c r="E94" s="1513"/>
      <c r="F94" s="1513"/>
      <c r="G94" s="1513"/>
      <c r="H94" s="1513"/>
      <c r="I94" s="1516"/>
      <c r="J94" s="1135"/>
    </row>
    <row r="95" spans="1:10" s="1030" customFormat="1" ht="339" customHeight="1">
      <c r="A95" s="1134"/>
      <c r="B95" s="1548"/>
      <c r="C95" s="1550"/>
      <c r="D95" s="1155" t="s">
        <v>791</v>
      </c>
      <c r="E95" s="1513"/>
      <c r="F95" s="1513"/>
      <c r="G95" s="1513"/>
      <c r="H95" s="1513"/>
      <c r="I95" s="1516"/>
      <c r="J95" s="1135"/>
    </row>
    <row r="96" spans="1:10" s="1030" customFormat="1" ht="339" customHeight="1">
      <c r="A96" s="1134"/>
      <c r="B96" s="1548"/>
      <c r="C96" s="1546"/>
      <c r="D96" s="1155" t="s">
        <v>792</v>
      </c>
      <c r="E96" s="1512"/>
      <c r="F96" s="1512"/>
      <c r="G96" s="1512"/>
      <c r="H96" s="1512"/>
      <c r="I96" s="1517"/>
      <c r="J96" s="1135"/>
    </row>
    <row r="97" spans="1:10" s="1030" customFormat="1" ht="339" customHeight="1">
      <c r="A97" s="1134"/>
      <c r="B97" s="1549"/>
      <c r="C97" s="1166" t="s">
        <v>155</v>
      </c>
      <c r="D97" s="1155" t="s">
        <v>793</v>
      </c>
      <c r="E97" s="1297">
        <f>'MATRIZ PLURIANUAL (2)'!L100</f>
        <v>24333158098.290001</v>
      </c>
      <c r="F97" s="1297">
        <f>'MATRIZ PLURIANUAL (2)'!U100</f>
        <v>9544105238.2900009</v>
      </c>
      <c r="G97" s="1297">
        <f>'MATRIZ PLURIANUAL (2)'!AC100</f>
        <v>5735400000</v>
      </c>
      <c r="H97" s="1297">
        <f>'MATRIZ PLURIANUAL (2)'!AK100</f>
        <v>5028962000</v>
      </c>
      <c r="I97" s="1298">
        <f>'MATRIZ PLURIANUAL (2)'!AS100</f>
        <v>4024690860</v>
      </c>
      <c r="J97" s="1135"/>
    </row>
    <row r="98" spans="1:10" s="1031" customFormat="1" ht="183" customHeight="1">
      <c r="A98" s="1136"/>
      <c r="B98" s="1173" t="s">
        <v>633</v>
      </c>
      <c r="C98" s="1174"/>
      <c r="D98" s="1175"/>
      <c r="E98" s="1222">
        <f>'MATRIZ PLURIANUAL (2)'!L107</f>
        <v>12901618356.290333</v>
      </c>
      <c r="F98" s="1222">
        <f>'MATRIZ PLURIANUAL (2)'!U107</f>
        <v>2514331606.2200003</v>
      </c>
      <c r="G98" s="1222">
        <f>'MATRIZ PLURIANUAL (2)'!AC107</f>
        <v>3516741159.5084</v>
      </c>
      <c r="H98" s="1222">
        <f>'MATRIZ PLURIANUAL (2)'!AK107</f>
        <v>3408669492.5599999</v>
      </c>
      <c r="I98" s="1224">
        <f>'MATRIZ PLURIANUAL (2)'!AS107</f>
        <v>3461876098.0019317</v>
      </c>
      <c r="J98" s="1137"/>
    </row>
    <row r="99" spans="1:10" s="1030" customFormat="1" ht="321" customHeight="1">
      <c r="A99" s="1134"/>
      <c r="B99" s="1547" t="s">
        <v>156</v>
      </c>
      <c r="C99" s="1545" t="s">
        <v>912</v>
      </c>
      <c r="D99" s="1155" t="s">
        <v>794</v>
      </c>
      <c r="E99" s="1511">
        <f>'MATRIZ PLURIANUAL (2)'!L108</f>
        <v>12901618356.290333</v>
      </c>
      <c r="F99" s="1511">
        <f>'MATRIZ PLURIANUAL (2)'!U108</f>
        <v>2514331606.2200003</v>
      </c>
      <c r="G99" s="1511">
        <f>'MATRIZ PLURIANUAL (2)'!AC108</f>
        <v>3516741159.5084</v>
      </c>
      <c r="H99" s="1511">
        <f>'MATRIZ PLURIANUAL (2)'!AK108</f>
        <v>3408669492.5599999</v>
      </c>
      <c r="I99" s="1515">
        <f>'MATRIZ PLURIANUAL (2)'!AS108</f>
        <v>3461876098.0019317</v>
      </c>
      <c r="J99" s="1135"/>
    </row>
    <row r="100" spans="1:10" s="1030" customFormat="1" ht="321" customHeight="1">
      <c r="A100" s="1134"/>
      <c r="B100" s="1548"/>
      <c r="C100" s="1550"/>
      <c r="D100" s="1155" t="s">
        <v>795</v>
      </c>
      <c r="E100" s="1513"/>
      <c r="F100" s="1513"/>
      <c r="G100" s="1513"/>
      <c r="H100" s="1513"/>
      <c r="I100" s="1516"/>
      <c r="J100" s="1135"/>
    </row>
    <row r="101" spans="1:10" s="1030" customFormat="1" ht="321" customHeight="1">
      <c r="A101" s="1134"/>
      <c r="B101" s="1548"/>
      <c r="C101" s="1550"/>
      <c r="D101" s="1155" t="s">
        <v>796</v>
      </c>
      <c r="E101" s="1513"/>
      <c r="F101" s="1513"/>
      <c r="G101" s="1513"/>
      <c r="H101" s="1513"/>
      <c r="I101" s="1516"/>
      <c r="J101" s="1135"/>
    </row>
    <row r="102" spans="1:10" s="1030" customFormat="1" ht="321" customHeight="1">
      <c r="A102" s="1134"/>
      <c r="B102" s="1548"/>
      <c r="C102" s="1550"/>
      <c r="D102" s="1155" t="s">
        <v>797</v>
      </c>
      <c r="E102" s="1513"/>
      <c r="F102" s="1513"/>
      <c r="G102" s="1513"/>
      <c r="H102" s="1513"/>
      <c r="I102" s="1516"/>
      <c r="J102" s="1135"/>
    </row>
    <row r="103" spans="1:10" s="1030" customFormat="1" ht="321" customHeight="1">
      <c r="A103" s="1134"/>
      <c r="B103" s="1548"/>
      <c r="C103" s="1550"/>
      <c r="D103" s="1155" t="s">
        <v>798</v>
      </c>
      <c r="E103" s="1513"/>
      <c r="F103" s="1513"/>
      <c r="G103" s="1513"/>
      <c r="H103" s="1513"/>
      <c r="I103" s="1516"/>
      <c r="J103" s="1135"/>
    </row>
    <row r="104" spans="1:10" s="1030" customFormat="1" ht="321" customHeight="1">
      <c r="A104" s="1134"/>
      <c r="B104" s="1548"/>
      <c r="C104" s="1550"/>
      <c r="D104" s="1155" t="s">
        <v>799</v>
      </c>
      <c r="E104" s="1513"/>
      <c r="F104" s="1513"/>
      <c r="G104" s="1513"/>
      <c r="H104" s="1513"/>
      <c r="I104" s="1516"/>
      <c r="J104" s="1135"/>
    </row>
    <row r="105" spans="1:10" s="1030" customFormat="1" ht="321" customHeight="1" thickBot="1">
      <c r="A105" s="1134"/>
      <c r="B105" s="1552"/>
      <c r="C105" s="1551"/>
      <c r="D105" s="1176" t="s">
        <v>800</v>
      </c>
      <c r="E105" s="1514"/>
      <c r="F105" s="1514"/>
      <c r="G105" s="1514"/>
      <c r="H105" s="1514"/>
      <c r="I105" s="1534"/>
      <c r="J105" s="1135"/>
    </row>
    <row r="106" spans="1:10" s="831" customFormat="1" ht="1.5" hidden="1" customHeight="1">
      <c r="A106" s="1130"/>
      <c r="B106" s="1053"/>
      <c r="C106" s="1050"/>
      <c r="D106" s="1050"/>
      <c r="E106" s="1051"/>
      <c r="F106" s="1051"/>
      <c r="G106" s="1051"/>
      <c r="H106" s="1051"/>
      <c r="I106" s="1052"/>
      <c r="J106" s="1131"/>
    </row>
    <row r="107" spans="1:10">
      <c r="A107" s="1128"/>
      <c r="B107" s="1069"/>
      <c r="C107" s="1054"/>
      <c r="D107" s="1054"/>
      <c r="E107" s="942"/>
      <c r="F107" s="942"/>
      <c r="G107" s="942"/>
      <c r="H107" s="942"/>
      <c r="I107" s="1055"/>
      <c r="J107" s="1129"/>
    </row>
    <row r="108" spans="1:10">
      <c r="A108" s="1128"/>
      <c r="B108" s="1069"/>
      <c r="C108" s="1054"/>
      <c r="D108" s="1054"/>
      <c r="E108" s="942"/>
      <c r="F108" s="942"/>
      <c r="G108" s="942"/>
      <c r="H108" s="942"/>
      <c r="I108" s="1055"/>
      <c r="J108" s="1129"/>
    </row>
    <row r="109" spans="1:10">
      <c r="A109" s="1128"/>
      <c r="B109" s="1069"/>
      <c r="C109" s="1054"/>
      <c r="D109" s="1054"/>
      <c r="E109" s="942"/>
      <c r="F109" s="942"/>
      <c r="G109" s="942"/>
      <c r="H109" s="942"/>
      <c r="I109" s="1055"/>
      <c r="J109" s="1129"/>
    </row>
    <row r="110" spans="1:10" ht="61.8">
      <c r="A110" s="1128"/>
      <c r="B110" s="1056"/>
      <c r="C110" s="1054"/>
      <c r="D110" s="1054"/>
      <c r="E110" s="942"/>
      <c r="F110" s="942"/>
      <c r="G110" s="942"/>
      <c r="H110" s="942"/>
      <c r="I110" s="1055"/>
      <c r="J110" s="1129"/>
    </row>
    <row r="111" spans="1:10" ht="61.8">
      <c r="A111" s="1128"/>
      <c r="B111" s="1056"/>
      <c r="C111" s="1054"/>
      <c r="D111" s="1054"/>
      <c r="E111" s="942"/>
      <c r="F111" s="942"/>
      <c r="G111" s="942"/>
      <c r="H111" s="942"/>
      <c r="I111" s="1055"/>
      <c r="J111" s="1129"/>
    </row>
    <row r="112" spans="1:10" ht="63">
      <c r="A112" s="1128"/>
      <c r="B112" s="1047" t="s">
        <v>846</v>
      </c>
      <c r="C112" s="1054"/>
      <c r="D112" s="1054"/>
      <c r="E112" s="942"/>
      <c r="F112" s="942"/>
      <c r="G112" s="942"/>
      <c r="H112" s="942"/>
      <c r="I112" s="1055"/>
      <c r="J112" s="1129"/>
    </row>
    <row r="113" spans="1:10" ht="63">
      <c r="A113" s="1128"/>
      <c r="B113" s="1047" t="s">
        <v>852</v>
      </c>
      <c r="C113" s="1054"/>
      <c r="D113" s="1054"/>
      <c r="E113" s="942"/>
      <c r="F113" s="942"/>
      <c r="G113" s="942"/>
      <c r="H113" s="942"/>
      <c r="I113" s="1055"/>
      <c r="J113" s="1129"/>
    </row>
    <row r="114" spans="1:10" ht="62.4">
      <c r="A114" s="1128"/>
      <c r="B114" s="1048" t="s">
        <v>858</v>
      </c>
      <c r="C114" s="1054"/>
      <c r="D114" s="1054"/>
      <c r="E114" s="942"/>
      <c r="F114" s="942"/>
      <c r="G114" s="942"/>
      <c r="H114" s="942"/>
      <c r="I114" s="1055"/>
      <c r="J114" s="1129"/>
    </row>
    <row r="115" spans="1:10" ht="62.4">
      <c r="A115" s="1128"/>
      <c r="B115" s="1048" t="s">
        <v>859</v>
      </c>
      <c r="C115" s="1054"/>
      <c r="D115" s="1054"/>
      <c r="E115" s="942"/>
      <c r="F115" s="942"/>
      <c r="G115" s="942"/>
      <c r="H115" s="942"/>
      <c r="I115" s="1055"/>
      <c r="J115" s="1129"/>
    </row>
    <row r="116" spans="1:10" ht="62.4">
      <c r="A116" s="1128"/>
      <c r="B116" s="1048" t="s">
        <v>860</v>
      </c>
      <c r="C116" s="1054"/>
      <c r="D116" s="1054"/>
      <c r="E116" s="942"/>
      <c r="F116" s="942"/>
      <c r="G116" s="942"/>
      <c r="H116" s="942"/>
      <c r="I116" s="1055"/>
      <c r="J116" s="1129"/>
    </row>
    <row r="117" spans="1:10" ht="62.4">
      <c r="A117" s="1128"/>
      <c r="B117" s="1048" t="s">
        <v>861</v>
      </c>
      <c r="C117" s="1054"/>
      <c r="D117" s="1054"/>
      <c r="E117" s="942"/>
      <c r="F117" s="942"/>
      <c r="G117" s="942"/>
      <c r="H117" s="942"/>
      <c r="I117" s="1055"/>
      <c r="J117" s="1129"/>
    </row>
    <row r="118" spans="1:10" ht="62.4">
      <c r="A118" s="1128"/>
      <c r="B118" s="1048" t="s">
        <v>862</v>
      </c>
      <c r="C118" s="1054"/>
      <c r="D118" s="1054"/>
      <c r="E118" s="942"/>
      <c r="F118" s="942"/>
      <c r="G118" s="942"/>
      <c r="H118" s="942"/>
      <c r="I118" s="1055"/>
      <c r="J118" s="1129"/>
    </row>
    <row r="119" spans="1:10" ht="62.4">
      <c r="A119" s="1128"/>
      <c r="B119" s="1059"/>
      <c r="C119" s="1054"/>
      <c r="D119" s="1054"/>
      <c r="E119" s="942"/>
      <c r="F119" s="942"/>
      <c r="G119" s="942"/>
      <c r="H119" s="942"/>
      <c r="I119" s="1055"/>
      <c r="J119" s="1129"/>
    </row>
    <row r="120" spans="1:10" ht="62.4">
      <c r="A120" s="1134"/>
      <c r="B120" s="1049" t="s">
        <v>885</v>
      </c>
      <c r="C120" s="1054"/>
      <c r="D120" s="1054"/>
      <c r="E120" s="942"/>
      <c r="F120" s="942"/>
      <c r="G120" s="942"/>
      <c r="H120" s="942"/>
      <c r="I120" s="1055"/>
      <c r="J120" s="1129"/>
    </row>
    <row r="121" spans="1:10" ht="62.4">
      <c r="A121" s="1134"/>
      <c r="B121" s="1049" t="s">
        <v>893</v>
      </c>
      <c r="C121" s="1054"/>
      <c r="D121" s="1054"/>
      <c r="E121" s="942"/>
      <c r="F121" s="942"/>
      <c r="G121" s="942"/>
      <c r="H121" s="942"/>
      <c r="I121" s="1055"/>
      <c r="J121" s="1129"/>
    </row>
    <row r="122" spans="1:10" ht="62.4">
      <c r="A122" s="1134"/>
      <c r="B122" s="1049" t="s">
        <v>894</v>
      </c>
      <c r="C122" s="1054"/>
      <c r="D122" s="1054"/>
      <c r="E122" s="942"/>
      <c r="F122" s="942"/>
      <c r="G122" s="942"/>
      <c r="H122" s="942"/>
      <c r="I122" s="1055"/>
      <c r="J122" s="1129"/>
    </row>
    <row r="123" spans="1:10" ht="62.4">
      <c r="A123" s="1134"/>
      <c r="B123" s="1049" t="s">
        <v>886</v>
      </c>
      <c r="C123" s="1054"/>
      <c r="D123" s="1054"/>
      <c r="E123" s="942"/>
      <c r="F123" s="942"/>
      <c r="G123" s="942"/>
      <c r="H123" s="942"/>
      <c r="I123" s="1055"/>
      <c r="J123" s="1129"/>
    </row>
    <row r="124" spans="1:10" ht="62.4">
      <c r="A124" s="1134"/>
      <c r="B124" s="1049" t="s">
        <v>887</v>
      </c>
      <c r="C124" s="1054"/>
      <c r="D124" s="1054"/>
      <c r="E124" s="942"/>
      <c r="F124" s="942"/>
      <c r="G124" s="942"/>
      <c r="H124" s="942"/>
      <c r="I124" s="1055"/>
      <c r="J124" s="1129"/>
    </row>
    <row r="125" spans="1:10" ht="62.4">
      <c r="A125" s="1134"/>
      <c r="B125" s="1071" t="s">
        <v>892</v>
      </c>
      <c r="C125" s="1054"/>
      <c r="D125" s="1054"/>
      <c r="E125" s="942"/>
      <c r="F125" s="942"/>
      <c r="G125" s="942"/>
      <c r="H125" s="942"/>
      <c r="I125" s="1055"/>
      <c r="J125" s="1129"/>
    </row>
    <row r="126" spans="1:10" ht="62.4">
      <c r="A126" s="1134"/>
      <c r="B126" s="1059"/>
      <c r="C126" s="1054"/>
      <c r="D126" s="1054"/>
      <c r="E126" s="942"/>
      <c r="F126" s="942"/>
      <c r="G126" s="942"/>
      <c r="H126" s="942"/>
      <c r="I126" s="1055"/>
      <c r="J126" s="1129"/>
    </row>
    <row r="127" spans="1:10" ht="62.4">
      <c r="A127" s="1134"/>
      <c r="B127" s="1059"/>
      <c r="C127" s="1054"/>
      <c r="D127" s="1054"/>
      <c r="E127" s="942"/>
      <c r="F127" s="942"/>
      <c r="G127" s="942"/>
      <c r="H127" s="942"/>
      <c r="I127" s="1055"/>
      <c r="J127" s="1129"/>
    </row>
    <row r="128" spans="1:10" ht="62.4">
      <c r="A128" s="1134"/>
      <c r="B128" s="1059"/>
      <c r="C128" s="1054"/>
      <c r="D128" s="1054"/>
      <c r="E128" s="942"/>
      <c r="F128" s="942"/>
      <c r="G128" s="942"/>
      <c r="H128" s="942"/>
      <c r="I128" s="1055"/>
      <c r="J128" s="1129"/>
    </row>
    <row r="129" spans="1:10" ht="61.8">
      <c r="A129" s="1134"/>
      <c r="B129" s="1543" t="s">
        <v>708</v>
      </c>
      <c r="C129" s="1543"/>
      <c r="D129" s="1543"/>
      <c r="E129" s="1543"/>
      <c r="F129" s="1543"/>
      <c r="G129" s="1543"/>
      <c r="H129" s="1543"/>
      <c r="I129" s="1543"/>
      <c r="J129" s="1129"/>
    </row>
    <row r="130" spans="1:10" ht="62.4">
      <c r="A130" s="1134"/>
      <c r="B130" s="1059"/>
      <c r="C130" s="1054"/>
      <c r="D130" s="1054"/>
      <c r="E130" s="942"/>
      <c r="F130" s="942"/>
      <c r="G130" s="942"/>
      <c r="H130" s="942"/>
      <c r="I130" s="1055"/>
      <c r="J130" s="1129"/>
    </row>
    <row r="131" spans="1:10" ht="63" thickBot="1">
      <c r="A131" s="1138"/>
      <c r="B131" s="1139"/>
      <c r="C131" s="1140"/>
      <c r="D131" s="1140"/>
      <c r="E131" s="1141"/>
      <c r="F131" s="1141"/>
      <c r="G131" s="1141"/>
      <c r="H131" s="1141"/>
      <c r="I131" s="1143"/>
      <c r="J131" s="1144"/>
    </row>
    <row r="132" spans="1:10" ht="62.4">
      <c r="A132" s="1030"/>
      <c r="B132" s="1057"/>
    </row>
    <row r="133" spans="1:10">
      <c r="B133" s="1058"/>
    </row>
    <row r="134" spans="1:10">
      <c r="B134" s="1058"/>
    </row>
    <row r="135" spans="1:10">
      <c r="B135" s="1058"/>
    </row>
  </sheetData>
  <autoFilter ref="B9:I9"/>
  <mergeCells count="134">
    <mergeCell ref="D7:E7"/>
    <mergeCell ref="F7:I7"/>
    <mergeCell ref="I99:I105"/>
    <mergeCell ref="B129:I129"/>
    <mergeCell ref="H99:H105"/>
    <mergeCell ref="G99:G105"/>
    <mergeCell ref="F99:F105"/>
    <mergeCell ref="E99:E105"/>
    <mergeCell ref="I92:I96"/>
    <mergeCell ref="B99:B105"/>
    <mergeCell ref="C99:C105"/>
    <mergeCell ref="H92:H96"/>
    <mergeCell ref="G92:G96"/>
    <mergeCell ref="F92:F96"/>
    <mergeCell ref="E92:E96"/>
    <mergeCell ref="C92:C96"/>
    <mergeCell ref="I89:I91"/>
    <mergeCell ref="H89:H91"/>
    <mergeCell ref="G89:G91"/>
    <mergeCell ref="F89:F91"/>
    <mergeCell ref="E89:E91"/>
    <mergeCell ref="I86:I87"/>
    <mergeCell ref="B89:B97"/>
    <mergeCell ref="C89:C91"/>
    <mergeCell ref="I81:I82"/>
    <mergeCell ref="C84:C85"/>
    <mergeCell ref="H81:H82"/>
    <mergeCell ref="G81:G82"/>
    <mergeCell ref="F81:F82"/>
    <mergeCell ref="E81:E82"/>
    <mergeCell ref="I66:I77"/>
    <mergeCell ref="B81:B87"/>
    <mergeCell ref="C81:C82"/>
    <mergeCell ref="H66:H77"/>
    <mergeCell ref="G66:G77"/>
    <mergeCell ref="F66:F77"/>
    <mergeCell ref="H86:H87"/>
    <mergeCell ref="G86:G87"/>
    <mergeCell ref="F86:F87"/>
    <mergeCell ref="E86:E87"/>
    <mergeCell ref="I84:I85"/>
    <mergeCell ref="C86:C87"/>
    <mergeCell ref="H84:H85"/>
    <mergeCell ref="G84:G85"/>
    <mergeCell ref="F84:F85"/>
    <mergeCell ref="E84:E85"/>
    <mergeCell ref="F47:F48"/>
    <mergeCell ref="E47:E48"/>
    <mergeCell ref="I57:I65"/>
    <mergeCell ref="C66:C77"/>
    <mergeCell ref="E66:E77"/>
    <mergeCell ref="H57:H65"/>
    <mergeCell ref="G57:G65"/>
    <mergeCell ref="F57:F65"/>
    <mergeCell ref="E57:E65"/>
    <mergeCell ref="I52:I53"/>
    <mergeCell ref="C57:C65"/>
    <mergeCell ref="H52:H53"/>
    <mergeCell ref="G52:G53"/>
    <mergeCell ref="F52:F53"/>
    <mergeCell ref="I45:I46"/>
    <mergeCell ref="C47:C48"/>
    <mergeCell ref="H45:H46"/>
    <mergeCell ref="G45:G46"/>
    <mergeCell ref="F45:F46"/>
    <mergeCell ref="E45:E46"/>
    <mergeCell ref="I40:I43"/>
    <mergeCell ref="B45:B79"/>
    <mergeCell ref="C45:C46"/>
    <mergeCell ref="H40:H43"/>
    <mergeCell ref="G40:G43"/>
    <mergeCell ref="F40:F43"/>
    <mergeCell ref="E40:E43"/>
    <mergeCell ref="I49:I50"/>
    <mergeCell ref="C52:C53"/>
    <mergeCell ref="E52:E53"/>
    <mergeCell ref="H49:H50"/>
    <mergeCell ref="G49:G50"/>
    <mergeCell ref="F49:F50"/>
    <mergeCell ref="E49:E50"/>
    <mergeCell ref="C49:C50"/>
    <mergeCell ref="I47:I48"/>
    <mergeCell ref="H47:H48"/>
    <mergeCell ref="G47:G48"/>
    <mergeCell ref="B40:B43"/>
    <mergeCell ref="C40:C43"/>
    <mergeCell ref="H36:H38"/>
    <mergeCell ref="G36:G38"/>
    <mergeCell ref="F36:F38"/>
    <mergeCell ref="E36:E38"/>
    <mergeCell ref="C36:C38"/>
    <mergeCell ref="I31:I35"/>
    <mergeCell ref="H31:H35"/>
    <mergeCell ref="G31:G35"/>
    <mergeCell ref="F31:F35"/>
    <mergeCell ref="E31:E35"/>
    <mergeCell ref="I25:I30"/>
    <mergeCell ref="C31:C35"/>
    <mergeCell ref="H25:H30"/>
    <mergeCell ref="G25:G30"/>
    <mergeCell ref="F25:F30"/>
    <mergeCell ref="E25:E30"/>
    <mergeCell ref="I19:I23"/>
    <mergeCell ref="B25:B38"/>
    <mergeCell ref="C25:C30"/>
    <mergeCell ref="H19:H23"/>
    <mergeCell ref="G19:G23"/>
    <mergeCell ref="F19:F23"/>
    <mergeCell ref="E19:E23"/>
    <mergeCell ref="I36:I38"/>
    <mergeCell ref="I12:I14"/>
    <mergeCell ref="C15:C16"/>
    <mergeCell ref="H12:H14"/>
    <mergeCell ref="G12:G14"/>
    <mergeCell ref="F12:F14"/>
    <mergeCell ref="E12:E14"/>
    <mergeCell ref="B12:B23"/>
    <mergeCell ref="C12:C14"/>
    <mergeCell ref="C2:I2"/>
    <mergeCell ref="B4:D5"/>
    <mergeCell ref="E4:I5"/>
    <mergeCell ref="I17:I18"/>
    <mergeCell ref="C19:C23"/>
    <mergeCell ref="H17:H18"/>
    <mergeCell ref="G17:G18"/>
    <mergeCell ref="F17:F18"/>
    <mergeCell ref="E17:E18"/>
    <mergeCell ref="I15:I16"/>
    <mergeCell ref="C17:C18"/>
    <mergeCell ref="H15:H16"/>
    <mergeCell ref="G15:G16"/>
    <mergeCell ref="F15:F16"/>
    <mergeCell ref="E15:E16"/>
    <mergeCell ref="B7:C7"/>
  </mergeCells>
  <pageMargins left="0.70866141732283472" right="0.70866141732283472" top="0.74803149606299213" bottom="0.74803149606299213" header="0.31496062992125984" footer="0.31496062992125984"/>
  <pageSetup paperSize="281" scale="10" orientation="landscape" r:id="rId1"/>
  <rowBreaks count="4" manualBreakCount="4">
    <brk id="24" max="46" man="1"/>
    <brk id="46" max="46" man="1"/>
    <brk id="67" max="46" man="1"/>
    <brk id="86" max="4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
  <sheetViews>
    <sheetView topLeftCell="E6" zoomScale="20" zoomScaleNormal="20" zoomScaleSheetLayoutView="10" zoomScalePageLayoutView="75" workbookViewId="0">
      <selection activeCell="H18" sqref="H18"/>
    </sheetView>
  </sheetViews>
  <sheetFormatPr baseColWidth="10" defaultColWidth="11.6640625" defaultRowHeight="25.2"/>
  <cols>
    <col min="1" max="1" width="11.6640625" style="743"/>
    <col min="2" max="2" width="208.109375" style="739" customWidth="1"/>
    <col min="3" max="3" width="182.109375" style="740" customWidth="1"/>
    <col min="4" max="4" width="105.6640625" style="1307" customWidth="1"/>
    <col min="5" max="5" width="106.44140625" style="741" customWidth="1"/>
    <col min="6" max="6" width="107.88671875" style="1308" customWidth="1"/>
    <col min="7" max="9" width="108" style="741" customWidth="1"/>
    <col min="10" max="10" width="108" style="1309" customWidth="1"/>
    <col min="11" max="11" width="108" style="741" customWidth="1"/>
    <col min="12" max="12" width="108" style="1309" customWidth="1"/>
    <col min="13" max="15" width="108" style="741" customWidth="1"/>
    <col min="16" max="16" width="108" style="742" customWidth="1"/>
    <col min="17" max="16384" width="11.6640625" style="743"/>
  </cols>
  <sheetData>
    <row r="1" spans="1:17" ht="25.8" hidden="1" thickBot="1"/>
    <row r="2" spans="1:17" ht="26.7" hidden="1" customHeight="1" thickBot="1">
      <c r="B2" s="744"/>
      <c r="C2" s="1526" t="s">
        <v>161</v>
      </c>
      <c r="D2" s="1527"/>
      <c r="E2" s="1527"/>
      <c r="F2" s="1527"/>
      <c r="G2" s="1527"/>
      <c r="H2" s="1527"/>
      <c r="I2" s="1527"/>
      <c r="J2" s="1527"/>
      <c r="K2" s="1527"/>
      <c r="L2" s="1527"/>
      <c r="M2" s="1527"/>
      <c r="N2" s="1527"/>
      <c r="O2" s="1527"/>
      <c r="P2" s="1527"/>
    </row>
    <row r="3" spans="1:17" ht="62.4" customHeight="1">
      <c r="A3" s="1123"/>
      <c r="B3" s="1124"/>
      <c r="C3" s="1125"/>
      <c r="D3" s="1310"/>
      <c r="E3" s="1125"/>
      <c r="F3" s="1310"/>
      <c r="G3" s="1125"/>
      <c r="H3" s="1125"/>
      <c r="I3" s="1125"/>
      <c r="J3" s="1311"/>
      <c r="K3" s="1125"/>
      <c r="L3" s="1311"/>
      <c r="M3" s="1125"/>
      <c r="N3" s="1125"/>
      <c r="O3" s="1125"/>
      <c r="P3" s="1125"/>
      <c r="Q3" s="1127"/>
    </row>
    <row r="4" spans="1:17" ht="323.25" customHeight="1">
      <c r="A4" s="1128"/>
      <c r="B4" s="1561"/>
      <c r="C4" s="1562"/>
      <c r="D4" s="1563"/>
      <c r="E4" s="1557" t="s">
        <v>914</v>
      </c>
      <c r="F4" s="1557"/>
      <c r="G4" s="1557"/>
      <c r="H4" s="1557"/>
      <c r="I4" s="1558"/>
      <c r="J4" s="1558"/>
      <c r="K4" s="1558"/>
      <c r="L4" s="1558"/>
      <c r="M4" s="1558"/>
      <c r="N4" s="1558"/>
      <c r="O4" s="1558"/>
      <c r="P4" s="1558"/>
      <c r="Q4" s="1129"/>
    </row>
    <row r="5" spans="1:17" ht="409.6" customHeight="1">
      <c r="A5" s="1128"/>
      <c r="B5" s="1564"/>
      <c r="C5" s="1565"/>
      <c r="D5" s="1566"/>
      <c r="E5" s="1558"/>
      <c r="F5" s="1558"/>
      <c r="G5" s="1558"/>
      <c r="H5" s="1558"/>
      <c r="I5" s="1558"/>
      <c r="J5" s="1558"/>
      <c r="K5" s="1558"/>
      <c r="L5" s="1558"/>
      <c r="M5" s="1558"/>
      <c r="N5" s="1558"/>
      <c r="O5" s="1558"/>
      <c r="P5" s="1558"/>
      <c r="Q5" s="1129"/>
    </row>
    <row r="6" spans="1:17" ht="70.2" customHeight="1">
      <c r="A6" s="1128"/>
      <c r="B6" s="745"/>
      <c r="C6" s="746"/>
      <c r="D6" s="1312"/>
      <c r="E6" s="747"/>
      <c r="F6" s="1313"/>
      <c r="G6" s="747"/>
      <c r="H6" s="747"/>
      <c r="I6" s="748"/>
      <c r="J6" s="1314"/>
      <c r="K6" s="748"/>
      <c r="L6" s="1314"/>
      <c r="M6" s="748"/>
      <c r="N6" s="748"/>
      <c r="O6" s="748"/>
      <c r="P6" s="748"/>
      <c r="Q6" s="1129"/>
    </row>
    <row r="7" spans="1:17" s="891" customFormat="1" ht="67.2" customHeight="1">
      <c r="A7" s="1145"/>
      <c r="B7" s="1559" t="s">
        <v>891</v>
      </c>
      <c r="C7" s="1559"/>
      <c r="D7" s="1567" t="s">
        <v>704</v>
      </c>
      <c r="E7" s="1568"/>
      <c r="F7" s="1568"/>
      <c r="G7" s="1568"/>
      <c r="H7" s="1569"/>
      <c r="I7" s="1560" t="s">
        <v>808</v>
      </c>
      <c r="J7" s="1560"/>
      <c r="K7" s="1560"/>
      <c r="L7" s="1560"/>
      <c r="M7" s="1560"/>
      <c r="N7" s="1560"/>
      <c r="O7" s="1560"/>
      <c r="P7" s="1560"/>
      <c r="Q7" s="1146"/>
    </row>
    <row r="8" spans="1:17" s="749" customFormat="1" ht="67.2" customHeight="1" thickBot="1">
      <c r="A8" s="1128"/>
      <c r="B8" s="746"/>
      <c r="C8" s="746"/>
      <c r="D8" s="1312"/>
      <c r="E8" s="746"/>
      <c r="F8" s="1312"/>
      <c r="G8" s="746"/>
      <c r="H8" s="746"/>
      <c r="I8" s="822"/>
      <c r="J8" s="1315"/>
      <c r="K8" s="822"/>
      <c r="L8" s="1315"/>
      <c r="M8" s="822"/>
      <c r="N8" s="822"/>
      <c r="O8" s="746"/>
      <c r="P8" s="746"/>
      <c r="Q8" s="1129"/>
    </row>
    <row r="9" spans="1:17" s="825" customFormat="1" ht="264" customHeight="1">
      <c r="A9" s="1147"/>
      <c r="B9" s="1316" t="s">
        <v>710</v>
      </c>
      <c r="C9" s="1041" t="s">
        <v>711</v>
      </c>
      <c r="D9" s="1317" t="s">
        <v>1002</v>
      </c>
      <c r="E9" s="1041" t="s">
        <v>1003</v>
      </c>
      <c r="F9" s="1317" t="s">
        <v>1004</v>
      </c>
      <c r="G9" s="1041" t="s">
        <v>1005</v>
      </c>
      <c r="H9" s="1041" t="s">
        <v>991</v>
      </c>
      <c r="I9" s="1041" t="s">
        <v>1006</v>
      </c>
      <c r="J9" s="1318" t="s">
        <v>1007</v>
      </c>
      <c r="K9" s="1041" t="s">
        <v>1008</v>
      </c>
      <c r="L9" s="1318" t="s">
        <v>1009</v>
      </c>
      <c r="M9" s="1041" t="s">
        <v>991</v>
      </c>
      <c r="N9" s="1041" t="s">
        <v>602</v>
      </c>
      <c r="O9" s="1041" t="s">
        <v>603</v>
      </c>
      <c r="P9" s="1319" t="s">
        <v>604</v>
      </c>
      <c r="Q9" s="1148"/>
    </row>
    <row r="10" spans="1:17" s="828" customFormat="1" ht="99" customHeight="1">
      <c r="A10" s="1147"/>
      <c r="B10" s="826" t="s">
        <v>599</v>
      </c>
      <c r="C10" s="827"/>
      <c r="D10" s="1320"/>
      <c r="E10" s="1321">
        <v>1221561100379.9019</v>
      </c>
      <c r="F10" s="1320"/>
      <c r="G10" s="1321">
        <v>1235196465901.9119</v>
      </c>
      <c r="H10" s="1321">
        <f>G10-E10</f>
        <v>13635365522.01001</v>
      </c>
      <c r="I10" s="1321">
        <v>320415868644.31006</v>
      </c>
      <c r="J10" s="1322">
        <v>320415868644.31006</v>
      </c>
      <c r="K10" s="1321">
        <v>334051234166.32001</v>
      </c>
      <c r="L10" s="1322">
        <v>334051310652.56006</v>
      </c>
      <c r="M10" s="1321">
        <f>K10-I10</f>
        <v>13635365522.009949</v>
      </c>
      <c r="N10" s="1321">
        <v>303754687388.12201</v>
      </c>
      <c r="O10" s="1321">
        <v>301384094965.31689</v>
      </c>
      <c r="P10" s="1323">
        <v>296006449382.15302</v>
      </c>
      <c r="Q10" s="1148"/>
    </row>
    <row r="11" spans="1:17" s="828" customFormat="1" ht="111" customHeight="1">
      <c r="A11" s="1147"/>
      <c r="B11" s="951" t="s">
        <v>627</v>
      </c>
      <c r="C11" s="952"/>
      <c r="D11" s="1324">
        <f>E11/$E$10</f>
        <v>3.1458391576423932E-2</v>
      </c>
      <c r="E11" s="1325">
        <v>38428347430.278252</v>
      </c>
      <c r="F11" s="1324">
        <f>G11/$G$10</f>
        <v>2.9793565975738994E-2</v>
      </c>
      <c r="G11" s="1325">
        <v>36800907399.848251</v>
      </c>
      <c r="H11" s="1325">
        <f t="shared" ref="H11:H45" si="0">G11-E11</f>
        <v>-1627440030.4300003</v>
      </c>
      <c r="I11" s="1325">
        <v>7783165308.0500002</v>
      </c>
      <c r="J11" s="1326">
        <f>I11/$I$10</f>
        <v>2.4290823488177491E-2</v>
      </c>
      <c r="K11" s="1325">
        <v>6155725277.6199999</v>
      </c>
      <c r="L11" s="1326">
        <f>K11/$K$10</f>
        <v>1.8427488504817617E-2</v>
      </c>
      <c r="M11" s="1325">
        <f t="shared" ref="M11:M45" si="1">K11-I11</f>
        <v>-1627440030.4300003</v>
      </c>
      <c r="N11" s="1325">
        <v>10653706908.8939</v>
      </c>
      <c r="O11" s="1325">
        <v>10083943359.26</v>
      </c>
      <c r="P11" s="1327">
        <v>9907531854.0743465</v>
      </c>
      <c r="Q11" s="1148"/>
    </row>
    <row r="12" spans="1:17" s="831" customFormat="1" ht="147" customHeight="1">
      <c r="A12" s="1130"/>
      <c r="B12" s="1572" t="s">
        <v>123</v>
      </c>
      <c r="C12" s="1301" t="s">
        <v>124</v>
      </c>
      <c r="D12" s="1328">
        <f>E12/$E$10</f>
        <v>9.1441565039329185E-3</v>
      </c>
      <c r="E12" s="1329">
        <v>11170145880.990332</v>
      </c>
      <c r="F12" s="1330">
        <f t="shared" ref="F12:F45" si="2">G12/$G$10</f>
        <v>8.7193788019189478E-3</v>
      </c>
      <c r="G12" s="1329">
        <v>10770145880.990332</v>
      </c>
      <c r="H12" s="1329">
        <f t="shared" si="0"/>
        <v>-400000000</v>
      </c>
      <c r="I12" s="1329">
        <v>1400000000</v>
      </c>
      <c r="J12" s="1331">
        <f t="shared" ref="J12:J45" si="3">I12/$I$10</f>
        <v>4.3693216753697174E-3</v>
      </c>
      <c r="K12" s="1329">
        <v>1000000000</v>
      </c>
      <c r="L12" s="1331">
        <f t="shared" ref="L12:L45" si="4">K12/$K$10</f>
        <v>2.993552777901465E-3</v>
      </c>
      <c r="M12" s="1329">
        <f t="shared" si="1"/>
        <v>-400000000</v>
      </c>
      <c r="N12" s="1329">
        <v>3318491959.5084</v>
      </c>
      <c r="O12" s="1329">
        <v>3202969048.5600004</v>
      </c>
      <c r="P12" s="1332">
        <v>3248684872.9219317</v>
      </c>
      <c r="Q12" s="1131"/>
    </row>
    <row r="13" spans="1:17" s="831" customFormat="1" ht="147" customHeight="1">
      <c r="A13" s="1130"/>
      <c r="B13" s="1573"/>
      <c r="C13" s="1301" t="s">
        <v>125</v>
      </c>
      <c r="D13" s="1328">
        <f t="shared" ref="D13:D45" si="5">E13/$E$10</f>
        <v>9.9916032740434927E-3</v>
      </c>
      <c r="E13" s="1329">
        <v>12205353890</v>
      </c>
      <c r="F13" s="1330">
        <f t="shared" si="2"/>
        <v>9.243937691549969E-3</v>
      </c>
      <c r="G13" s="1329">
        <v>11418079167.619999</v>
      </c>
      <c r="H13" s="1329">
        <f t="shared" si="0"/>
        <v>-787274722.38000107</v>
      </c>
      <c r="I13" s="1329">
        <v>3543000000</v>
      </c>
      <c r="J13" s="1331">
        <f t="shared" si="3"/>
        <v>1.105750478273922E-2</v>
      </c>
      <c r="K13" s="1329">
        <v>2755725277.6199999</v>
      </c>
      <c r="L13" s="1331">
        <f t="shared" si="4"/>
        <v>8.2494090599526358E-3</v>
      </c>
      <c r="M13" s="1329">
        <f t="shared" si="1"/>
        <v>-787274722.38000011</v>
      </c>
      <c r="N13" s="1329">
        <v>3187100000</v>
      </c>
      <c r="O13" s="1329">
        <v>2877263000</v>
      </c>
      <c r="P13" s="1332">
        <v>2597990890</v>
      </c>
      <c r="Q13" s="1131"/>
    </row>
    <row r="14" spans="1:17" s="831" customFormat="1" ht="147" customHeight="1">
      <c r="A14" s="1130"/>
      <c r="B14" s="1573"/>
      <c r="C14" s="1301" t="s">
        <v>126</v>
      </c>
      <c r="D14" s="1328">
        <f t="shared" si="5"/>
        <v>7.144635997354932E-3</v>
      </c>
      <c r="E14" s="1329">
        <v>8727609410.7427483</v>
      </c>
      <c r="F14" s="1330">
        <f t="shared" si="2"/>
        <v>6.7419310535851646E-3</v>
      </c>
      <c r="G14" s="1329">
        <v>8327609410.7427483</v>
      </c>
      <c r="H14" s="1329">
        <f t="shared" si="0"/>
        <v>-400000000</v>
      </c>
      <c r="I14" s="1329">
        <v>1400000000</v>
      </c>
      <c r="J14" s="1331">
        <f>I14/$I$10</f>
        <v>4.3693216753697174E-3</v>
      </c>
      <c r="K14" s="1329">
        <v>1000000000</v>
      </c>
      <c r="L14" s="1331">
        <f>K14/$K$10</f>
        <v>2.993552777901465E-3</v>
      </c>
      <c r="M14" s="1329">
        <f t="shared" si="1"/>
        <v>-400000000</v>
      </c>
      <c r="N14" s="1329">
        <v>2488868969.6313</v>
      </c>
      <c r="O14" s="1329">
        <v>2402226786.4199996</v>
      </c>
      <c r="P14" s="1332">
        <v>2436513654.6914487</v>
      </c>
      <c r="Q14" s="1131"/>
    </row>
    <row r="15" spans="1:17" s="831" customFormat="1" ht="201" customHeight="1">
      <c r="A15" s="1130"/>
      <c r="B15" s="1573"/>
      <c r="C15" s="1301" t="s">
        <v>127</v>
      </c>
      <c r="D15" s="1328">
        <f t="shared" si="5"/>
        <v>5.1779958010925832E-3</v>
      </c>
      <c r="E15" s="1329">
        <v>6325238248.545167</v>
      </c>
      <c r="F15" s="1330">
        <f t="shared" si="2"/>
        <v>5.0883184286849067E-3</v>
      </c>
      <c r="G15" s="1329">
        <v>6285072940.4951658</v>
      </c>
      <c r="H15" s="1329">
        <f t="shared" si="0"/>
        <v>-40165308.050001144</v>
      </c>
      <c r="I15" s="1329">
        <v>1440165308.05</v>
      </c>
      <c r="J15" s="1331">
        <f t="shared" si="3"/>
        <v>4.4946753546988363E-3</v>
      </c>
      <c r="K15" s="1329">
        <v>1400000000</v>
      </c>
      <c r="L15" s="1331">
        <f t="shared" si="4"/>
        <v>4.1909738890620512E-3</v>
      </c>
      <c r="M15" s="1329">
        <f t="shared" si="1"/>
        <v>-40165308.049999952</v>
      </c>
      <c r="N15" s="1329">
        <v>1659245979.7542</v>
      </c>
      <c r="O15" s="1329">
        <v>1601484524.2800002</v>
      </c>
      <c r="P15" s="1332">
        <v>1624342436.4609659</v>
      </c>
      <c r="Q15" s="1131"/>
    </row>
    <row r="16" spans="1:17" s="833" customFormat="1" ht="147" customHeight="1">
      <c r="A16" s="1149"/>
      <c r="B16" s="990" t="s">
        <v>628</v>
      </c>
      <c r="C16" s="991"/>
      <c r="D16" s="1333">
        <f t="shared" si="5"/>
        <v>3.8181775083119526E-2</v>
      </c>
      <c r="E16" s="1334">
        <v>46641371184.993408</v>
      </c>
      <c r="F16" s="1335">
        <f t="shared" si="2"/>
        <v>3.7770261448544513E-2</v>
      </c>
      <c r="G16" s="1334">
        <v>46653693457.433411</v>
      </c>
      <c r="H16" s="1334">
        <f t="shared" si="0"/>
        <v>12322272.440002441</v>
      </c>
      <c r="I16" s="1334">
        <v>15198145273.329998</v>
      </c>
      <c r="J16" s="1336">
        <f t="shared" si="3"/>
        <v>4.7432561120127552E-2</v>
      </c>
      <c r="K16" s="1334">
        <v>15210467545.769999</v>
      </c>
      <c r="L16" s="1336">
        <f t="shared" si="4"/>
        <v>4.5533337374819856E-2</v>
      </c>
      <c r="M16" s="1334">
        <f t="shared" si="1"/>
        <v>12322272.440000534</v>
      </c>
      <c r="N16" s="1334">
        <v>10633371488.6481</v>
      </c>
      <c r="O16" s="1334">
        <v>10332687813.540001</v>
      </c>
      <c r="P16" s="1337">
        <v>10477166609.475313</v>
      </c>
      <c r="Q16" s="1150"/>
    </row>
    <row r="17" spans="1:17" s="831" customFormat="1" ht="147" customHeight="1">
      <c r="A17" s="1130"/>
      <c r="B17" s="1572" t="s">
        <v>128</v>
      </c>
      <c r="C17" s="1301" t="s">
        <v>129</v>
      </c>
      <c r="D17" s="1328">
        <f t="shared" si="5"/>
        <v>1.3020838354349426E-2</v>
      </c>
      <c r="E17" s="1329">
        <v>15905749628.007915</v>
      </c>
      <c r="F17" s="1330">
        <f t="shared" si="2"/>
        <v>1.2877100985221736E-2</v>
      </c>
      <c r="G17" s="1329">
        <v>15905749628.007915</v>
      </c>
      <c r="H17" s="1329">
        <f t="shared" si="0"/>
        <v>0</v>
      </c>
      <c r="I17" s="1329">
        <v>3270000000</v>
      </c>
      <c r="J17" s="1331">
        <f t="shared" si="3"/>
        <v>1.0205487056042125E-2</v>
      </c>
      <c r="K17" s="1329">
        <v>3270000000</v>
      </c>
      <c r="L17" s="1331">
        <f t="shared" si="4"/>
        <v>9.7889175837377902E-3</v>
      </c>
      <c r="M17" s="1329">
        <f t="shared" si="1"/>
        <v>0</v>
      </c>
      <c r="N17" s="1329">
        <v>4295570249.3855</v>
      </c>
      <c r="O17" s="1329">
        <v>4144673269.7000003</v>
      </c>
      <c r="P17" s="1332">
        <v>4195506108.9224153</v>
      </c>
      <c r="Q17" s="1131"/>
    </row>
    <row r="18" spans="1:17" s="831" customFormat="1" ht="147" customHeight="1">
      <c r="A18" s="1130"/>
      <c r="B18" s="1573"/>
      <c r="C18" s="1301" t="s">
        <v>130</v>
      </c>
      <c r="D18" s="1328">
        <f t="shared" si="5"/>
        <v>9.2622254528357296E-3</v>
      </c>
      <c r="E18" s="1338">
        <v>11314374316.13275</v>
      </c>
      <c r="F18" s="1339">
        <f t="shared" si="2"/>
        <v>8.7845964073252243E-3</v>
      </c>
      <c r="G18" s="1338">
        <v>10850702436.702749</v>
      </c>
      <c r="H18" s="1338">
        <f t="shared" si="0"/>
        <v>-463671879.43000031</v>
      </c>
      <c r="I18" s="1338">
        <v>2444450000</v>
      </c>
      <c r="J18" s="1340">
        <f t="shared" si="3"/>
        <v>7.6289916923982177E-3</v>
      </c>
      <c r="K18" s="1338">
        <v>1980778120.5699999</v>
      </c>
      <c r="L18" s="1340">
        <f t="shared" si="4"/>
        <v>5.9295638452387658E-3</v>
      </c>
      <c r="M18" s="1338">
        <f t="shared" si="1"/>
        <v>-463671879.43000007</v>
      </c>
      <c r="N18" s="1338">
        <v>3000510069.6313</v>
      </c>
      <c r="O18" s="1338">
        <v>2915961043.4200001</v>
      </c>
      <c r="P18" s="1341">
        <v>2953453203.0814486</v>
      </c>
      <c r="Q18" s="1131"/>
    </row>
    <row r="19" spans="1:17" s="831" customFormat="1" ht="147" customHeight="1">
      <c r="A19" s="1130"/>
      <c r="B19" s="1573"/>
      <c r="C19" s="1301" t="s">
        <v>131</v>
      </c>
      <c r="D19" s="1328">
        <f t="shared" si="5"/>
        <v>1.5898711275934375E-2</v>
      </c>
      <c r="E19" s="1329">
        <v>19421247240.852749</v>
      </c>
      <c r="F19" s="1330">
        <f t="shared" si="2"/>
        <v>1.6108564055997556E-2</v>
      </c>
      <c r="G19" s="1329">
        <v>19897241392.722748</v>
      </c>
      <c r="H19" s="1329">
        <f t="shared" si="0"/>
        <v>475994151.86999893</v>
      </c>
      <c r="I19" s="1329">
        <v>9483695273.329998</v>
      </c>
      <c r="J19" s="1331">
        <f t="shared" si="3"/>
        <v>2.959808237168721E-2</v>
      </c>
      <c r="K19" s="1329">
        <v>9959689425.1999989</v>
      </c>
      <c r="L19" s="1331">
        <f t="shared" si="4"/>
        <v>2.9814855945843301E-2</v>
      </c>
      <c r="M19" s="1329">
        <f t="shared" si="1"/>
        <v>475994151.87000084</v>
      </c>
      <c r="N19" s="1329">
        <v>3337291169.6313</v>
      </c>
      <c r="O19" s="1329">
        <v>3272053500.4200001</v>
      </c>
      <c r="P19" s="1332">
        <v>3328207297.4714489</v>
      </c>
      <c r="Q19" s="1131"/>
    </row>
    <row r="20" spans="1:17" s="833" customFormat="1" ht="147" customHeight="1">
      <c r="A20" s="1149"/>
      <c r="B20" s="959" t="s">
        <v>629</v>
      </c>
      <c r="C20" s="960"/>
      <c r="D20" s="1342">
        <f t="shared" si="5"/>
        <v>6.1409743385519452E-2</v>
      </c>
      <c r="E20" s="1343">
        <v>75015753704.062546</v>
      </c>
      <c r="F20" s="1344">
        <f t="shared" si="2"/>
        <v>6.7765334273044944E-2</v>
      </c>
      <c r="G20" s="1343">
        <v>83703501404.726822</v>
      </c>
      <c r="H20" s="1343">
        <f t="shared" si="0"/>
        <v>8687747700.6642761</v>
      </c>
      <c r="I20" s="1343">
        <v>19949851816.295715</v>
      </c>
      <c r="J20" s="1345">
        <f t="shared" si="3"/>
        <v>6.2262371400967707E-2</v>
      </c>
      <c r="K20" s="1343">
        <v>28637599516.960007</v>
      </c>
      <c r="L20" s="1345">
        <f t="shared" si="4"/>
        <v>8.5728165586425278E-2</v>
      </c>
      <c r="M20" s="1343">
        <f t="shared" si="1"/>
        <v>8687747700.6642914</v>
      </c>
      <c r="N20" s="1343">
        <v>18720455174.256996</v>
      </c>
      <c r="O20" s="1343">
        <v>18054930820.719994</v>
      </c>
      <c r="P20" s="1346">
        <v>18290515892.789833</v>
      </c>
      <c r="Q20" s="1150"/>
    </row>
    <row r="21" spans="1:17" s="833" customFormat="1" ht="169.5" customHeight="1">
      <c r="A21" s="1149"/>
      <c r="B21" s="1302" t="s">
        <v>132</v>
      </c>
      <c r="C21" s="1301" t="s">
        <v>133</v>
      </c>
      <c r="D21" s="1328">
        <f t="shared" si="5"/>
        <v>6.1409743385519452E-2</v>
      </c>
      <c r="E21" s="1338">
        <v>75015753704.062546</v>
      </c>
      <c r="F21" s="1339">
        <f t="shared" si="2"/>
        <v>6.7765334273044944E-2</v>
      </c>
      <c r="G21" s="1338">
        <v>83703501404.726822</v>
      </c>
      <c r="H21" s="1338">
        <f t="shared" si="0"/>
        <v>8687747700.6642761</v>
      </c>
      <c r="I21" s="1338">
        <v>19949851816.295715</v>
      </c>
      <c r="J21" s="1340">
        <f t="shared" si="3"/>
        <v>6.2262371400967707E-2</v>
      </c>
      <c r="K21" s="1338">
        <v>28637599516.960007</v>
      </c>
      <c r="L21" s="1340">
        <f t="shared" si="4"/>
        <v>8.5728165586425278E-2</v>
      </c>
      <c r="M21" s="1338">
        <f t="shared" si="1"/>
        <v>8687747700.6642914</v>
      </c>
      <c r="N21" s="1338">
        <v>18720455174.256996</v>
      </c>
      <c r="O21" s="1338">
        <v>18054930820.719994</v>
      </c>
      <c r="P21" s="1341">
        <v>18290515892.789833</v>
      </c>
      <c r="Q21" s="1150"/>
    </row>
    <row r="22" spans="1:17" s="833" customFormat="1" ht="147" customHeight="1">
      <c r="A22" s="1149"/>
      <c r="B22" s="963" t="s">
        <v>630</v>
      </c>
      <c r="C22" s="964"/>
      <c r="D22" s="1347">
        <f t="shared" si="5"/>
        <v>0.77942297875001054</v>
      </c>
      <c r="E22" s="1348">
        <v>952112791583.24377</v>
      </c>
      <c r="F22" s="1347">
        <f t="shared" si="2"/>
        <v>0.77045985021586227</v>
      </c>
      <c r="G22" s="1348">
        <v>951669284105.94946</v>
      </c>
      <c r="H22" s="1348">
        <f t="shared" si="0"/>
        <v>-443507477.29431152</v>
      </c>
      <c r="I22" s="1348">
        <v>251898412096.63431</v>
      </c>
      <c r="J22" s="1349">
        <f t="shared" si="3"/>
        <v>0.78616085140359826</v>
      </c>
      <c r="K22" s="1348">
        <v>251454904619.34</v>
      </c>
      <c r="L22" s="1349">
        <f t="shared" si="4"/>
        <v>0.7527435282401731</v>
      </c>
      <c r="M22" s="1348">
        <f t="shared" si="1"/>
        <v>-443507477.29431152</v>
      </c>
      <c r="N22" s="1348">
        <v>234696986251.17422</v>
      </c>
      <c r="O22" s="1348">
        <v>235203877096.14893</v>
      </c>
      <c r="P22" s="1350">
        <v>230313516139.28632</v>
      </c>
      <c r="Q22" s="1150"/>
    </row>
    <row r="23" spans="1:17" s="831" customFormat="1" ht="147" customHeight="1">
      <c r="A23" s="1130"/>
      <c r="B23" s="1572" t="s">
        <v>134</v>
      </c>
      <c r="C23" s="1301" t="s">
        <v>135</v>
      </c>
      <c r="D23" s="1328">
        <f t="shared" si="5"/>
        <v>0.6886874771647975</v>
      </c>
      <c r="E23" s="1351">
        <v>841273832423.28857</v>
      </c>
      <c r="F23" s="1339">
        <f t="shared" si="2"/>
        <v>0.68139960933722088</v>
      </c>
      <c r="G23" s="1351">
        <v>841662389320.27856</v>
      </c>
      <c r="H23" s="1351">
        <f t="shared" si="0"/>
        <v>388556896.98999023</v>
      </c>
      <c r="I23" s="1351">
        <v>228869599232.73999</v>
      </c>
      <c r="J23" s="1340">
        <f t="shared" si="3"/>
        <v>0.71428921482913654</v>
      </c>
      <c r="K23" s="1351">
        <v>229258156129.72998</v>
      </c>
      <c r="L23" s="1340">
        <f t="shared" si="4"/>
        <v>0.6862963901387209</v>
      </c>
      <c r="M23" s="1351">
        <f t="shared" si="1"/>
        <v>388556896.98999023</v>
      </c>
      <c r="N23" s="1351">
        <v>204813658655.43109</v>
      </c>
      <c r="O23" s="1351">
        <v>206297449035.43884</v>
      </c>
      <c r="P23" s="1352">
        <v>201293125499.67853</v>
      </c>
      <c r="Q23" s="1131"/>
    </row>
    <row r="24" spans="1:17" s="831" customFormat="1" ht="147" customHeight="1">
      <c r="A24" s="1130"/>
      <c r="B24" s="1573"/>
      <c r="C24" s="1301" t="s">
        <v>136</v>
      </c>
      <c r="D24" s="1328">
        <f t="shared" si="5"/>
        <v>8.9450921528562849E-3</v>
      </c>
      <c r="E24" s="1329">
        <v>10926976613.242748</v>
      </c>
      <c r="F24" s="1330">
        <f t="shared" si="2"/>
        <v>8.4741457876175309E-3</v>
      </c>
      <c r="G24" s="1329">
        <v>10467234928.402748</v>
      </c>
      <c r="H24" s="1329">
        <f t="shared" si="0"/>
        <v>-459741684.84000015</v>
      </c>
      <c r="I24" s="1329">
        <v>1858500000</v>
      </c>
      <c r="J24" s="1331">
        <f t="shared" si="3"/>
        <v>5.8002745240532992E-3</v>
      </c>
      <c r="K24" s="1329">
        <v>1398758315.1600001</v>
      </c>
      <c r="L24" s="1331">
        <f t="shared" si="4"/>
        <v>4.1872568399599908E-3</v>
      </c>
      <c r="M24" s="1329">
        <f t="shared" si="1"/>
        <v>-459741684.83999991</v>
      </c>
      <c r="N24" s="1329">
        <v>3117123969.6313</v>
      </c>
      <c r="O24" s="1329">
        <v>2980303536.4200001</v>
      </c>
      <c r="P24" s="1332">
        <v>2971049107.1914487</v>
      </c>
      <c r="Q24" s="1131"/>
    </row>
    <row r="25" spans="1:17" s="831" customFormat="1" ht="147" customHeight="1">
      <c r="A25" s="1130"/>
      <c r="B25" s="1573"/>
      <c r="C25" s="1301" t="s">
        <v>137</v>
      </c>
      <c r="D25" s="1328">
        <f t="shared" si="5"/>
        <v>7.136449751086211E-3</v>
      </c>
      <c r="E25" s="1338">
        <v>8717609410.7427483</v>
      </c>
      <c r="F25" s="1339">
        <f t="shared" si="2"/>
        <v>6.6528763946409452E-3</v>
      </c>
      <c r="G25" s="1338">
        <v>8217609410.7427483</v>
      </c>
      <c r="H25" s="1338">
        <f t="shared" si="0"/>
        <v>-500000000</v>
      </c>
      <c r="I25" s="1338">
        <v>1390000000</v>
      </c>
      <c r="J25" s="1340">
        <f t="shared" si="3"/>
        <v>4.3381122348313617E-3</v>
      </c>
      <c r="K25" s="1338">
        <v>890000000</v>
      </c>
      <c r="L25" s="1340">
        <f t="shared" si="4"/>
        <v>2.6642619723323039E-3</v>
      </c>
      <c r="M25" s="1338">
        <f t="shared" si="1"/>
        <v>-500000000</v>
      </c>
      <c r="N25" s="1338">
        <v>2488868969.6313</v>
      </c>
      <c r="O25" s="1338">
        <v>2402226786.4199996</v>
      </c>
      <c r="P25" s="1341">
        <v>2436513654.6914487</v>
      </c>
      <c r="Q25" s="1131"/>
    </row>
    <row r="26" spans="1:17" s="831" customFormat="1" ht="147" customHeight="1">
      <c r="A26" s="1130"/>
      <c r="B26" s="1573"/>
      <c r="C26" s="1303" t="s">
        <v>138</v>
      </c>
      <c r="D26" s="1353">
        <f t="shared" si="5"/>
        <v>2.3269703573268359E-3</v>
      </c>
      <c r="E26" s="1329">
        <v>2842536470.2475829</v>
      </c>
      <c r="F26" s="1330">
        <f t="shared" si="2"/>
        <v>2.3012828717673094E-3</v>
      </c>
      <c r="G26" s="1329">
        <v>2842536470.2475829</v>
      </c>
      <c r="H26" s="1329">
        <f t="shared" si="0"/>
        <v>0</v>
      </c>
      <c r="I26" s="1329">
        <v>400000000</v>
      </c>
      <c r="J26" s="1331">
        <f t="shared" si="3"/>
        <v>1.2483776215342049E-3</v>
      </c>
      <c r="K26" s="1329">
        <v>400000000</v>
      </c>
      <c r="L26" s="1331">
        <f t="shared" si="4"/>
        <v>1.1974211111605859E-3</v>
      </c>
      <c r="M26" s="1329">
        <f t="shared" si="1"/>
        <v>0</v>
      </c>
      <c r="N26" s="1329">
        <v>829622989.87709999</v>
      </c>
      <c r="O26" s="1329">
        <v>800742262.13999999</v>
      </c>
      <c r="P26" s="1332">
        <v>812171218.23048294</v>
      </c>
      <c r="Q26" s="1131"/>
    </row>
    <row r="27" spans="1:17" s="831" customFormat="1" ht="147" customHeight="1">
      <c r="A27" s="1130"/>
      <c r="B27" s="1573"/>
      <c r="C27" s="1301" t="s">
        <v>139</v>
      </c>
      <c r="D27" s="1328">
        <f t="shared" si="5"/>
        <v>4.3674220952484273E-3</v>
      </c>
      <c r="E27" s="1351">
        <v>5335072940.4951658</v>
      </c>
      <c r="F27" s="1339">
        <f t="shared" si="2"/>
        <v>4.3192100105302837E-3</v>
      </c>
      <c r="G27" s="1351">
        <v>5335072940.4951658</v>
      </c>
      <c r="H27" s="1351">
        <f t="shared" si="0"/>
        <v>0</v>
      </c>
      <c r="I27" s="1351">
        <v>450000000</v>
      </c>
      <c r="J27" s="1340">
        <f t="shared" si="3"/>
        <v>1.4044248242259805E-3</v>
      </c>
      <c r="K27" s="1351">
        <v>450000000</v>
      </c>
      <c r="L27" s="1340">
        <f t="shared" si="4"/>
        <v>1.3470987500556592E-3</v>
      </c>
      <c r="M27" s="1351">
        <f t="shared" si="1"/>
        <v>0</v>
      </c>
      <c r="N27" s="1351">
        <v>1659245979.7542</v>
      </c>
      <c r="O27" s="1351">
        <v>1601484524.28</v>
      </c>
      <c r="P27" s="1352">
        <v>1624342436.4609659</v>
      </c>
      <c r="Q27" s="1131"/>
    </row>
    <row r="28" spans="1:17" s="831" customFormat="1" ht="147" customHeight="1">
      <c r="A28" s="1130"/>
      <c r="B28" s="1573"/>
      <c r="C28" s="1303" t="s">
        <v>140</v>
      </c>
      <c r="D28" s="1353">
        <f t="shared" si="5"/>
        <v>2.3187841110581145E-3</v>
      </c>
      <c r="E28" s="1329">
        <v>2832536470.2475829</v>
      </c>
      <c r="F28" s="1330">
        <f t="shared" si="2"/>
        <v>2.2931869936814709E-3</v>
      </c>
      <c r="G28" s="1329">
        <v>2832536470.2475829</v>
      </c>
      <c r="H28" s="1329">
        <f t="shared" si="0"/>
        <v>0</v>
      </c>
      <c r="I28" s="1329">
        <v>390000000</v>
      </c>
      <c r="J28" s="1331">
        <f t="shared" si="3"/>
        <v>1.2171681809958498E-3</v>
      </c>
      <c r="K28" s="1329">
        <v>390000000</v>
      </c>
      <c r="L28" s="1331">
        <f t="shared" si="4"/>
        <v>1.1674855833815714E-3</v>
      </c>
      <c r="M28" s="1329">
        <f t="shared" si="1"/>
        <v>0</v>
      </c>
      <c r="N28" s="1329">
        <v>829622989.87709999</v>
      </c>
      <c r="O28" s="1329">
        <v>800742262.13999999</v>
      </c>
      <c r="P28" s="1332">
        <v>812171218.23048294</v>
      </c>
      <c r="Q28" s="1131"/>
    </row>
    <row r="29" spans="1:17" s="831" customFormat="1" ht="147" customHeight="1">
      <c r="A29" s="1130"/>
      <c r="B29" s="1573"/>
      <c r="C29" s="1303" t="s">
        <v>141</v>
      </c>
      <c r="D29" s="1353">
        <f t="shared" si="5"/>
        <v>4.2364421549488879E-3</v>
      </c>
      <c r="E29" s="1329">
        <v>5175072940.4951658</v>
      </c>
      <c r="F29" s="1330">
        <f t="shared" si="2"/>
        <v>4.1896759611568732E-3</v>
      </c>
      <c r="G29" s="1329">
        <v>5175072940.4951658</v>
      </c>
      <c r="H29" s="1329">
        <f t="shared" si="0"/>
        <v>0</v>
      </c>
      <c r="I29" s="1329">
        <v>290000000</v>
      </c>
      <c r="J29" s="1331">
        <f t="shared" si="3"/>
        <v>9.0507377561229851E-4</v>
      </c>
      <c r="K29" s="1329">
        <v>290000000</v>
      </c>
      <c r="L29" s="1331">
        <f t="shared" si="4"/>
        <v>8.6813030559142483E-4</v>
      </c>
      <c r="M29" s="1329">
        <f t="shared" si="1"/>
        <v>0</v>
      </c>
      <c r="N29" s="1329">
        <v>1659245979.7542</v>
      </c>
      <c r="O29" s="1329">
        <v>1601484524.28</v>
      </c>
      <c r="P29" s="1332">
        <v>1624342436.4609659</v>
      </c>
      <c r="Q29" s="1131"/>
    </row>
    <row r="30" spans="1:17" s="831" customFormat="1" ht="147" customHeight="1">
      <c r="A30" s="1130"/>
      <c r="B30" s="1573"/>
      <c r="C30" s="1303" t="s">
        <v>142</v>
      </c>
      <c r="D30" s="1353">
        <f t="shared" si="5"/>
        <v>7.1353033487533846E-3</v>
      </c>
      <c r="E30" s="1329">
        <v>8716209010.2475834</v>
      </c>
      <c r="F30" s="1330">
        <f t="shared" si="2"/>
        <v>7.9508121026533631E-3</v>
      </c>
      <c r="G30" s="1329">
        <v>9820815010.2475834</v>
      </c>
      <c r="H30" s="1329">
        <f t="shared" si="0"/>
        <v>1104606000</v>
      </c>
      <c r="I30" s="1329">
        <v>1820000000</v>
      </c>
      <c r="J30" s="1331">
        <f t="shared" si="3"/>
        <v>5.6801181779806325E-3</v>
      </c>
      <c r="K30" s="1329">
        <v>2924606000</v>
      </c>
      <c r="L30" s="1331">
        <f t="shared" si="4"/>
        <v>8.7549624155672922E-3</v>
      </c>
      <c r="M30" s="1329">
        <f t="shared" si="1"/>
        <v>1104606000</v>
      </c>
      <c r="N30" s="1329">
        <v>2470222989.8771</v>
      </c>
      <c r="O30" s="1329">
        <v>2279960262.1400003</v>
      </c>
      <c r="P30" s="1332">
        <v>2146025758.2304831</v>
      </c>
      <c r="Q30" s="1131"/>
    </row>
    <row r="31" spans="1:17" s="831" customFormat="1" ht="147" customHeight="1">
      <c r="A31" s="1130"/>
      <c r="B31" s="1573"/>
      <c r="C31" s="1301" t="s">
        <v>143</v>
      </c>
      <c r="D31" s="1328">
        <f t="shared" si="5"/>
        <v>4.257448434792711E-3</v>
      </c>
      <c r="E31" s="1338">
        <v>5200733394.8160744</v>
      </c>
      <c r="F31" s="1339">
        <f t="shared" si="2"/>
        <v>4.2291286038914242E-3</v>
      </c>
      <c r="G31" s="1338">
        <v>5223804705.3713741</v>
      </c>
      <c r="H31" s="1338">
        <f t="shared" si="0"/>
        <v>23071310.555299759</v>
      </c>
      <c r="I31" s="1338">
        <v>1236928689.4447002</v>
      </c>
      <c r="J31" s="1340">
        <f t="shared" si="3"/>
        <v>3.8603852383409902E-3</v>
      </c>
      <c r="K31" s="1338">
        <v>1260000000</v>
      </c>
      <c r="L31" s="1340">
        <f t="shared" si="4"/>
        <v>3.771876500155846E-3</v>
      </c>
      <c r="M31" s="1338">
        <f t="shared" si="1"/>
        <v>23071310.555299759</v>
      </c>
      <c r="N31" s="1338">
        <v>1344434484.8156502</v>
      </c>
      <c r="O31" s="1338">
        <v>1301113393.2099996</v>
      </c>
      <c r="P31" s="1341">
        <v>1318256827.3457243</v>
      </c>
      <c r="Q31" s="1131"/>
    </row>
    <row r="32" spans="1:17" s="831" customFormat="1" ht="147" customHeight="1">
      <c r="A32" s="1130"/>
      <c r="B32" s="1573"/>
      <c r="C32" s="1301" t="s">
        <v>144</v>
      </c>
      <c r="D32" s="1328">
        <f t="shared" si="5"/>
        <v>2.307169771629089E-2</v>
      </c>
      <c r="E32" s="1351">
        <v>28183488449.944767</v>
      </c>
      <c r="F32" s="1339">
        <f t="shared" si="2"/>
        <v>2.2817008652438325E-2</v>
      </c>
      <c r="G32" s="1351">
        <v>28183488449.945164</v>
      </c>
      <c r="H32" s="1351">
        <f t="shared" si="0"/>
        <v>3.96728515625E-4</v>
      </c>
      <c r="I32" s="1351">
        <v>6710025417.4496002</v>
      </c>
      <c r="J32" s="1340">
        <f t="shared" si="3"/>
        <v>2.094161392767448E-2</v>
      </c>
      <c r="K32" s="1351">
        <v>6710025417.4499998</v>
      </c>
      <c r="L32" s="1340">
        <f t="shared" si="4"/>
        <v>2.0086815228196882E-2</v>
      </c>
      <c r="M32" s="1351">
        <f t="shared" si="1"/>
        <v>3.9958953857421875E-4</v>
      </c>
      <c r="N32" s="1351">
        <v>7188709343.7542</v>
      </c>
      <c r="O32" s="1351">
        <v>7130947888.2800007</v>
      </c>
      <c r="P32" s="1352">
        <v>7153805800.4609652</v>
      </c>
      <c r="Q32" s="1131"/>
    </row>
    <row r="33" spans="1:17" s="831" customFormat="1" ht="147" customHeight="1">
      <c r="A33" s="1130"/>
      <c r="B33" s="1573"/>
      <c r="C33" s="1303" t="s">
        <v>145</v>
      </c>
      <c r="D33" s="1353">
        <f t="shared" si="5"/>
        <v>5.0496300967481705E-3</v>
      </c>
      <c r="E33" s="1329">
        <v>6168431697.4951658</v>
      </c>
      <c r="F33" s="1330">
        <f t="shared" si="2"/>
        <v>4.993887100374044E-3</v>
      </c>
      <c r="G33" s="1329">
        <v>6168431697.4951658</v>
      </c>
      <c r="H33" s="1329">
        <f t="shared" si="0"/>
        <v>0</v>
      </c>
      <c r="I33" s="1329">
        <v>1283358757</v>
      </c>
      <c r="J33" s="1331">
        <f t="shared" si="3"/>
        <v>4.0052908815968839E-3</v>
      </c>
      <c r="K33" s="1329">
        <v>1283358757</v>
      </c>
      <c r="L33" s="1331">
        <f t="shared" si="4"/>
        <v>3.8418021720615209E-3</v>
      </c>
      <c r="M33" s="1329">
        <f t="shared" si="1"/>
        <v>0</v>
      </c>
      <c r="N33" s="1329">
        <v>1659245979.7542</v>
      </c>
      <c r="O33" s="1329">
        <v>1601484524.2800002</v>
      </c>
      <c r="P33" s="1332">
        <v>1624342436.4609661</v>
      </c>
      <c r="Q33" s="1131"/>
    </row>
    <row r="34" spans="1:17" s="831" customFormat="1" ht="147" customHeight="1">
      <c r="A34" s="1130"/>
      <c r="B34" s="1574"/>
      <c r="C34" s="1303" t="s">
        <v>146</v>
      </c>
      <c r="D34" s="1353">
        <f t="shared" si="5"/>
        <v>2.1890261366103187E-2</v>
      </c>
      <c r="E34" s="1329">
        <v>26740291761.980663</v>
      </c>
      <c r="F34" s="1330">
        <f t="shared" si="2"/>
        <v>2.0839026399889913E-2</v>
      </c>
      <c r="G34" s="1329">
        <v>25740291761.980663</v>
      </c>
      <c r="H34" s="1329">
        <f t="shared" si="0"/>
        <v>-1000000000</v>
      </c>
      <c r="I34" s="1329">
        <v>7200000000</v>
      </c>
      <c r="J34" s="1331">
        <f t="shared" si="3"/>
        <v>2.2470797187615688E-2</v>
      </c>
      <c r="K34" s="1329">
        <v>6200000000</v>
      </c>
      <c r="L34" s="1331">
        <f t="shared" si="4"/>
        <v>1.8560027222989082E-2</v>
      </c>
      <c r="M34" s="1329">
        <f t="shared" si="1"/>
        <v>-1000000000</v>
      </c>
      <c r="N34" s="1329">
        <v>6636983919.0167999</v>
      </c>
      <c r="O34" s="1329">
        <v>6405938097.1199999</v>
      </c>
      <c r="P34" s="1332">
        <v>6497369745.8438635</v>
      </c>
      <c r="Q34" s="1131"/>
    </row>
    <row r="35" spans="1:17" s="833" customFormat="1" ht="147" customHeight="1">
      <c r="A35" s="1149"/>
      <c r="B35" s="967" t="s">
        <v>631</v>
      </c>
      <c r="C35" s="968"/>
      <c r="D35" s="1354">
        <f t="shared" si="5"/>
        <v>5.5417916774453527E-2</v>
      </c>
      <c r="E35" s="1355">
        <v>67696371395.763268</v>
      </c>
      <c r="F35" s="1356">
        <f t="shared" si="2"/>
        <v>5.7133600772047044E-2</v>
      </c>
      <c r="G35" s="1355">
        <v>70571221757.883255</v>
      </c>
      <c r="H35" s="1355">
        <f t="shared" si="0"/>
        <v>2874850362.1199875</v>
      </c>
      <c r="I35" s="1355">
        <v>16705250000</v>
      </c>
      <c r="J35" s="1357">
        <f t="shared" si="3"/>
        <v>5.2136150655335688E-2</v>
      </c>
      <c r="K35" s="1355">
        <v>19580100362.12001</v>
      </c>
      <c r="L35" s="1357">
        <f t="shared" si="4"/>
        <v>5.8614063830613836E-2</v>
      </c>
      <c r="M35" s="1355">
        <f t="shared" si="1"/>
        <v>2874850362.1200104</v>
      </c>
      <c r="N35" s="1355">
        <v>17191589446.13192</v>
      </c>
      <c r="O35" s="1355">
        <v>16788703984.528002</v>
      </c>
      <c r="P35" s="1358">
        <v>17010827965.103342</v>
      </c>
      <c r="Q35" s="1150"/>
    </row>
    <row r="36" spans="1:17" s="831" customFormat="1" ht="210" customHeight="1">
      <c r="A36" s="1130"/>
      <c r="B36" s="1572" t="s">
        <v>147</v>
      </c>
      <c r="C36" s="1301" t="s">
        <v>148</v>
      </c>
      <c r="D36" s="1328">
        <f t="shared" si="5"/>
        <v>3.2501476644417104E-2</v>
      </c>
      <c r="E36" s="1338">
        <v>39702539573.725838</v>
      </c>
      <c r="F36" s="1339">
        <f t="shared" si="2"/>
        <v>2.801790265924714E-2</v>
      </c>
      <c r="G36" s="1338">
        <v>34607614346.685844</v>
      </c>
      <c r="H36" s="1338">
        <f t="shared" si="0"/>
        <v>-5094925227.0399933</v>
      </c>
      <c r="I36" s="1338">
        <v>12000000000</v>
      </c>
      <c r="J36" s="1340">
        <f t="shared" si="3"/>
        <v>3.7451328646026148E-2</v>
      </c>
      <c r="K36" s="1338">
        <v>6905074772.9600105</v>
      </c>
      <c r="L36" s="1340">
        <f t="shared" si="4"/>
        <v>2.0670705768211766E-2</v>
      </c>
      <c r="M36" s="1338">
        <f t="shared" si="1"/>
        <v>-5094925227.0399895</v>
      </c>
      <c r="N36" s="1338">
        <v>9366392398.7709999</v>
      </c>
      <c r="O36" s="1338">
        <v>9098409996.4000015</v>
      </c>
      <c r="P36" s="1341">
        <v>9237737178.5548286</v>
      </c>
      <c r="Q36" s="1131"/>
    </row>
    <row r="37" spans="1:17" s="831" customFormat="1" ht="198" customHeight="1">
      <c r="A37" s="1130"/>
      <c r="B37" s="1573"/>
      <c r="C37" s="1303" t="s">
        <v>149</v>
      </c>
      <c r="D37" s="1353">
        <f t="shared" si="5"/>
        <v>1.082133676132856E-2</v>
      </c>
      <c r="E37" s="1329">
        <v>13218924041.75</v>
      </c>
      <c r="F37" s="1330">
        <f t="shared" si="2"/>
        <v>1.1830095056238926E-2</v>
      </c>
      <c r="G37" s="1329">
        <v>14612491604.75</v>
      </c>
      <c r="H37" s="1329">
        <f t="shared" si="0"/>
        <v>1393567563</v>
      </c>
      <c r="I37" s="1329">
        <v>3252250000</v>
      </c>
      <c r="J37" s="1331">
        <f t="shared" si="3"/>
        <v>1.0150090299086544E-2</v>
      </c>
      <c r="K37" s="1329">
        <v>4645817563</v>
      </c>
      <c r="L37" s="1331">
        <f t="shared" si="4"/>
        <v>1.3907500071342064E-2</v>
      </c>
      <c r="M37" s="1329">
        <f t="shared" si="1"/>
        <v>1393567563</v>
      </c>
      <c r="N37" s="1329">
        <v>3282807500</v>
      </c>
      <c r="O37" s="1329">
        <v>3320329725</v>
      </c>
      <c r="P37" s="1332">
        <v>3363536816.75</v>
      </c>
      <c r="Q37" s="1131"/>
    </row>
    <row r="38" spans="1:17" s="831" customFormat="1" ht="195" customHeight="1">
      <c r="A38" s="1130"/>
      <c r="B38" s="1573"/>
      <c r="C38" s="1301" t="s">
        <v>150</v>
      </c>
      <c r="D38" s="1328">
        <f t="shared" si="5"/>
        <v>5.277917222101778E-3</v>
      </c>
      <c r="E38" s="1338">
        <v>6447298369.5446825</v>
      </c>
      <c r="F38" s="1339">
        <f t="shared" si="2"/>
        <v>1.0786548345550977E-2</v>
      </c>
      <c r="G38" s="1338">
        <v>13323506395.704681</v>
      </c>
      <c r="H38" s="1338">
        <f t="shared" si="0"/>
        <v>6876208026.1599989</v>
      </c>
      <c r="I38" s="1338">
        <v>453000000</v>
      </c>
      <c r="J38" s="1340">
        <f t="shared" si="3"/>
        <v>1.413787656387487E-3</v>
      </c>
      <c r="K38" s="1338">
        <v>7329208026.1599998</v>
      </c>
      <c r="L38" s="1340">
        <f t="shared" si="4"/>
        <v>2.1940371046528979E-2</v>
      </c>
      <c r="M38" s="1338">
        <f t="shared" si="1"/>
        <v>6876208026.1599998</v>
      </c>
      <c r="N38" s="1338">
        <v>2053520577.72962</v>
      </c>
      <c r="O38" s="1338">
        <v>1967737476.7079997</v>
      </c>
      <c r="P38" s="1341">
        <v>1973040315.1070626</v>
      </c>
      <c r="Q38" s="1131"/>
    </row>
    <row r="39" spans="1:17" s="831" customFormat="1" ht="213" customHeight="1">
      <c r="A39" s="1130"/>
      <c r="B39" s="1573"/>
      <c r="C39" s="1301" t="s">
        <v>151</v>
      </c>
      <c r="D39" s="1328">
        <f t="shared" si="5"/>
        <v>6.8171861466060817E-3</v>
      </c>
      <c r="E39" s="1338">
        <v>8327609410.7427483</v>
      </c>
      <c r="F39" s="1339">
        <f t="shared" si="2"/>
        <v>6.4990547110100206E-3</v>
      </c>
      <c r="G39" s="1338">
        <v>8027609410.7427483</v>
      </c>
      <c r="H39" s="1338">
        <f t="shared" si="0"/>
        <v>-300000000</v>
      </c>
      <c r="I39" s="1338">
        <v>1000000000</v>
      </c>
      <c r="J39" s="1340">
        <f t="shared" si="3"/>
        <v>3.1209440538355121E-3</v>
      </c>
      <c r="K39" s="1338">
        <v>700000000</v>
      </c>
      <c r="L39" s="1340">
        <f t="shared" si="4"/>
        <v>2.0954869445310256E-3</v>
      </c>
      <c r="M39" s="1338">
        <f t="shared" si="1"/>
        <v>-300000000</v>
      </c>
      <c r="N39" s="1338">
        <v>2488868969.6313</v>
      </c>
      <c r="O39" s="1338">
        <v>2402226786.4199996</v>
      </c>
      <c r="P39" s="1341">
        <v>2436513654.6914487</v>
      </c>
      <c r="Q39" s="1131"/>
    </row>
    <row r="40" spans="1:17" s="833" customFormat="1" ht="147" customHeight="1">
      <c r="A40" s="1149"/>
      <c r="B40" s="971" t="s">
        <v>632</v>
      </c>
      <c r="C40" s="972"/>
      <c r="D40" s="1359">
        <f t="shared" si="5"/>
        <v>2.343569566236766E-2</v>
      </c>
      <c r="E40" s="1360">
        <v>28628134181.49033</v>
      </c>
      <c r="F40" s="1361">
        <f t="shared" si="2"/>
        <v>2.6632394382508421E-2</v>
      </c>
      <c r="G40" s="1360">
        <v>32896239419.780331</v>
      </c>
      <c r="H40" s="1360">
        <f t="shared" si="0"/>
        <v>4268105238.2900009</v>
      </c>
      <c r="I40" s="1360">
        <v>6230000000</v>
      </c>
      <c r="J40" s="1362">
        <f t="shared" si="3"/>
        <v>1.9443481455395241E-2</v>
      </c>
      <c r="K40" s="1360">
        <v>10498105238.290001</v>
      </c>
      <c r="L40" s="1362">
        <f t="shared" si="4"/>
        <v>3.1426632098784955E-2</v>
      </c>
      <c r="M40" s="1360">
        <f t="shared" si="1"/>
        <v>4268105238.2900009</v>
      </c>
      <c r="N40" s="1360">
        <v>8341836959.5084</v>
      </c>
      <c r="O40" s="1360">
        <v>7511282398.5599995</v>
      </c>
      <c r="P40" s="1363">
        <v>6545014823.4219322</v>
      </c>
      <c r="Q40" s="1150"/>
    </row>
    <row r="41" spans="1:17" s="831" customFormat="1" ht="147" customHeight="1">
      <c r="A41" s="1130"/>
      <c r="B41" s="1572" t="s">
        <v>152</v>
      </c>
      <c r="C41" s="1301" t="s">
        <v>153</v>
      </c>
      <c r="D41" s="1328">
        <f t="shared" si="5"/>
        <v>6.6034722689958586E-3</v>
      </c>
      <c r="E41" s="1338">
        <v>8066544851.2427483</v>
      </c>
      <c r="F41" s="1339">
        <f t="shared" si="2"/>
        <v>6.452855939336615E-3</v>
      </c>
      <c r="G41" s="1338">
        <v>7970544851.2427483</v>
      </c>
      <c r="H41" s="1338">
        <f t="shared" si="0"/>
        <v>-96000000</v>
      </c>
      <c r="I41" s="1338">
        <v>500000000</v>
      </c>
      <c r="J41" s="1340">
        <f t="shared" si="3"/>
        <v>1.560472026917756E-3</v>
      </c>
      <c r="K41" s="1338">
        <v>404000000</v>
      </c>
      <c r="L41" s="1340">
        <f t="shared" si="4"/>
        <v>1.2093953222721918E-3</v>
      </c>
      <c r="M41" s="1338">
        <f t="shared" si="1"/>
        <v>-96000000</v>
      </c>
      <c r="N41" s="1338">
        <v>2576813969.6313</v>
      </c>
      <c r="O41" s="1338">
        <v>2481578136.4199996</v>
      </c>
      <c r="P41" s="1341">
        <v>2508152745.1914487</v>
      </c>
      <c r="Q41" s="1131"/>
    </row>
    <row r="42" spans="1:17" s="831" customFormat="1" ht="147" customHeight="1">
      <c r="A42" s="1130"/>
      <c r="B42" s="1573"/>
      <c r="C42" s="1301" t="s">
        <v>154</v>
      </c>
      <c r="D42" s="1328">
        <f t="shared" si="5"/>
        <v>2.4497640513576543E-3</v>
      </c>
      <c r="E42" s="1338">
        <v>2992536470.2475829</v>
      </c>
      <c r="F42" s="1339">
        <f t="shared" si="2"/>
        <v>2.4227210430548814E-3</v>
      </c>
      <c r="G42" s="1338">
        <v>2992536470.2475829</v>
      </c>
      <c r="H42" s="1338">
        <f t="shared" si="0"/>
        <v>0</v>
      </c>
      <c r="I42" s="1338">
        <v>550000000</v>
      </c>
      <c r="J42" s="1340">
        <f t="shared" si="3"/>
        <v>1.7165192296095316E-3</v>
      </c>
      <c r="K42" s="1338">
        <v>550000000</v>
      </c>
      <c r="L42" s="1340">
        <f t="shared" si="4"/>
        <v>1.6464540278458056E-3</v>
      </c>
      <c r="M42" s="1338">
        <f t="shared" si="1"/>
        <v>0</v>
      </c>
      <c r="N42" s="1338">
        <v>829622989.87709999</v>
      </c>
      <c r="O42" s="1338">
        <v>800742262.13999999</v>
      </c>
      <c r="P42" s="1341">
        <v>812171218.23048294</v>
      </c>
      <c r="Q42" s="1131"/>
    </row>
    <row r="43" spans="1:17" s="831" customFormat="1" ht="177" customHeight="1">
      <c r="A43" s="1130"/>
      <c r="B43" s="1574"/>
      <c r="C43" s="1303" t="s">
        <v>155</v>
      </c>
      <c r="D43" s="1353">
        <f t="shared" si="5"/>
        <v>1.4382459342014146E-2</v>
      </c>
      <c r="E43" s="1338">
        <v>17569052860</v>
      </c>
      <c r="F43" s="1339">
        <f t="shared" si="2"/>
        <v>1.7756817400116927E-2</v>
      </c>
      <c r="G43" s="1338">
        <v>21933158098.290001</v>
      </c>
      <c r="H43" s="1338">
        <f t="shared" si="0"/>
        <v>4364105238.2900009</v>
      </c>
      <c r="I43" s="1338">
        <v>5180000000</v>
      </c>
      <c r="J43" s="1340">
        <f t="shared" si="3"/>
        <v>1.6166490198867952E-2</v>
      </c>
      <c r="K43" s="1338">
        <v>9544105238.2900009</v>
      </c>
      <c r="L43" s="1340">
        <f t="shared" si="4"/>
        <v>2.8570782748666954E-2</v>
      </c>
      <c r="M43" s="1338">
        <f t="shared" si="1"/>
        <v>4364105238.2900009</v>
      </c>
      <c r="N43" s="1338">
        <v>4935400000</v>
      </c>
      <c r="O43" s="1338">
        <v>4228962000</v>
      </c>
      <c r="P43" s="1341">
        <v>3224690860</v>
      </c>
      <c r="Q43" s="1131"/>
    </row>
    <row r="44" spans="1:17" s="833" customFormat="1" ht="147" customHeight="1">
      <c r="A44" s="1149"/>
      <c r="B44" s="975" t="s">
        <v>633</v>
      </c>
      <c r="C44" s="976"/>
      <c r="D44" s="1364">
        <f t="shared" si="5"/>
        <v>1.0673498768105378E-2</v>
      </c>
      <c r="E44" s="1365">
        <v>13038330900.070332</v>
      </c>
      <c r="F44" s="1366">
        <f t="shared" si="2"/>
        <v>1.0444992932253793E-2</v>
      </c>
      <c r="G44" s="1365">
        <v>12901618356.290333</v>
      </c>
      <c r="H44" s="1365">
        <f t="shared" si="0"/>
        <v>-136712543.77999878</v>
      </c>
      <c r="I44" s="1365">
        <v>2651044150</v>
      </c>
      <c r="J44" s="1367">
        <f t="shared" si="3"/>
        <v>8.2737604763979192E-3</v>
      </c>
      <c r="K44" s="1365">
        <v>2514331606.2200003</v>
      </c>
      <c r="L44" s="1367">
        <f t="shared" si="4"/>
        <v>7.5267843643653338E-3</v>
      </c>
      <c r="M44" s="1365">
        <f t="shared" si="1"/>
        <v>-136712543.77999973</v>
      </c>
      <c r="N44" s="1365">
        <v>3516741159.5084</v>
      </c>
      <c r="O44" s="1365">
        <v>3408669492.5599999</v>
      </c>
      <c r="P44" s="1368">
        <v>3461876098.0019317</v>
      </c>
      <c r="Q44" s="1150"/>
    </row>
    <row r="45" spans="1:17" s="831" customFormat="1" ht="183" customHeight="1" thickBot="1">
      <c r="A45" s="1130"/>
      <c r="B45" s="1369" t="s">
        <v>156</v>
      </c>
      <c r="C45" s="1370" t="s">
        <v>912</v>
      </c>
      <c r="D45" s="1371">
        <f t="shared" si="5"/>
        <v>1.0673498768105378E-2</v>
      </c>
      <c r="E45" s="1372">
        <v>13038330900.070332</v>
      </c>
      <c r="F45" s="1373">
        <f t="shared" si="2"/>
        <v>1.0444992932253793E-2</v>
      </c>
      <c r="G45" s="1372">
        <v>12901618356.290333</v>
      </c>
      <c r="H45" s="1372">
        <f t="shared" si="0"/>
        <v>-136712543.77999878</v>
      </c>
      <c r="I45" s="1372">
        <v>2651044150</v>
      </c>
      <c r="J45" s="1374">
        <f t="shared" si="3"/>
        <v>8.2737604763979192E-3</v>
      </c>
      <c r="K45" s="1372">
        <v>2514331606.2200003</v>
      </c>
      <c r="L45" s="1374">
        <f t="shared" si="4"/>
        <v>7.5267843643653338E-3</v>
      </c>
      <c r="M45" s="1372">
        <f t="shared" si="1"/>
        <v>-136712543.77999973</v>
      </c>
      <c r="N45" s="1372">
        <v>3516741159.5084</v>
      </c>
      <c r="O45" s="1372">
        <v>3408669492.5599999</v>
      </c>
      <c r="P45" s="1375">
        <v>3461876098.0019317</v>
      </c>
      <c r="Q45" s="1131"/>
    </row>
    <row r="46" spans="1:17" s="831" customFormat="1" ht="60">
      <c r="A46" s="1130"/>
      <c r="B46" s="1575"/>
      <c r="C46" s="1575"/>
      <c r="D46" s="1376"/>
      <c r="E46" s="1051"/>
      <c r="F46" s="1377"/>
      <c r="G46" s="1051"/>
      <c r="H46" s="1051"/>
      <c r="I46" s="1051">
        <f>+I44+I40+I35+I22+I20+I16+I11</f>
        <v>320415868644.31</v>
      </c>
      <c r="J46" s="1378">
        <f>+J44+J40+J35+J22+J20+J16+J11</f>
        <v>0.99999999999999978</v>
      </c>
      <c r="K46" s="1051">
        <f t="shared" ref="K46:L46" si="6">+K44+K40+K35+K22+K20+K16+K11</f>
        <v>334051234166.32007</v>
      </c>
      <c r="L46" s="1378">
        <f t="shared" si="6"/>
        <v>1</v>
      </c>
      <c r="M46" s="1051"/>
      <c r="N46" s="1051"/>
      <c r="O46" s="1051"/>
      <c r="P46" s="1052"/>
      <c r="Q46" s="1131"/>
    </row>
    <row r="47" spans="1:17" s="831" customFormat="1" ht="48" customHeight="1">
      <c r="A47" s="1130"/>
      <c r="B47" s="1053"/>
      <c r="C47" s="1050"/>
      <c r="D47" s="1379"/>
      <c r="E47" s="1051"/>
      <c r="F47" s="1377"/>
      <c r="G47" s="1051"/>
      <c r="H47" s="1051"/>
      <c r="I47" s="1051"/>
      <c r="J47" s="1378"/>
      <c r="K47" s="1051"/>
      <c r="L47" s="1378"/>
      <c r="M47" s="1051"/>
      <c r="N47" s="1051"/>
      <c r="O47" s="1051"/>
      <c r="P47" s="1052"/>
      <c r="Q47" s="1131"/>
    </row>
    <row r="48" spans="1:17" s="831" customFormat="1" ht="1.5" hidden="1" customHeight="1">
      <c r="A48" s="1130"/>
      <c r="B48" s="1053"/>
      <c r="C48" s="1050"/>
      <c r="D48" s="1379"/>
      <c r="E48" s="1051"/>
      <c r="F48" s="1377"/>
      <c r="G48" s="1051"/>
      <c r="H48" s="1051"/>
      <c r="I48" s="1051"/>
      <c r="J48" s="1378"/>
      <c r="K48" s="1051"/>
      <c r="L48" s="1378"/>
      <c r="M48" s="1051"/>
      <c r="N48" s="1051"/>
      <c r="O48" s="1051"/>
      <c r="P48" s="1052"/>
      <c r="Q48" s="1131"/>
    </row>
    <row r="49" spans="1:17" ht="63">
      <c r="A49" s="1128"/>
      <c r="B49" s="1047" t="s">
        <v>846</v>
      </c>
      <c r="C49" s="1054"/>
      <c r="D49" s="1380"/>
      <c r="E49" s="942"/>
      <c r="F49" s="1312"/>
      <c r="G49" s="942"/>
      <c r="H49" s="942"/>
      <c r="I49" s="942"/>
      <c r="J49" s="1381"/>
      <c r="K49" s="942"/>
      <c r="L49" s="1381"/>
      <c r="M49" s="942"/>
      <c r="N49" s="942"/>
      <c r="O49" s="942"/>
      <c r="P49" s="1055"/>
      <c r="Q49" s="1129"/>
    </row>
    <row r="50" spans="1:17" ht="61.8">
      <c r="A50" s="1128"/>
      <c r="B50" s="1056"/>
      <c r="C50" s="1054"/>
      <c r="D50" s="1380"/>
      <c r="E50" s="942"/>
      <c r="F50" s="1312"/>
      <c r="G50" s="942"/>
      <c r="H50" s="942"/>
      <c r="I50" s="942"/>
      <c r="J50" s="1381"/>
      <c r="K50" s="942"/>
      <c r="L50" s="1381"/>
      <c r="M50" s="942"/>
      <c r="N50" s="942"/>
      <c r="O50" s="942"/>
      <c r="P50" s="1055"/>
      <c r="Q50" s="1129"/>
    </row>
    <row r="51" spans="1:17" ht="99.6" customHeight="1">
      <c r="A51" s="1128"/>
      <c r="B51" s="1570" t="s">
        <v>1010</v>
      </c>
      <c r="C51" s="1570"/>
      <c r="D51" s="1570"/>
      <c r="E51" s="1570"/>
      <c r="F51" s="1570"/>
      <c r="G51" s="1570"/>
      <c r="H51" s="1570"/>
      <c r="I51" s="1570"/>
      <c r="J51" s="1570"/>
      <c r="K51" s="1570"/>
      <c r="L51" s="1570"/>
      <c r="M51" s="1570"/>
      <c r="N51" s="1570"/>
      <c r="O51" s="1570"/>
      <c r="P51" s="1570"/>
      <c r="Q51" s="1129"/>
    </row>
    <row r="52" spans="1:17" ht="61.8">
      <c r="A52" s="1128"/>
      <c r="B52" s="1056"/>
      <c r="C52" s="1054"/>
      <c r="D52" s="1380"/>
      <c r="E52" s="942"/>
      <c r="F52" s="1312"/>
      <c r="G52" s="942"/>
      <c r="H52" s="942"/>
      <c r="I52" s="942"/>
      <c r="J52" s="1381"/>
      <c r="K52" s="942"/>
      <c r="L52" s="1381"/>
      <c r="M52" s="942"/>
      <c r="N52" s="942"/>
      <c r="O52" s="942"/>
      <c r="P52" s="1055"/>
      <c r="Q52" s="1129"/>
    </row>
    <row r="53" spans="1:17" ht="70.2" customHeight="1">
      <c r="A53" s="1128"/>
      <c r="B53" s="1571" t="s">
        <v>708</v>
      </c>
      <c r="C53" s="1571"/>
      <c r="D53" s="1571"/>
      <c r="E53" s="1571"/>
      <c r="F53" s="1571"/>
      <c r="G53" s="1571"/>
      <c r="H53" s="1571"/>
      <c r="I53" s="1571"/>
      <c r="J53" s="1571"/>
      <c r="K53" s="1571"/>
      <c r="L53" s="1571"/>
      <c r="M53" s="1571"/>
      <c r="N53" s="1571"/>
      <c r="O53" s="1571"/>
      <c r="P53" s="1571"/>
      <c r="Q53" s="1129"/>
    </row>
    <row r="54" spans="1:17" ht="61.8">
      <c r="A54" s="1128"/>
      <c r="B54" s="1056"/>
      <c r="C54" s="1054"/>
      <c r="D54" s="1380"/>
      <c r="E54" s="942"/>
      <c r="F54" s="1312"/>
      <c r="G54" s="942"/>
      <c r="H54" s="942"/>
      <c r="I54" s="942"/>
      <c r="J54" s="1381"/>
      <c r="K54" s="942"/>
      <c r="L54" s="1381"/>
      <c r="M54" s="942"/>
      <c r="N54" s="942"/>
      <c r="O54" s="942"/>
      <c r="P54" s="1055"/>
      <c r="Q54" s="1129"/>
    </row>
    <row r="55" spans="1:17" ht="62.4" thickBot="1">
      <c r="A55" s="1151"/>
      <c r="B55" s="1152"/>
      <c r="C55" s="1140"/>
      <c r="D55" s="1382"/>
      <c r="E55" s="1141"/>
      <c r="F55" s="1383"/>
      <c r="G55" s="1141"/>
      <c r="H55" s="1141"/>
      <c r="I55" s="1141"/>
      <c r="J55" s="1384"/>
      <c r="K55" s="1141"/>
      <c r="L55" s="1384"/>
      <c r="M55" s="1141"/>
      <c r="N55" s="1141"/>
      <c r="O55" s="1141"/>
      <c r="P55" s="1143"/>
      <c r="Q55" s="1144"/>
    </row>
    <row r="56" spans="1:17" ht="61.8">
      <c r="B56" s="1046"/>
    </row>
    <row r="57" spans="1:17" ht="61.8">
      <c r="B57" s="1046"/>
    </row>
    <row r="58" spans="1:17" ht="61.8">
      <c r="B58" s="1046"/>
    </row>
    <row r="59" spans="1:17" ht="61.8">
      <c r="B59" s="1046"/>
    </row>
    <row r="60" spans="1:17" ht="61.8">
      <c r="B60" s="1046"/>
    </row>
    <row r="61" spans="1:17" ht="61.8">
      <c r="B61" s="1046"/>
    </row>
    <row r="62" spans="1:17" ht="61.8">
      <c r="B62" s="1046"/>
    </row>
    <row r="63" spans="1:17" s="740" customFormat="1" ht="61.8">
      <c r="A63" s="743"/>
      <c r="B63" s="1046"/>
      <c r="D63" s="1307"/>
      <c r="E63" s="741"/>
      <c r="F63" s="1308"/>
      <c r="G63" s="741"/>
      <c r="H63" s="741"/>
      <c r="I63" s="741"/>
      <c r="J63" s="1309"/>
      <c r="K63" s="741"/>
      <c r="L63" s="1309"/>
      <c r="M63" s="741"/>
      <c r="N63" s="741"/>
      <c r="O63" s="741"/>
      <c r="P63" s="742"/>
      <c r="Q63" s="743"/>
    </row>
    <row r="64" spans="1:17" s="740" customFormat="1" ht="61.8">
      <c r="A64" s="743"/>
      <c r="B64" s="1046"/>
      <c r="D64" s="1307"/>
      <c r="E64" s="741"/>
      <c r="F64" s="1308"/>
      <c r="G64" s="741"/>
      <c r="H64" s="741"/>
      <c r="I64" s="741"/>
      <c r="J64" s="1309"/>
      <c r="K64" s="741"/>
      <c r="L64" s="1309"/>
      <c r="M64" s="741"/>
      <c r="N64" s="741"/>
      <c r="O64" s="741"/>
      <c r="P64" s="742"/>
      <c r="Q64" s="743"/>
    </row>
    <row r="65" spans="1:17" s="740" customFormat="1" ht="61.8">
      <c r="A65" s="743"/>
      <c r="B65" s="1046"/>
      <c r="D65" s="1307"/>
      <c r="E65" s="741"/>
      <c r="F65" s="1308"/>
      <c r="G65" s="741"/>
      <c r="H65" s="741"/>
      <c r="I65" s="741"/>
      <c r="J65" s="1309"/>
      <c r="K65" s="741"/>
      <c r="L65" s="1309"/>
      <c r="M65" s="741"/>
      <c r="N65" s="741"/>
      <c r="O65" s="741"/>
      <c r="P65" s="742"/>
      <c r="Q65" s="743"/>
    </row>
    <row r="66" spans="1:17" s="740" customFormat="1" ht="61.8">
      <c r="A66" s="743"/>
      <c r="B66" s="1046"/>
      <c r="D66" s="1307"/>
      <c r="E66" s="741"/>
      <c r="F66" s="1308"/>
      <c r="G66" s="741"/>
      <c r="H66" s="741"/>
      <c r="I66" s="741"/>
      <c r="J66" s="1309"/>
      <c r="K66" s="741"/>
      <c r="L66" s="1309"/>
      <c r="M66" s="741"/>
      <c r="N66" s="741"/>
      <c r="O66" s="741"/>
      <c r="P66" s="742"/>
      <c r="Q66" s="743"/>
    </row>
    <row r="67" spans="1:17" s="740" customFormat="1" ht="61.8">
      <c r="A67" s="743"/>
      <c r="B67" s="1046"/>
      <c r="D67" s="1307"/>
      <c r="E67" s="741"/>
      <c r="F67" s="1308"/>
      <c r="G67" s="741"/>
      <c r="H67" s="741"/>
      <c r="I67" s="741"/>
      <c r="J67" s="1309"/>
      <c r="K67" s="741"/>
      <c r="L67" s="1309"/>
      <c r="M67" s="741"/>
      <c r="N67" s="741"/>
      <c r="O67" s="741"/>
      <c r="P67" s="742"/>
      <c r="Q67" s="743"/>
    </row>
    <row r="68" spans="1:17" s="740" customFormat="1" ht="61.8">
      <c r="A68" s="743"/>
      <c r="B68" s="1046"/>
      <c r="D68" s="1307"/>
      <c r="E68" s="741"/>
      <c r="F68" s="1308"/>
      <c r="G68" s="741"/>
      <c r="H68" s="741"/>
      <c r="I68" s="741"/>
      <c r="J68" s="1309"/>
      <c r="K68" s="741"/>
      <c r="L68" s="1309"/>
      <c r="M68" s="741"/>
      <c r="N68" s="741"/>
      <c r="O68" s="741"/>
      <c r="P68" s="742"/>
      <c r="Q68" s="743"/>
    </row>
    <row r="69" spans="1:17" s="740" customFormat="1" ht="61.8">
      <c r="A69" s="743"/>
      <c r="B69" s="1046"/>
      <c r="D69" s="1307"/>
      <c r="E69" s="741"/>
      <c r="F69" s="1308"/>
      <c r="G69" s="741"/>
      <c r="H69" s="741"/>
      <c r="I69" s="741"/>
      <c r="J69" s="1309"/>
      <c r="K69" s="741"/>
      <c r="L69" s="1309"/>
      <c r="M69" s="741"/>
      <c r="N69" s="741"/>
      <c r="O69" s="741"/>
      <c r="P69" s="742"/>
      <c r="Q69" s="743"/>
    </row>
    <row r="70" spans="1:17" s="740" customFormat="1" ht="61.8">
      <c r="A70" s="743"/>
      <c r="B70" s="1046"/>
      <c r="D70" s="1307"/>
      <c r="E70" s="741"/>
      <c r="F70" s="1308"/>
      <c r="G70" s="741"/>
      <c r="H70" s="741"/>
      <c r="I70" s="741"/>
      <c r="J70" s="1309"/>
      <c r="K70" s="741"/>
      <c r="L70" s="1309"/>
      <c r="M70" s="741"/>
      <c r="N70" s="741"/>
      <c r="O70" s="741"/>
      <c r="P70" s="742"/>
      <c r="Q70" s="743"/>
    </row>
    <row r="71" spans="1:17" s="740" customFormat="1" ht="61.8">
      <c r="A71" s="743"/>
      <c r="B71" s="1046"/>
      <c r="D71" s="1307"/>
      <c r="E71" s="741"/>
      <c r="F71" s="1308"/>
      <c r="G71" s="741"/>
      <c r="H71" s="741"/>
      <c r="I71" s="741"/>
      <c r="J71" s="1309"/>
      <c r="K71" s="741"/>
      <c r="L71" s="1309"/>
      <c r="M71" s="741"/>
      <c r="N71" s="741"/>
      <c r="O71" s="741"/>
      <c r="P71" s="742"/>
      <c r="Q71" s="743"/>
    </row>
    <row r="72" spans="1:17" s="740" customFormat="1" ht="61.8">
      <c r="A72" s="743"/>
      <c r="B72" s="1046"/>
      <c r="D72" s="1307"/>
      <c r="E72" s="741"/>
      <c r="F72" s="1308"/>
      <c r="G72" s="741"/>
      <c r="H72" s="741"/>
      <c r="I72" s="741"/>
      <c r="J72" s="1309"/>
      <c r="K72" s="741"/>
      <c r="L72" s="1309"/>
      <c r="M72" s="741"/>
      <c r="N72" s="741"/>
      <c r="O72" s="741"/>
      <c r="P72" s="742"/>
      <c r="Q72" s="743"/>
    </row>
    <row r="73" spans="1:17" s="740" customFormat="1" ht="61.8">
      <c r="A73" s="743"/>
      <c r="B73" s="1046"/>
      <c r="D73" s="1307"/>
      <c r="E73" s="741"/>
      <c r="F73" s="1308"/>
      <c r="G73" s="741"/>
      <c r="H73" s="741"/>
      <c r="I73" s="741"/>
      <c r="J73" s="1309"/>
      <c r="K73" s="741"/>
      <c r="L73" s="1309"/>
      <c r="M73" s="741"/>
      <c r="N73" s="741"/>
      <c r="O73" s="741"/>
      <c r="P73" s="742"/>
      <c r="Q73" s="743"/>
    </row>
    <row r="74" spans="1:17" s="740" customFormat="1" ht="61.8">
      <c r="A74" s="743"/>
      <c r="B74" s="1046"/>
      <c r="D74" s="1307"/>
      <c r="E74" s="741"/>
      <c r="F74" s="1308"/>
      <c r="G74" s="741"/>
      <c r="H74" s="741"/>
      <c r="I74" s="741"/>
      <c r="J74" s="1309"/>
      <c r="K74" s="741"/>
      <c r="L74" s="1309"/>
      <c r="M74" s="741"/>
      <c r="N74" s="741"/>
      <c r="O74" s="741"/>
      <c r="P74" s="742"/>
      <c r="Q74" s="743"/>
    </row>
    <row r="75" spans="1:17" s="740" customFormat="1" ht="61.8">
      <c r="A75" s="743"/>
      <c r="B75" s="1046"/>
      <c r="D75" s="1307"/>
      <c r="E75" s="741"/>
      <c r="F75" s="1308"/>
      <c r="G75" s="741"/>
      <c r="H75" s="741"/>
      <c r="I75" s="741"/>
      <c r="J75" s="1309"/>
      <c r="K75" s="741"/>
      <c r="L75" s="1309"/>
      <c r="M75" s="741"/>
      <c r="N75" s="741"/>
      <c r="O75" s="741"/>
      <c r="P75" s="742"/>
      <c r="Q75" s="743"/>
    </row>
    <row r="76" spans="1:17" s="740" customFormat="1" ht="61.8">
      <c r="A76" s="743"/>
      <c r="B76" s="1046"/>
      <c r="D76" s="1307"/>
      <c r="E76" s="741"/>
      <c r="F76" s="1308"/>
      <c r="G76" s="741"/>
      <c r="H76" s="741"/>
      <c r="I76" s="741"/>
      <c r="J76" s="1309"/>
      <c r="K76" s="741"/>
      <c r="L76" s="1309"/>
      <c r="M76" s="741"/>
      <c r="N76" s="741"/>
      <c r="O76" s="741"/>
      <c r="P76" s="742"/>
      <c r="Q76" s="743"/>
    </row>
    <row r="77" spans="1:17" s="740" customFormat="1" ht="61.8">
      <c r="A77" s="743"/>
      <c r="B77" s="1046"/>
      <c r="D77" s="1307"/>
      <c r="E77" s="741"/>
      <c r="F77" s="1308"/>
      <c r="G77" s="741"/>
      <c r="H77" s="741"/>
      <c r="I77" s="741"/>
      <c r="J77" s="1309"/>
      <c r="K77" s="741"/>
      <c r="L77" s="1309"/>
      <c r="M77" s="741"/>
      <c r="N77" s="741"/>
      <c r="O77" s="741"/>
      <c r="P77" s="742"/>
      <c r="Q77" s="743"/>
    </row>
  </sheetData>
  <autoFilter ref="B9:P9"/>
  <mergeCells count="14">
    <mergeCell ref="B51:P51"/>
    <mergeCell ref="B53:P53"/>
    <mergeCell ref="B12:B15"/>
    <mergeCell ref="B17:B19"/>
    <mergeCell ref="B23:B34"/>
    <mergeCell ref="B36:B39"/>
    <mergeCell ref="B41:B43"/>
    <mergeCell ref="B46:C46"/>
    <mergeCell ref="C2:P2"/>
    <mergeCell ref="B4:D5"/>
    <mergeCell ref="E4:P5"/>
    <mergeCell ref="B7:C7"/>
    <mergeCell ref="D7:H7"/>
    <mergeCell ref="I7:P7"/>
  </mergeCells>
  <pageMargins left="0.70866141732283472" right="0.70866141732283472" top="0.74803149606299213" bottom="0.74803149606299213" header="0.31496062992125984" footer="0.31496062992125984"/>
  <pageSetup paperSize="1002" scale="15" orientation="landscape" r:id="rId1"/>
  <rowBreaks count="3" manualBreakCount="3">
    <brk id="17" min="1" max="45" man="1"/>
    <brk id="35" min="1" max="45" man="1"/>
    <brk id="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PLAN FINANCIERO COMPLETO</vt:lpstr>
      <vt:lpstr>RESUMEN PLAN FINANCIERO (2)</vt:lpstr>
      <vt:lpstr>RESUMEN PLAN FINANCIERO</vt:lpstr>
      <vt:lpstr>HOMOLOGACION 2020</vt:lpstr>
      <vt:lpstr>MATRIZ PLURIANUAL (2)</vt:lpstr>
      <vt:lpstr>ANEXO AJUSTES SEGUNDO DEBATE</vt:lpstr>
      <vt:lpstr>PLAN PLURIANUAL DE INVERSIONES</vt:lpstr>
      <vt:lpstr>PLAN DE USOS POR VIGENCIA</vt:lpstr>
      <vt:lpstr>PLAN DE USOS PARA DIPUTADOS ini</vt:lpstr>
      <vt:lpstr>PLAN DE USOS PARA DIPUTADOS (2</vt:lpstr>
      <vt:lpstr>PLAN DE USOS POR VIGENCIA VIEJO</vt:lpstr>
      <vt:lpstr>PLAN DE USOS Y FUENTES</vt:lpstr>
      <vt:lpstr>PLAN DE USOS Y FUENTES % </vt:lpstr>
      <vt:lpstr>ANEXO 2 INVERSION</vt:lpstr>
      <vt:lpstr>ICLD</vt:lpstr>
      <vt:lpstr>ESTAMPILLAS</vt:lpstr>
      <vt:lpstr>DESTINACIÓN ESPECÍFICA</vt:lpstr>
      <vt:lpstr>'ANEXO 2 INVERSION'!Área_de_impresión</vt:lpstr>
      <vt:lpstr>'ANEXO AJUSTES SEGUNDO DEBATE'!Área_de_impresión</vt:lpstr>
      <vt:lpstr>'PLAN DE USOS PARA DIPUTADOS (2'!Área_de_impresión</vt:lpstr>
      <vt:lpstr>'PLAN DE USOS PARA DIPUTADOS ini'!Área_de_impresión</vt:lpstr>
      <vt:lpstr>'PLAN DE USOS POR VIGENCIA VIEJO'!Área_de_impresión</vt:lpstr>
      <vt:lpstr>'PLAN DE USOS Y FUENTES'!Área_de_impresión</vt:lpstr>
      <vt:lpstr>'PLAN DE USOS Y FUENTES % '!Área_de_impresión</vt:lpstr>
      <vt:lpstr>'PLAN FINANCIERO COMPLETO'!Área_de_impresión</vt:lpstr>
      <vt:lpstr>'RESUMEN PLAN FINANCIERO'!Área_de_impresión</vt:lpstr>
      <vt:lpstr>'RESUMEN PLAN FINANCIERO (2)'!Área_de_impresión</vt:lpstr>
      <vt:lpstr>'ANEXO 2 INVERSION'!Títulos_a_imprimir</vt:lpstr>
      <vt:lpstr>'PLAN DE USOS PARA DIPUTADOS (2'!Títulos_a_imprimir</vt:lpstr>
      <vt:lpstr>'PLAN DE USOS PARA DIPUTADOS ini'!Títulos_a_imprimir</vt:lpstr>
      <vt:lpstr>'PLAN DE USOS POR VIGENCIA'!Títulos_a_imprimir</vt:lpstr>
      <vt:lpstr>'PLAN DE USOS POR VIGENCIA VIEJO'!Títulos_a_imprimir</vt:lpstr>
      <vt:lpstr>'PLAN DE USOS Y FUENTES'!Títulos_a_imprimir</vt:lpstr>
      <vt:lpstr>'PLAN DE USOS Y FUENTES % '!Títulos_a_imprimir</vt:lpstr>
      <vt:lpstr>'PLAN FINANCIERO COMPLETO'!Títulos_a_imprimir</vt:lpstr>
      <vt:lpstr>'PLAN PLURIANUAL DE INVERSIONES'!Títulos_a_imprimir</vt:lpstr>
    </vt:vector>
  </TitlesOfParts>
  <Company>Luffi</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JESSICA GONZALEZ</cp:lastModifiedBy>
  <cp:lastPrinted>2020-04-22T14:19:03Z</cp:lastPrinted>
  <dcterms:created xsi:type="dcterms:W3CDTF">2012-05-26T21:03:48Z</dcterms:created>
  <dcterms:modified xsi:type="dcterms:W3CDTF">2020-05-29T21:24:51Z</dcterms:modified>
</cp:coreProperties>
</file>