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" yWindow="2655" windowWidth="9525" windowHeight="1170"/>
  </bookViews>
  <sheets>
    <sheet name="CONSOLIDADO" sheetId="22" r:id="rId1"/>
  </sheets>
  <externalReferences>
    <externalReference r:id="rId2"/>
    <externalReference r:id="rId3"/>
  </externalReferences>
  <definedNames>
    <definedName name="_Order1" hidden="1">255</definedName>
    <definedName name="_Order2" hidden="1">255</definedName>
    <definedName name="_R" hidden="1">{"INGRESOS DOLARES",#N/A,FALSE,"informes"}</definedName>
    <definedName name="_sgp2009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_xlnm.Database">#REF!</definedName>
    <definedName name="BBBB">'[1]GASTOS 2003'!$A$4:$N$274</definedName>
    <definedName name="bnño4swrlnaplnmfgmn" hidden="1">{#N/A,#N/A,FALSE,"informes"}</definedName>
    <definedName name="bsgdkjnbaklde" hidden="1">{"INGRESOS DOLARES",#N/A,FALSE,"informes"}</definedName>
    <definedName name="CC" hidden="1">{#N/A,#N/A,FALSE,"informes"}</definedName>
    <definedName name="EE" hidden="1">{#N/A,#N/A,FALSE,"informes"}</definedName>
    <definedName name="FBAWV" hidden="1">{#N/A,#N/A,FALSE,"informes"}</definedName>
    <definedName name="ff" hidden="1">{#N/A,#N/A,FALSE,"informes"}</definedName>
    <definedName name="FHKJBEARNKBW" hidden="1">{"INGRESOS DOLARES",#N/A,FALSE,"informes"}</definedName>
    <definedName name="fkjrthnk3t" hidden="1">{"PAGOS DOLARES",#N/A,FALSE,"informes"}</definedName>
    <definedName name="fmdñklje" hidden="1">{#N/A,#N/A,FALSE,"informes"}</definedName>
    <definedName name="gfnmgfxmmfg" hidden="1">{#N/A,#N/A,FALSE,"informes"}</definedName>
    <definedName name="gg" hidden="1">{#N/A,#N/A,FALSE,"informes"}</definedName>
    <definedName name="ghhhhhhhhhhhhhhhhhhhhhhhh" hidden="1">{"PAGOS DOLARES",#N/A,FALSE,"informes"}</definedName>
    <definedName name="gjrtiury6iryrirjyrysyrjyrjstrtjs" hidden="1">{#N/A,#N/A,FALSE,"informes"}</definedName>
    <definedName name="gkljae" hidden="1">{"PAGOS DOLARES",#N/A,FALSE,"informes"}</definedName>
    <definedName name="glkjheanbwBT" hidden="1">{"PAGOS DOLARES",#N/A,FALSE,"informes"}</definedName>
    <definedName name="GRAFICO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gyirxsryyjry" hidden="1">{"INGRESOS DOLARES",#N/A,FALSE,"informes"}</definedName>
    <definedName name="h" hidden="1">{#N/A,#N/A,FALSE,"informes"}</definedName>
    <definedName name="hdtya547i76riei" hidden="1">{"PAGOS DOLARES",#N/A,FALSE,"informes"}</definedName>
    <definedName name="hfdha" hidden="1">{"INGRESOS DOLARES",#N/A,FALSE,"informes"}</definedName>
    <definedName name="hh" hidden="1">{#N/A,#N/A,FALSE,"informes"}</definedName>
    <definedName name="hjzr" hidden="1">{#N/A,#N/A,FALSE,"informes"}</definedName>
    <definedName name="hkmzlnmobznozdkgnodzo" hidden="1">{#N/A,#N/A,FALSE,"informes"}</definedName>
    <definedName name="hmj" hidden="1">{#N/A,#N/A,FALSE,"informes"}</definedName>
    <definedName name="j6yuu" hidden="1">{#N/A,#N/A,FALSE,"informes"}</definedName>
    <definedName name="jasejrj" hidden="1">{"INGRESOS DOLARES",#N/A,FALSE,"informes"}</definedName>
    <definedName name="jbkgjhfhkjih" hidden="1">{#N/A,#N/A,FALSE,"informes"}</definedName>
    <definedName name="jes" hidden="1">{"INGRESOS DOLARES",#N/A,FALSE,"informes"}</definedName>
    <definedName name="jgfz" hidden="1">{"PAGOS DOLARES",#N/A,FALSE,"informes"}</definedName>
    <definedName name="jgjgj" hidden="1">{#N/A,#N/A,FALSE,"informes"}</definedName>
    <definedName name="jhet" hidden="1">{#N/A,#N/A,FALSE,"informes"}</definedName>
    <definedName name="jhtutuyu6iiiiiiiiiiiiiiiiiiiii" hidden="1">{#N/A,#N/A,FALSE,"informes"}</definedName>
    <definedName name="jhxkluxtikys" hidden="1">{"INGRESOS DOLARES",#N/A,FALSE,"informes"}</definedName>
    <definedName name="jkxhklxr7yikyxrjkr" hidden="1">{"PAGOS DOLARES",#N/A,FALSE,"informes"}</definedName>
    <definedName name="jreszjz" hidden="1">{#N/A,#N/A,FALSE,"informes"}</definedName>
    <definedName name="jrxsyktuod" hidden="1">{#N/A,#N/A,FALSE,"informes"}</definedName>
    <definedName name="k.snkm" hidden="1">{"PAGOS DOLARES",#N/A,FALSE,"informes"}</definedName>
    <definedName name="kbijdbgea" hidden="1">{"PAGOS DOLARES",#N/A,FALSE,"informes"}</definedName>
    <definedName name="KBJAENB" hidden="1">{"INGRESOS DOLARES",#N/A,FALSE,"informes"}</definedName>
    <definedName name="KDJNHEANBH" hidden="1">{"INGRESOS DOLARES",#N/A,FALSE,"informes"}</definedName>
    <definedName name="kghs6r4k" hidden="1">{#N/A,#N/A,FALSE,"informes"}</definedName>
    <definedName name="KK" hidden="1">{#N/A,#N/A,FALSE,"informes"}</definedName>
    <definedName name="kky" hidden="1">{#N/A,#N/A,FALSE,"informes"}</definedName>
    <definedName name="kryxskrxkl" hidden="1">{#N/A,#N/A,FALSE,"informes"}</definedName>
    <definedName name="lkrjslkndalñkvnkea" hidden="1">{"INGRESOS DOLARES",#N/A,FALSE,"informes"}</definedName>
    <definedName name="nfoajañañldlfdkfkfgkfggjgjgj" hidden="1">{"PAGOS DOLARES",#N/A,FALSE,"informes"}</definedName>
    <definedName name="njzetzektryk" hidden="1">{"PAGOS DOLARES",#N/A,FALSE,"informes"}</definedName>
    <definedName name="nklfrtmhosdgmlfgpnjrmsnmlrmn" hidden="1">{#N/A,#N/A,FALSE,"informes"}</definedName>
    <definedName name="nmklmeaknkgñlnkkgnmplrsñmjg" hidden="1">{#N/A,#N/A,FALSE,"informes"}</definedName>
    <definedName name="nmltmylnmapemhammonkha" hidden="1">{"PAGOS DOLARES",#N/A,FALSE,"informes"}</definedName>
    <definedName name="NNNN">'[1]GASTOS 2003'!$A$4:$N$274</definedName>
    <definedName name="noñkrmjeamnmtlnmkbvnsr" hidden="1">{#N/A,#N/A,FALSE,"informes"}</definedName>
    <definedName name="nsfj" hidden="1">{"PAGOS DOLARES",#N/A,FALSE,"informes"}</definedName>
    <definedName name="ÑÑ" hidden="1">{"INGRESOS DOLARES",#N/A,FALSE,"informes"}</definedName>
    <definedName name="oìjhioeonmonmea" hidden="1">{#N/A,#N/A,FALSE,"informes"}</definedName>
    <definedName name="OO" hidden="1">{"PAGOS DOLARES",#N/A,FALSE,"informes"}</definedName>
    <definedName name="ORTJBJBHKBFNKJD" hidden="1">{"INGRESOS DOLARES",#N/A,FALSE,"informes"}</definedName>
    <definedName name="PONJRYIONJPEKHN" hidden="1">{#N/A,#N/A,FALSE,"informes"}</definedName>
    <definedName name="pp" hidden="1">{"INGRESOS DOLARES",#N/A,FALSE,"informes"}</definedName>
    <definedName name="rhjr" hidden="1">{"INGRESOS DOLARES",#N/A,FALSE,"informes"}</definedName>
    <definedName name="rr" hidden="1">{#N/A,#N/A,FALSE,"informes"}</definedName>
    <definedName name="skghafdn" hidden="1">{"PAGOS DOLARES",#N/A,FALSE,"informes"}</definedName>
    <definedName name="SS" hidden="1">{"PAGOS DOLARES",#N/A,FALSE,"informes"}</definedName>
    <definedName name="TT" hidden="1">{"PAGOS DOLARES",#N/A,FALSE,"informes"}</definedName>
    <definedName name="ttt" hidden="1">{"INGRESOS DOLARES",#N/A,FALSE,"informes"}</definedName>
    <definedName name="tyhjuopiwhsonjjy" hidden="1">{#N/A,#N/A,FALSE,"informes"}</definedName>
    <definedName name="usrg" hidden="1">{#N/A,#N/A,FALSE,"informes"}</definedName>
    <definedName name="uu" hidden="1">{"PAGOS DOLARES",#N/A,FALSE,"informes"}</definedName>
    <definedName name="uyuy" hidden="1">{"PAGOS DOLARES",#N/A,FALSE,"informes"}</definedName>
    <definedName name="vknmryspo" hidden="1">{#N/A,#N/A,FALSE,"informes"}</definedName>
    <definedName name="VKNRSKNLRSJYÑKLNHJ" hidden="1">{"PAGOS DOLARES",#N/A,FALSE,"informes"}</definedName>
    <definedName name="wqed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rn.INGRESOS._.DOLARES." hidden="1">{"INGRESOS DOLARES",#N/A,FALSE,"informes"}</definedName>
    <definedName name="wrn.INGRESOS._.PESOS." hidden="1">{#N/A,#N/A,FALSE,"informes"}</definedName>
    <definedName name="wrn.PAGOS._.DOLARES." hidden="1">{"PAGOS DOLARES",#N/A,FALSE,"informes"}</definedName>
    <definedName name="wrn.PAGOS._.PESOS." hidden="1">{#N/A,#N/A,FALSE,"informes"}</definedName>
    <definedName name="yjwi4ojonpiyjioha" hidden="1">{#N/A,#N/A,FALSE,"informes"}</definedName>
  </definedNames>
  <calcPr calcId="145621"/>
</workbook>
</file>

<file path=xl/calcChain.xml><?xml version="1.0" encoding="utf-8"?>
<calcChain xmlns="http://schemas.openxmlformats.org/spreadsheetml/2006/main">
  <c r="AL332" i="22" l="1"/>
  <c r="AM531" i="22" l="1"/>
  <c r="AM532" i="22"/>
  <c r="AM533" i="22"/>
  <c r="AM534" i="22"/>
  <c r="AN382" i="22"/>
  <c r="AN383" i="22"/>
  <c r="AN385" i="22"/>
  <c r="AN386" i="22"/>
  <c r="AN387" i="22"/>
  <c r="AN388" i="22"/>
  <c r="AN391" i="22"/>
  <c r="AN392" i="22"/>
  <c r="AN393" i="22"/>
  <c r="AN394" i="22"/>
  <c r="AN395" i="22"/>
  <c r="AN396" i="22"/>
  <c r="AN397" i="22"/>
  <c r="AN398" i="22"/>
  <c r="AN561" i="22" l="1"/>
  <c r="AM561" i="22"/>
  <c r="AL561" i="22"/>
  <c r="AK561" i="22"/>
  <c r="AL528" i="22"/>
  <c r="AL521" i="22"/>
  <c r="AN521" i="22"/>
  <c r="AM521" i="22"/>
  <c r="AM459" i="22"/>
  <c r="AN459" i="22"/>
  <c r="AN448" i="22"/>
  <c r="AM448" i="22"/>
  <c r="AN406" i="22"/>
  <c r="AM406" i="22"/>
  <c r="AN316" i="22"/>
  <c r="AM316" i="22"/>
  <c r="AL316" i="22"/>
  <c r="AN188" i="22"/>
  <c r="AM188" i="22"/>
  <c r="AL188" i="22"/>
  <c r="AN28" i="22"/>
  <c r="AM28" i="22"/>
  <c r="AL28" i="22"/>
  <c r="AL482" i="22" l="1"/>
  <c r="AN444" i="22"/>
  <c r="AN443" i="22"/>
  <c r="AM444" i="22"/>
  <c r="AM443" i="22"/>
  <c r="AL444" i="22"/>
  <c r="AL443" i="22"/>
  <c r="AN442" i="22"/>
  <c r="AM442" i="22"/>
  <c r="AL442" i="22"/>
  <c r="AL440" i="22"/>
  <c r="AK417" i="22"/>
  <c r="AM287" i="22"/>
  <c r="AM255" i="22"/>
  <c r="AL255" i="22"/>
  <c r="AL211" i="22"/>
  <c r="AN201" i="22"/>
  <c r="AM201" i="22"/>
  <c r="AL201" i="22"/>
  <c r="AK201" i="22"/>
  <c r="AL56" i="22"/>
  <c r="AK11" i="22"/>
  <c r="C7" i="22" l="1"/>
  <c r="B33" i="22"/>
  <c r="C34" i="22"/>
  <c r="B85" i="22"/>
  <c r="C86" i="22"/>
  <c r="B422" i="22"/>
  <c r="C423" i="22"/>
  <c r="B519" i="22"/>
  <c r="C520" i="22"/>
  <c r="B585" i="22"/>
  <c r="B586" i="22"/>
  <c r="AK151" i="22" l="1"/>
  <c r="AK152" i="22"/>
  <c r="AK153" i="22"/>
  <c r="AK154" i="22"/>
  <c r="AK155" i="22"/>
  <c r="AJ90" i="22" l="1"/>
  <c r="AN90" i="22" s="1"/>
  <c r="AJ91" i="22"/>
  <c r="AN91" i="22" s="1"/>
  <c r="AJ92" i="22"/>
  <c r="AN92" i="22" s="1"/>
  <c r="AJ89" i="22"/>
  <c r="AN89" i="22" s="1"/>
  <c r="AL35" i="22"/>
  <c r="AL37" i="22"/>
  <c r="AL41" i="22"/>
  <c r="AK90" i="22" l="1"/>
  <c r="AL90" i="22"/>
  <c r="AM90" i="22"/>
  <c r="AK89" i="22"/>
  <c r="AL89" i="22"/>
  <c r="AM89" i="22"/>
  <c r="AK91" i="22"/>
  <c r="AL91" i="22"/>
  <c r="AM91" i="22"/>
  <c r="AK92" i="22"/>
  <c r="AL92" i="22"/>
  <c r="AM92" i="22"/>
  <c r="AJ523" i="22" l="1"/>
  <c r="AJ524" i="22"/>
  <c r="AJ467" i="22"/>
  <c r="AK467" i="22" s="1"/>
  <c r="AJ465" i="22"/>
  <c r="AJ446" i="22"/>
  <c r="AL446" i="22" s="1"/>
  <c r="AJ447" i="22"/>
  <c r="AJ457" i="22" l="1"/>
  <c r="AJ456" i="22"/>
  <c r="AN180" i="22" l="1"/>
  <c r="AM180" i="22"/>
  <c r="AL180" i="22"/>
  <c r="AK180" i="22"/>
  <c r="AN177" i="22"/>
  <c r="AM177" i="22"/>
  <c r="AL177" i="22"/>
  <c r="AK177" i="22"/>
  <c r="AN173" i="22"/>
  <c r="AN172" i="22"/>
  <c r="AN169" i="22"/>
  <c r="AN168" i="22"/>
  <c r="AN167" i="22"/>
  <c r="AN166" i="22"/>
  <c r="AM173" i="22"/>
  <c r="AM172" i="22"/>
  <c r="AM169" i="22"/>
  <c r="AM168" i="22"/>
  <c r="AM167" i="22"/>
  <c r="AM166" i="22"/>
  <c r="AL173" i="22"/>
  <c r="AL172" i="22"/>
  <c r="AL171" i="22"/>
  <c r="AL170" i="22"/>
  <c r="AL169" i="22"/>
  <c r="AL168" i="22"/>
  <c r="AL167" i="22"/>
  <c r="AL166" i="22"/>
  <c r="AK173" i="22"/>
  <c r="AK172" i="22"/>
  <c r="AK171" i="22"/>
  <c r="AK170" i="22"/>
  <c r="AK169" i="22"/>
  <c r="AK168" i="22"/>
  <c r="AK167" i="22"/>
  <c r="AK166" i="22"/>
  <c r="AJ123" i="22"/>
  <c r="AJ122" i="22"/>
  <c r="AJ121" i="22"/>
  <c r="AJ120" i="22"/>
  <c r="AJ119" i="22"/>
  <c r="AJ118" i="22"/>
  <c r="AK40" i="22"/>
  <c r="AM24" i="22" l="1"/>
  <c r="AK24" i="22"/>
  <c r="AL21" i="22"/>
  <c r="AM17" i="22"/>
  <c r="AK16" i="22"/>
  <c r="AK13" i="22"/>
  <c r="AJ582" i="22" l="1"/>
  <c r="AJ580" i="22"/>
  <c r="AJ579" i="22"/>
  <c r="AJ578" i="22"/>
  <c r="AJ577" i="22"/>
  <c r="AJ576" i="22"/>
  <c r="AJ575" i="22"/>
  <c r="AJ574" i="22"/>
  <c r="AJ573" i="22"/>
  <c r="AJ572" i="22"/>
  <c r="AJ571" i="22"/>
  <c r="AJ569" i="22"/>
  <c r="AJ568" i="22"/>
  <c r="AJ567" i="22"/>
  <c r="AJ566" i="22"/>
  <c r="AJ564" i="22"/>
  <c r="AJ563" i="22"/>
  <c r="AJ562" i="22"/>
  <c r="AJ561" i="22"/>
  <c r="AJ560" i="22"/>
  <c r="AJ559" i="22"/>
  <c r="AJ558" i="22"/>
  <c r="AJ557" i="22"/>
  <c r="AJ556" i="22"/>
  <c r="AJ555" i="22"/>
  <c r="AJ554" i="22"/>
  <c r="AJ553" i="22"/>
  <c r="AJ552" i="22"/>
  <c r="AJ551" i="22"/>
  <c r="AJ550" i="22"/>
  <c r="AJ547" i="22"/>
  <c r="AJ546" i="22"/>
  <c r="AJ545" i="22"/>
  <c r="AJ544" i="22"/>
  <c r="AJ543" i="22"/>
  <c r="AJ542" i="22"/>
  <c r="AJ541" i="22"/>
  <c r="AJ540" i="22"/>
  <c r="AJ539" i="22"/>
  <c r="AJ538" i="22"/>
  <c r="AJ537" i="22"/>
  <c r="AJ536" i="22"/>
  <c r="AJ534" i="22"/>
  <c r="AJ533" i="22"/>
  <c r="AJ532" i="22"/>
  <c r="AJ531" i="22"/>
  <c r="AJ522" i="22"/>
  <c r="AN522" i="22" s="1"/>
  <c r="AJ529" i="22"/>
  <c r="AJ528" i="22"/>
  <c r="AN528" i="22" s="1"/>
  <c r="AJ527" i="22"/>
  <c r="AJ526" i="22"/>
  <c r="AJ525" i="22"/>
  <c r="AJ521" i="22"/>
  <c r="AJ520" i="22"/>
  <c r="AJ516" i="22"/>
  <c r="AK516" i="22" s="1"/>
  <c r="AJ515" i="22"/>
  <c r="AK515" i="22" s="1"/>
  <c r="AJ514" i="22"/>
  <c r="AJ513" i="22"/>
  <c r="AJ512" i="22"/>
  <c r="AJ511" i="22"/>
  <c r="AJ510" i="22"/>
  <c r="AJ508" i="22"/>
  <c r="AJ507" i="22"/>
  <c r="AJ506" i="22"/>
  <c r="AJ504" i="22"/>
  <c r="AK504" i="22" s="1"/>
  <c r="AJ503" i="22"/>
  <c r="AN503" i="22" s="1"/>
  <c r="AJ502" i="22"/>
  <c r="AN502" i="22" s="1"/>
  <c r="AJ501" i="22"/>
  <c r="AN501" i="22" s="1"/>
  <c r="AJ500" i="22"/>
  <c r="AN500" i="22" s="1"/>
  <c r="AJ499" i="22"/>
  <c r="AN499" i="22" s="1"/>
  <c r="AJ498" i="22"/>
  <c r="AJ497" i="22"/>
  <c r="AJ496" i="22"/>
  <c r="AJ495" i="22"/>
  <c r="AJ494" i="22"/>
  <c r="AJ493" i="22"/>
  <c r="AJ492" i="22"/>
  <c r="AJ491" i="22"/>
  <c r="AJ490" i="22"/>
  <c r="AJ489" i="22"/>
  <c r="AJ488" i="22"/>
  <c r="AJ486" i="22"/>
  <c r="AK486" i="22" s="1"/>
  <c r="AJ485" i="22"/>
  <c r="AJ484" i="22"/>
  <c r="AK484" i="22" s="1"/>
  <c r="AJ483" i="22"/>
  <c r="AJ482" i="22"/>
  <c r="AJ481" i="22"/>
  <c r="AJ480" i="22"/>
  <c r="AJ478" i="22"/>
  <c r="AJ477" i="22"/>
  <c r="AJ476" i="22"/>
  <c r="AJ475" i="22"/>
  <c r="AJ474" i="22"/>
  <c r="AJ473" i="22"/>
  <c r="AJ472" i="22"/>
  <c r="AJ471" i="22"/>
  <c r="AJ470" i="22"/>
  <c r="AJ469" i="22"/>
  <c r="AJ466" i="22"/>
  <c r="AJ464" i="22"/>
  <c r="AJ463" i="22"/>
  <c r="AJ462" i="22"/>
  <c r="AJ461" i="22"/>
  <c r="AK461" i="22" s="1"/>
  <c r="AJ460" i="22"/>
  <c r="AJ459" i="22"/>
  <c r="AJ455" i="22"/>
  <c r="AJ454" i="22"/>
  <c r="AJ453" i="22"/>
  <c r="AJ452" i="22"/>
  <c r="AJ451" i="22"/>
  <c r="AJ450" i="22"/>
  <c r="AJ449" i="22"/>
  <c r="AJ448" i="22"/>
  <c r="AJ445" i="22"/>
  <c r="AK445" i="22" s="1"/>
  <c r="AJ444" i="22"/>
  <c r="AJ443" i="22"/>
  <c r="AJ442" i="22"/>
  <c r="AJ440" i="22"/>
  <c r="AJ439" i="22"/>
  <c r="AJ438" i="22"/>
  <c r="AJ437" i="22"/>
  <c r="AJ436" i="22"/>
  <c r="AJ435" i="22"/>
  <c r="AJ434" i="22"/>
  <c r="AJ433" i="22"/>
  <c r="AJ432" i="22"/>
  <c r="AJ431" i="22"/>
  <c r="AJ430" i="22"/>
  <c r="AJ429" i="22"/>
  <c r="AJ428" i="22"/>
  <c r="AJ427" i="22"/>
  <c r="AJ426" i="22"/>
  <c r="AJ425" i="22"/>
  <c r="AJ424" i="22"/>
  <c r="AJ423" i="22"/>
  <c r="AK423" i="22" s="1"/>
  <c r="AJ419" i="22"/>
  <c r="AJ418" i="22"/>
  <c r="AJ417" i="22"/>
  <c r="AJ416" i="22"/>
  <c r="AJ414" i="22"/>
  <c r="AJ413" i="22"/>
  <c r="AJ412" i="22"/>
  <c r="AJ411" i="22"/>
  <c r="AJ409" i="22"/>
  <c r="AK409" i="22" s="1"/>
  <c r="AJ408" i="22"/>
  <c r="AN408" i="22" s="1"/>
  <c r="AJ407" i="22"/>
  <c r="AJ406" i="22"/>
  <c r="AJ405" i="22"/>
  <c r="AJ404" i="22"/>
  <c r="AJ403" i="22"/>
  <c r="AN403" i="22" s="1"/>
  <c r="AJ402" i="22"/>
  <c r="AJ401" i="22"/>
  <c r="AN401" i="22" s="1"/>
  <c r="AJ400" i="22"/>
  <c r="AJ398" i="22"/>
  <c r="AJ397" i="22"/>
  <c r="AJ396" i="22"/>
  <c r="AJ395" i="22"/>
  <c r="AJ394" i="22"/>
  <c r="AJ393" i="22"/>
  <c r="AJ392" i="22"/>
  <c r="AJ391" i="22"/>
  <c r="AJ390" i="22"/>
  <c r="AJ389" i="22"/>
  <c r="AJ388" i="22"/>
  <c r="AJ387" i="22"/>
  <c r="AJ386" i="22"/>
  <c r="AJ385" i="22"/>
  <c r="AJ384" i="22"/>
  <c r="AJ383" i="22"/>
  <c r="AJ382" i="22"/>
  <c r="AJ380" i="22"/>
  <c r="AJ379" i="22"/>
  <c r="AJ378" i="22"/>
  <c r="AJ377" i="22"/>
  <c r="AJ376" i="22"/>
  <c r="AJ375" i="22"/>
  <c r="AJ374" i="22"/>
  <c r="AJ373" i="22"/>
  <c r="AJ372" i="22"/>
  <c r="AJ371" i="22"/>
  <c r="AJ370" i="22"/>
  <c r="AN370" i="22" s="1"/>
  <c r="AJ369" i="22"/>
  <c r="AN369" i="22" s="1"/>
  <c r="AJ368" i="22"/>
  <c r="AN368" i="22" s="1"/>
  <c r="AJ367" i="22"/>
  <c r="AN367" i="22" s="1"/>
  <c r="AJ366" i="22"/>
  <c r="AJ365" i="22"/>
  <c r="AJ364" i="22"/>
  <c r="AN364" i="22" s="1"/>
  <c r="AJ363" i="22"/>
  <c r="AN363" i="22" s="1"/>
  <c r="AJ362" i="22"/>
  <c r="AJ361" i="22"/>
  <c r="AJ360" i="22"/>
  <c r="AJ359" i="22"/>
  <c r="AK359" i="22" s="1"/>
  <c r="AJ358" i="22"/>
  <c r="AJ357" i="22"/>
  <c r="AJ356" i="22"/>
  <c r="AJ355" i="22"/>
  <c r="AJ354" i="22"/>
  <c r="AJ353" i="22"/>
  <c r="AJ352" i="22"/>
  <c r="AJ351" i="22"/>
  <c r="AJ350" i="22"/>
  <c r="AJ349" i="22"/>
  <c r="AJ348" i="22"/>
  <c r="AJ347" i="22"/>
  <c r="AJ346" i="22"/>
  <c r="AN346" i="22" s="1"/>
  <c r="AJ345" i="22"/>
  <c r="AJ344" i="22"/>
  <c r="AJ342" i="22"/>
  <c r="AJ341" i="22"/>
  <c r="AJ340" i="22"/>
  <c r="AJ339" i="22"/>
  <c r="AJ338" i="22"/>
  <c r="AJ337" i="22"/>
  <c r="AJ336" i="22"/>
  <c r="AJ335" i="22"/>
  <c r="AJ333" i="22"/>
  <c r="AJ332" i="22"/>
  <c r="AJ331" i="22"/>
  <c r="AJ330" i="22"/>
  <c r="AJ329" i="22"/>
  <c r="AJ328" i="22"/>
  <c r="AJ327" i="22"/>
  <c r="AJ325" i="22"/>
  <c r="AJ324" i="22"/>
  <c r="AJ323" i="22"/>
  <c r="AJ322" i="22"/>
  <c r="AJ321" i="22"/>
  <c r="AJ320" i="22"/>
  <c r="AJ319" i="22"/>
  <c r="AJ318" i="22"/>
  <c r="AJ317" i="22"/>
  <c r="AJ316" i="22"/>
  <c r="AJ315" i="22"/>
  <c r="AJ314" i="22"/>
  <c r="AJ313" i="22"/>
  <c r="AJ311" i="22"/>
  <c r="AJ308" i="22"/>
  <c r="AJ307" i="22"/>
  <c r="AJ306" i="22"/>
  <c r="AJ305" i="22"/>
  <c r="AJ304" i="22"/>
  <c r="AJ303" i="22"/>
  <c r="AJ302" i="22"/>
  <c r="AJ301" i="22"/>
  <c r="AJ300" i="22"/>
  <c r="AJ299" i="22"/>
  <c r="AJ298" i="22"/>
  <c r="AJ297" i="22"/>
  <c r="AJ296" i="22"/>
  <c r="AJ295" i="22"/>
  <c r="AJ294" i="22"/>
  <c r="AJ292" i="22"/>
  <c r="AJ291" i="22"/>
  <c r="AJ290" i="22"/>
  <c r="AJ289" i="22"/>
  <c r="AJ288" i="22"/>
  <c r="AJ287" i="22"/>
  <c r="AJ286" i="22"/>
  <c r="AJ283" i="22"/>
  <c r="AN283" i="22" s="1"/>
  <c r="AJ282" i="22"/>
  <c r="AJ281" i="22"/>
  <c r="AJ280" i="22"/>
  <c r="AJ279" i="22"/>
  <c r="AJ278" i="22"/>
  <c r="AJ277" i="22"/>
  <c r="AJ276" i="22"/>
  <c r="AJ275" i="22"/>
  <c r="AJ274" i="22"/>
  <c r="AJ266" i="22"/>
  <c r="AJ269" i="22"/>
  <c r="AJ268" i="22"/>
  <c r="AJ267" i="22"/>
  <c r="AJ262" i="22"/>
  <c r="AJ261" i="22"/>
  <c r="AJ259" i="22"/>
  <c r="AJ258" i="22"/>
  <c r="AJ256" i="22"/>
  <c r="AJ255" i="22"/>
  <c r="AJ254" i="22"/>
  <c r="AJ253" i="22"/>
  <c r="AJ252" i="22"/>
  <c r="AJ251" i="22"/>
  <c r="AJ250" i="22"/>
  <c r="AK250" i="22" s="1"/>
  <c r="AJ243" i="22"/>
  <c r="AJ242" i="22"/>
  <c r="AK242" i="22" s="1"/>
  <c r="AJ241" i="22"/>
  <c r="AJ240" i="22"/>
  <c r="AJ239" i="22"/>
  <c r="AJ238" i="22"/>
  <c r="AJ237" i="22"/>
  <c r="AJ236" i="22"/>
  <c r="AJ234" i="22"/>
  <c r="AJ233" i="22"/>
  <c r="AJ232" i="22"/>
  <c r="AJ223" i="22"/>
  <c r="AJ222" i="22"/>
  <c r="AJ221" i="22"/>
  <c r="AJ216" i="22"/>
  <c r="AJ215" i="22"/>
  <c r="AJ214" i="22"/>
  <c r="AJ213" i="22"/>
  <c r="AJ212" i="22"/>
  <c r="AJ211" i="22"/>
  <c r="AJ210" i="22"/>
  <c r="AJ208" i="22"/>
  <c r="AJ207" i="22"/>
  <c r="AJ206" i="22"/>
  <c r="AJ205" i="22"/>
  <c r="AJ204" i="22"/>
  <c r="AJ203" i="22"/>
  <c r="AJ202" i="22"/>
  <c r="AJ201" i="22"/>
  <c r="AJ200" i="22"/>
  <c r="AJ199" i="22"/>
  <c r="AL199" i="22" s="1"/>
  <c r="AJ198" i="22"/>
  <c r="AJ196" i="22"/>
  <c r="AJ193" i="22"/>
  <c r="AJ192" i="22"/>
  <c r="AJ191" i="22"/>
  <c r="AJ190" i="22"/>
  <c r="AJ189" i="22"/>
  <c r="AJ188" i="22"/>
  <c r="AJ187" i="22"/>
  <c r="AJ185" i="22"/>
  <c r="AJ184" i="22"/>
  <c r="AJ183" i="22"/>
  <c r="AJ174" i="22"/>
  <c r="AJ163" i="22"/>
  <c r="AJ117" i="22"/>
  <c r="AJ116" i="22"/>
  <c r="AJ115" i="22"/>
  <c r="AJ114" i="22"/>
  <c r="AJ113" i="22"/>
  <c r="AJ112" i="22"/>
  <c r="AJ111" i="22"/>
  <c r="AJ110" i="22"/>
  <c r="AJ109" i="22"/>
  <c r="AJ108" i="22"/>
  <c r="AJ107" i="22"/>
  <c r="AJ106" i="22"/>
  <c r="AJ105" i="22"/>
  <c r="AJ104" i="22"/>
  <c r="AJ102" i="22"/>
  <c r="AL102" i="22" s="1"/>
  <c r="AJ101" i="22"/>
  <c r="AJ100" i="22"/>
  <c r="AJ99" i="22"/>
  <c r="AJ98" i="22"/>
  <c r="AJ97" i="22"/>
  <c r="AJ96" i="22"/>
  <c r="AJ95" i="22"/>
  <c r="AJ94" i="22"/>
  <c r="AJ93" i="22"/>
  <c r="AJ87" i="22"/>
  <c r="AJ86" i="22"/>
  <c r="AJ82" i="22"/>
  <c r="AJ81" i="22"/>
  <c r="AJ80" i="22"/>
  <c r="AJ79" i="22"/>
  <c r="AJ78" i="22"/>
  <c r="AJ77" i="22"/>
  <c r="AJ76" i="22"/>
  <c r="AJ74" i="22"/>
  <c r="AJ73" i="22"/>
  <c r="AJ72" i="22"/>
  <c r="AJ71" i="22"/>
  <c r="AJ70" i="22"/>
  <c r="AJ69" i="22"/>
  <c r="AJ68" i="22"/>
  <c r="AJ67" i="22"/>
  <c r="AJ66" i="22"/>
  <c r="AJ63" i="22"/>
  <c r="AJ62" i="22"/>
  <c r="AJ61" i="22"/>
  <c r="AJ60" i="22"/>
  <c r="AJ59" i="22"/>
  <c r="AJ58" i="22"/>
  <c r="AJ57" i="22"/>
  <c r="AJ56" i="22"/>
  <c r="AJ54" i="22"/>
  <c r="AJ53" i="22"/>
  <c r="AJ52" i="22"/>
  <c r="AJ49" i="22"/>
  <c r="AJ48" i="22"/>
  <c r="AJ47" i="22"/>
  <c r="AJ46" i="22"/>
  <c r="AJ45" i="22"/>
  <c r="AJ44" i="22"/>
  <c r="AJ43" i="22"/>
  <c r="AD582" i="22"/>
  <c r="AD571" i="22"/>
  <c r="AD566" i="22"/>
  <c r="AD550" i="22"/>
  <c r="AD536" i="22"/>
  <c r="AD531" i="22"/>
  <c r="AD520" i="22"/>
  <c r="AD506" i="22"/>
  <c r="AD488" i="22"/>
  <c r="AD480" i="22"/>
  <c r="AD469" i="22"/>
  <c r="AD459" i="22"/>
  <c r="AD442" i="22"/>
  <c r="AD423" i="22"/>
  <c r="AD416" i="22"/>
  <c r="AD411" i="22"/>
  <c r="AD400" i="22"/>
  <c r="AD382" i="22"/>
  <c r="AD344" i="22"/>
  <c r="AD335" i="22"/>
  <c r="AD327" i="22"/>
  <c r="AD313" i="22"/>
  <c r="AD311" i="22"/>
  <c r="AD302" i="22"/>
  <c r="AD294" i="22"/>
  <c r="AD286" i="22"/>
  <c r="AD275" i="22"/>
  <c r="AD271" i="22"/>
  <c r="AD267" i="22"/>
  <c r="AD264" i="22"/>
  <c r="AD261" i="22"/>
  <c r="AD258" i="22"/>
  <c r="AD250" i="22"/>
  <c r="AD247" i="22"/>
  <c r="AD245" i="22"/>
  <c r="AD236" i="22"/>
  <c r="AD232" i="22"/>
  <c r="AD229" i="22"/>
  <c r="AD227" i="22"/>
  <c r="AD225" i="22"/>
  <c r="AD221" i="22"/>
  <c r="AD218" i="22"/>
  <c r="AD210" i="22"/>
  <c r="AD198" i="22"/>
  <c r="AD187" i="22"/>
  <c r="AD183" i="22"/>
  <c r="AD179" i="22"/>
  <c r="AD176" i="22"/>
  <c r="AD165" i="22"/>
  <c r="AD104" i="22"/>
  <c r="AD89" i="22"/>
  <c r="AD86" i="22"/>
  <c r="AD76" i="22"/>
  <c r="AD66" i="22"/>
  <c r="AD56" i="22"/>
  <c r="AD52" i="22"/>
  <c r="AD43" i="22"/>
  <c r="AD34" i="22"/>
  <c r="AD24" i="22"/>
  <c r="AD7" i="22"/>
  <c r="O582" i="22"/>
  <c r="O571" i="22"/>
  <c r="O566" i="22"/>
  <c r="O563" i="22"/>
  <c r="O550" i="22"/>
  <c r="O541" i="22"/>
  <c r="O536" i="22"/>
  <c r="O531" i="22"/>
  <c r="O521" i="22"/>
  <c r="O520" i="22"/>
  <c r="O512" i="22"/>
  <c r="O511" i="22"/>
  <c r="O510" i="22"/>
  <c r="O507" i="22"/>
  <c r="O506" i="22"/>
  <c r="O488" i="22"/>
  <c r="O480" i="22"/>
  <c r="O469" i="22"/>
  <c r="O461" i="22"/>
  <c r="O459" i="22"/>
  <c r="O442" i="22"/>
  <c r="O423" i="22"/>
  <c r="O416" i="22"/>
  <c r="O411" i="22"/>
  <c r="O400" i="22"/>
  <c r="O382" i="22"/>
  <c r="O375" i="22"/>
  <c r="O363" i="22"/>
  <c r="O362" i="22"/>
  <c r="O350" i="22"/>
  <c r="O347" i="22"/>
  <c r="O344" i="22"/>
  <c r="O335" i="22"/>
  <c r="O313" i="22"/>
  <c r="O311" i="22"/>
  <c r="O286" i="22"/>
  <c r="O281" i="22"/>
  <c r="O277" i="22"/>
  <c r="O275" i="22"/>
  <c r="O271" i="22"/>
  <c r="O268" i="22"/>
  <c r="O267" i="22"/>
  <c r="O264" i="22"/>
  <c r="O262" i="22"/>
  <c r="O261" i="22"/>
  <c r="O259" i="22"/>
  <c r="O258" i="22"/>
  <c r="O250" i="22"/>
  <c r="O245" i="22"/>
  <c r="O240" i="22"/>
  <c r="O238" i="22"/>
  <c r="O237" i="22"/>
  <c r="O236" i="22"/>
  <c r="O232" i="22"/>
  <c r="O221" i="22"/>
  <c r="O218" i="22"/>
  <c r="O210" i="22"/>
  <c r="O204" i="22"/>
  <c r="O198" i="22"/>
  <c r="O196" i="22"/>
  <c r="O195" i="22"/>
  <c r="O194" i="22"/>
  <c r="O193" i="22"/>
  <c r="O192" i="22"/>
  <c r="O187" i="22"/>
  <c r="O183" i="22"/>
  <c r="O179" i="22"/>
  <c r="O176" i="22"/>
  <c r="O171" i="22"/>
  <c r="O170" i="22"/>
  <c r="O169" i="22"/>
  <c r="O168" i="22"/>
  <c r="O165" i="22"/>
  <c r="O163" i="22"/>
  <c r="O161" i="22"/>
  <c r="O160" i="22"/>
  <c r="O159" i="22"/>
  <c r="O158" i="22"/>
  <c r="O157" i="22"/>
  <c r="O156" i="22"/>
  <c r="O155" i="22" l="1"/>
  <c r="Q155" i="22" s="1"/>
  <c r="O154" i="22"/>
  <c r="S154" i="22" s="1"/>
  <c r="O153" i="22"/>
  <c r="R153" i="22" s="1"/>
  <c r="O152" i="22"/>
  <c r="R152" i="22" s="1"/>
  <c r="O151" i="22"/>
  <c r="S151" i="22" s="1"/>
  <c r="O150" i="22"/>
  <c r="R150" i="22" s="1"/>
  <c r="O149" i="22"/>
  <c r="R149" i="22" s="1"/>
  <c r="O148" i="22"/>
  <c r="Q148" i="22" s="1"/>
  <c r="O146" i="22"/>
  <c r="P146" i="22" s="1"/>
  <c r="O145" i="22"/>
  <c r="S145" i="22" s="1"/>
  <c r="O144" i="22"/>
  <c r="S144" i="22" s="1"/>
  <c r="O143" i="22"/>
  <c r="S143" i="22" s="1"/>
  <c r="O142" i="22"/>
  <c r="R142" i="22" s="1"/>
  <c r="O141" i="22"/>
  <c r="P141" i="22" s="1"/>
  <c r="O140" i="22"/>
  <c r="S140" i="22" s="1"/>
  <c r="O139" i="22"/>
  <c r="R139" i="22" s="1"/>
  <c r="O138" i="22"/>
  <c r="O133" i="22"/>
  <c r="O132" i="22"/>
  <c r="Q132" i="22" s="1"/>
  <c r="O128" i="22"/>
  <c r="Q128" i="22" s="1"/>
  <c r="O127" i="22"/>
  <c r="P127" i="22" s="1"/>
  <c r="O126" i="22"/>
  <c r="R126" i="22" s="1"/>
  <c r="O124" i="22"/>
  <c r="O122" i="22"/>
  <c r="P122" i="22" s="1"/>
  <c r="O119" i="22"/>
  <c r="S119" i="22" s="1"/>
  <c r="O118" i="22"/>
  <c r="O117" i="22"/>
  <c r="O116" i="22"/>
  <c r="O115" i="22"/>
  <c r="O114" i="22"/>
  <c r="O113" i="22"/>
  <c r="O112" i="22"/>
  <c r="O107" i="22"/>
  <c r="O106" i="22"/>
  <c r="O104" i="22"/>
  <c r="O101" i="22"/>
  <c r="O100" i="22"/>
  <c r="O89" i="22"/>
  <c r="O86" i="22"/>
  <c r="O82" i="22"/>
  <c r="O80" i="22"/>
  <c r="O76" i="22"/>
  <c r="O72" i="22"/>
  <c r="O71" i="22"/>
  <c r="O70" i="22"/>
  <c r="O66" i="22"/>
  <c r="O58" i="22"/>
  <c r="O57" i="22"/>
  <c r="O56" i="22"/>
  <c r="O52" i="22"/>
  <c r="O43" i="22"/>
  <c r="O34" i="22"/>
  <c r="O24" i="22"/>
  <c r="O7" i="22"/>
  <c r="I550" i="22"/>
  <c r="I520" i="22"/>
  <c r="I423" i="22"/>
  <c r="I311" i="22"/>
  <c r="I286" i="22"/>
  <c r="I250" i="22"/>
  <c r="I232" i="22"/>
  <c r="I221" i="22"/>
  <c r="I183" i="22"/>
  <c r="I86" i="22"/>
  <c r="I66" i="22"/>
  <c r="I52" i="22"/>
  <c r="I34" i="22"/>
  <c r="I7" i="22"/>
  <c r="S171" i="22"/>
  <c r="R171" i="22"/>
  <c r="Q171" i="22"/>
  <c r="P171" i="22"/>
  <c r="S170" i="22"/>
  <c r="S169" i="22"/>
  <c r="S168" i="22"/>
  <c r="R170" i="22"/>
  <c r="R169" i="22"/>
  <c r="R168" i="22"/>
  <c r="Q170" i="22"/>
  <c r="Q169" i="22"/>
  <c r="Q168" i="22"/>
  <c r="P170" i="22"/>
  <c r="P169" i="22"/>
  <c r="P168" i="22"/>
  <c r="S160" i="22"/>
  <c r="S159" i="22"/>
  <c r="S158" i="22"/>
  <c r="S157" i="22"/>
  <c r="S156" i="22"/>
  <c r="S155" i="22"/>
  <c r="S153" i="22"/>
  <c r="S152" i="22"/>
  <c r="S150" i="22"/>
  <c r="R160" i="22"/>
  <c r="R159" i="22"/>
  <c r="R158" i="22"/>
  <c r="R157" i="22"/>
  <c r="R156" i="22"/>
  <c r="R155" i="22"/>
  <c r="Q161" i="22"/>
  <c r="Q160" i="22"/>
  <c r="Q159" i="22"/>
  <c r="Q158" i="22"/>
  <c r="Q157" i="22"/>
  <c r="Q156" i="22"/>
  <c r="P161" i="22"/>
  <c r="P160" i="22"/>
  <c r="P159" i="22"/>
  <c r="P158" i="22"/>
  <c r="P157" i="22"/>
  <c r="P156" i="22"/>
  <c r="P155" i="22"/>
  <c r="P154" i="22"/>
  <c r="S142" i="22"/>
  <c r="R145" i="22"/>
  <c r="R140" i="22"/>
  <c r="Q142" i="22"/>
  <c r="Q140" i="22"/>
  <c r="P145" i="22"/>
  <c r="P140" i="22"/>
  <c r="R119" i="22"/>
  <c r="Q119" i="22"/>
  <c r="P139" i="22" l="1"/>
  <c r="P149" i="22"/>
  <c r="Q144" i="22"/>
  <c r="S139" i="22"/>
  <c r="Q149" i="22"/>
  <c r="S122" i="22"/>
  <c r="P132" i="22"/>
  <c r="S132" i="22"/>
  <c r="Q139" i="22"/>
  <c r="P152" i="22"/>
  <c r="Q122" i="22"/>
  <c r="R132" i="22"/>
  <c r="P144" i="22"/>
  <c r="R144" i="22"/>
  <c r="P153" i="22"/>
  <c r="Q153" i="22"/>
  <c r="S149" i="22"/>
  <c r="Q152" i="22"/>
  <c r="S148" i="22"/>
  <c r="R122" i="22"/>
  <c r="R141" i="22"/>
  <c r="P150" i="22"/>
  <c r="Q154" i="22"/>
  <c r="P119" i="22"/>
  <c r="S126" i="22"/>
  <c r="Q141" i="22"/>
  <c r="S141" i="22"/>
  <c r="R154" i="22"/>
  <c r="P126" i="22"/>
  <c r="Q126" i="22"/>
  <c r="P142" i="22"/>
  <c r="Q145" i="22"/>
  <c r="Q150" i="22"/>
  <c r="P151" i="22"/>
  <c r="R151" i="22"/>
  <c r="Q151" i="22"/>
  <c r="Q146" i="22"/>
  <c r="R146" i="22"/>
  <c r="S146" i="22"/>
  <c r="R143" i="22"/>
  <c r="Q143" i="22"/>
  <c r="P143" i="22"/>
  <c r="P128" i="22"/>
  <c r="R128" i="22"/>
  <c r="S128" i="22"/>
  <c r="Q127" i="22"/>
  <c r="R127" i="22"/>
  <c r="S127" i="22"/>
  <c r="P512" i="22"/>
  <c r="S512" i="22"/>
  <c r="S511" i="22"/>
  <c r="R512" i="22"/>
  <c r="R511" i="22"/>
  <c r="Q512" i="22"/>
  <c r="Q511" i="22"/>
  <c r="P511" i="22"/>
  <c r="S507" i="22"/>
  <c r="R507" i="22"/>
  <c r="Q507" i="22"/>
  <c r="P507" i="22"/>
  <c r="S506" i="22"/>
  <c r="R506" i="22"/>
  <c r="Q506" i="22"/>
  <c r="P506" i="22"/>
  <c r="S488" i="22"/>
  <c r="R488" i="22"/>
  <c r="Q488" i="22"/>
  <c r="P488" i="22"/>
  <c r="S480" i="22"/>
  <c r="R480" i="22"/>
  <c r="Q480" i="22"/>
  <c r="P480" i="22"/>
  <c r="S469" i="22"/>
  <c r="R469" i="22"/>
  <c r="Q469" i="22"/>
  <c r="P469" i="22"/>
  <c r="S461" i="22"/>
  <c r="R461" i="22"/>
  <c r="Q461" i="22"/>
  <c r="P461" i="22"/>
  <c r="S459" i="22"/>
  <c r="R459" i="22"/>
  <c r="Q459" i="22"/>
  <c r="P459" i="22"/>
  <c r="S442" i="22"/>
  <c r="R442" i="22"/>
  <c r="Q442" i="22"/>
  <c r="P442" i="22"/>
  <c r="O310" i="22" l="1"/>
  <c r="O231" i="22"/>
  <c r="AD584" i="22"/>
  <c r="AD549" i="22"/>
  <c r="O549" i="22"/>
  <c r="O518" i="22"/>
  <c r="AD518" i="22"/>
  <c r="O421" i="22"/>
  <c r="O285" i="22"/>
  <c r="S232" i="22"/>
  <c r="O249" i="22"/>
  <c r="O220" i="22"/>
  <c r="O51" i="22"/>
  <c r="O65" i="22"/>
  <c r="O182" i="22"/>
  <c r="P195" i="22"/>
  <c r="P194" i="22"/>
  <c r="Q194" i="22" s="1"/>
  <c r="R194" i="22" s="1"/>
  <c r="S194" i="22" s="1"/>
  <c r="S195" i="22"/>
  <c r="R195" i="22"/>
  <c r="Q195" i="22"/>
  <c r="O584" i="22" l="1"/>
  <c r="O84" i="22"/>
  <c r="AJ583" i="22" l="1"/>
  <c r="AN579" i="22"/>
  <c r="AN577" i="22"/>
  <c r="AN575" i="22"/>
  <c r="AN573" i="22"/>
  <c r="AN571" i="22"/>
  <c r="AM579" i="22"/>
  <c r="AM577" i="22"/>
  <c r="AM575" i="22"/>
  <c r="AM573" i="22"/>
  <c r="AM571" i="22"/>
  <c r="AL578" i="22"/>
  <c r="AL574" i="22"/>
  <c r="AK578" i="22"/>
  <c r="AK574" i="22"/>
  <c r="AM580" i="22"/>
  <c r="AL579" i="22"/>
  <c r="AN578" i="22"/>
  <c r="AL577" i="22"/>
  <c r="AM576" i="22"/>
  <c r="AL575" i="22"/>
  <c r="AN574" i="22"/>
  <c r="AL573" i="22"/>
  <c r="AM572" i="22"/>
  <c r="AL571" i="22"/>
  <c r="AN569" i="22"/>
  <c r="AN568" i="22"/>
  <c r="AN567" i="22"/>
  <c r="AN566" i="22"/>
  <c r="AF582" i="22"/>
  <c r="AG582" i="22"/>
  <c r="AG571" i="22"/>
  <c r="AE571" i="22"/>
  <c r="AH571" i="22"/>
  <c r="AE566" i="22"/>
  <c r="AG550" i="22"/>
  <c r="AE550" i="22"/>
  <c r="AF550" i="22"/>
  <c r="AN564" i="22"/>
  <c r="AN562" i="22"/>
  <c r="AN560" i="22"/>
  <c r="AN556" i="22"/>
  <c r="AN552" i="22"/>
  <c r="AN550" i="22"/>
  <c r="AM557" i="22"/>
  <c r="AM553" i="22"/>
  <c r="AK564" i="22"/>
  <c r="AK562" i="22"/>
  <c r="AK560" i="22"/>
  <c r="AK558" i="22"/>
  <c r="AK556" i="22"/>
  <c r="AK554" i="22"/>
  <c r="AK552" i="22"/>
  <c r="AK550" i="22"/>
  <c r="AL564" i="22"/>
  <c r="AN563" i="22"/>
  <c r="AM562" i="22"/>
  <c r="AL560" i="22"/>
  <c r="AN559" i="22"/>
  <c r="AK557" i="22"/>
  <c r="AL556" i="22"/>
  <c r="AN555" i="22"/>
  <c r="AK553" i="22"/>
  <c r="AL552" i="22"/>
  <c r="AM550" i="22"/>
  <c r="AJ263" i="22" l="1"/>
  <c r="AL555" i="22"/>
  <c r="AJ565" i="22"/>
  <c r="AL553" i="22"/>
  <c r="AL557" i="22"/>
  <c r="AM555" i="22"/>
  <c r="AM559" i="22"/>
  <c r="AM563" i="22"/>
  <c r="AF566" i="22"/>
  <c r="AH582" i="22"/>
  <c r="AK569" i="22"/>
  <c r="AK572" i="22"/>
  <c r="AK576" i="22"/>
  <c r="AK580" i="22"/>
  <c r="AL572" i="22"/>
  <c r="AL576" i="22"/>
  <c r="AL580" i="22"/>
  <c r="AK551" i="22"/>
  <c r="AK555" i="22"/>
  <c r="AK559" i="22"/>
  <c r="AK563" i="22"/>
  <c r="AL550" i="22"/>
  <c r="AL558" i="22"/>
  <c r="AL562" i="22"/>
  <c r="AM552" i="22"/>
  <c r="AM556" i="22"/>
  <c r="AM560" i="22"/>
  <c r="AM564" i="22"/>
  <c r="AN553" i="22"/>
  <c r="AN557" i="22"/>
  <c r="AH550" i="22"/>
  <c r="AG566" i="22"/>
  <c r="AF571" i="22"/>
  <c r="AE582" i="22"/>
  <c r="AK566" i="22"/>
  <c r="AL566" i="22"/>
  <c r="AM566" i="22"/>
  <c r="AK573" i="22"/>
  <c r="AK577" i="22"/>
  <c r="AM574" i="22"/>
  <c r="AM578" i="22"/>
  <c r="AN572" i="22"/>
  <c r="AN576" i="22"/>
  <c r="AN580" i="22"/>
  <c r="AM582" i="22"/>
  <c r="AL551" i="22"/>
  <c r="AL559" i="22"/>
  <c r="AL563" i="22"/>
  <c r="AH566" i="22"/>
  <c r="AM567" i="22"/>
  <c r="AJ581" i="22"/>
  <c r="AN582" i="22"/>
  <c r="AK568" i="22"/>
  <c r="AK571" i="22"/>
  <c r="AK575" i="22"/>
  <c r="AK579" i="22"/>
  <c r="AN547" i="22"/>
  <c r="AN546" i="22"/>
  <c r="AN544" i="22"/>
  <c r="AN542" i="22"/>
  <c r="AN539" i="22"/>
  <c r="AM542" i="22"/>
  <c r="AM545" i="22"/>
  <c r="AM540" i="22"/>
  <c r="AM539" i="22"/>
  <c r="AM538" i="22"/>
  <c r="AL547" i="22"/>
  <c r="AL542" i="22"/>
  <c r="AK547" i="22"/>
  <c r="AK546" i="22"/>
  <c r="AK544" i="22"/>
  <c r="AK542" i="22"/>
  <c r="AK539" i="22"/>
  <c r="AL540" i="22"/>
  <c r="AL537" i="22"/>
  <c r="AM547" i="22"/>
  <c r="AL546" i="22"/>
  <c r="AM544" i="22"/>
  <c r="AN540" i="22"/>
  <c r="AL539" i="22"/>
  <c r="AN538" i="22"/>
  <c r="AN533" i="22"/>
  <c r="AL533" i="22"/>
  <c r="AL532" i="22"/>
  <c r="AK532" i="22"/>
  <c r="AN534" i="22"/>
  <c r="AN532" i="22"/>
  <c r="AN527" i="22"/>
  <c r="AN524" i="22"/>
  <c r="AM524" i="22"/>
  <c r="AL524" i="22"/>
  <c r="AK525" i="22"/>
  <c r="AK524" i="22"/>
  <c r="AK523" i="22"/>
  <c r="AK520" i="22"/>
  <c r="AM527" i="22"/>
  <c r="AM525" i="22"/>
  <c r="AN507" i="22"/>
  <c r="AM507" i="22"/>
  <c r="AL510" i="22"/>
  <c r="AL507" i="22"/>
  <c r="AK512" i="22"/>
  <c r="AK510" i="22"/>
  <c r="AK508" i="22"/>
  <c r="AN514" i="22"/>
  <c r="AK511" i="22"/>
  <c r="AJ509" i="22"/>
  <c r="AN491" i="22"/>
  <c r="AN490" i="22"/>
  <c r="AM491" i="22"/>
  <c r="AM488" i="22"/>
  <c r="AL490" i="22"/>
  <c r="AL488" i="22"/>
  <c r="AK496" i="22"/>
  <c r="AK493" i="22"/>
  <c r="AK488" i="22"/>
  <c r="AK494" i="22"/>
  <c r="AK490" i="22"/>
  <c r="AN483" i="22"/>
  <c r="AK483" i="22"/>
  <c r="AK480" i="22"/>
  <c r="AN475" i="22"/>
  <c r="AM477" i="22"/>
  <c r="AL478" i="22"/>
  <c r="AL470" i="22"/>
  <c r="AK475" i="22"/>
  <c r="AK471" i="22"/>
  <c r="AN465" i="22"/>
  <c r="AK466" i="22"/>
  <c r="AK463" i="22"/>
  <c r="AK462" i="22"/>
  <c r="AN455" i="22"/>
  <c r="AN454" i="22"/>
  <c r="AN452" i="22"/>
  <c r="AN447" i="22"/>
  <c r="AM456" i="22"/>
  <c r="AM455" i="22"/>
  <c r="AM454" i="22"/>
  <c r="AM452" i="22"/>
  <c r="AM447" i="22"/>
  <c r="AL455" i="22"/>
  <c r="AL451" i="22"/>
  <c r="AL447" i="22"/>
  <c r="AK455" i="22"/>
  <c r="AK451" i="22"/>
  <c r="AK450" i="22"/>
  <c r="AK447" i="22"/>
  <c r="AL454" i="22"/>
  <c r="AL452" i="22"/>
  <c r="AN451" i="22"/>
  <c r="AL448" i="22"/>
  <c r="AN438" i="22"/>
  <c r="AN428" i="22"/>
  <c r="AN424" i="22"/>
  <c r="AM430" i="22"/>
  <c r="AL428" i="22"/>
  <c r="AL427" i="22"/>
  <c r="AK439" i="22"/>
  <c r="AK435" i="22"/>
  <c r="AK432" i="22"/>
  <c r="AK431" i="22"/>
  <c r="AK428" i="22"/>
  <c r="AK427" i="22"/>
  <c r="AK424" i="22"/>
  <c r="AM419" i="22"/>
  <c r="AL419" i="22"/>
  <c r="AK419" i="22"/>
  <c r="AN439" i="22"/>
  <c r="AL438" i="22"/>
  <c r="AN435" i="22"/>
  <c r="AN432" i="22"/>
  <c r="AL430" i="22"/>
  <c r="AM428" i="22"/>
  <c r="AN427" i="22"/>
  <c r="AN426" i="22"/>
  <c r="AG488" i="22"/>
  <c r="AF488" i="22"/>
  <c r="AE488" i="22"/>
  <c r="AH488" i="22"/>
  <c r="AG480" i="22"/>
  <c r="AF480" i="22"/>
  <c r="AE480" i="22"/>
  <c r="AG469" i="22"/>
  <c r="AF469" i="22"/>
  <c r="AH442" i="22"/>
  <c r="AG423" i="22"/>
  <c r="AF423" i="22"/>
  <c r="AH423" i="22"/>
  <c r="AN419" i="22"/>
  <c r="AK416" i="22"/>
  <c r="AN414" i="22"/>
  <c r="AK413" i="22"/>
  <c r="AK411" i="22"/>
  <c r="AM405" i="22"/>
  <c r="AN404" i="22"/>
  <c r="AM391" i="22"/>
  <c r="AM383" i="22"/>
  <c r="AL398" i="22"/>
  <c r="AK394" i="22"/>
  <c r="AK386" i="22"/>
  <c r="AM397" i="22"/>
  <c r="AN365" i="22"/>
  <c r="AM345" i="22"/>
  <c r="AL349" i="22"/>
  <c r="AK377" i="22"/>
  <c r="AK353" i="22"/>
  <c r="AK345" i="22"/>
  <c r="AN380" i="22"/>
  <c r="AM379" i="22"/>
  <c r="AN378" i="22"/>
  <c r="AN376" i="22"/>
  <c r="AN375" i="22"/>
  <c r="AN374" i="22"/>
  <c r="AN372" i="22"/>
  <c r="AM371" i="22"/>
  <c r="AN366" i="22"/>
  <c r="AM365" i="22"/>
  <c r="AM363" i="22"/>
  <c r="AN361" i="22"/>
  <c r="AN358" i="22"/>
  <c r="AM355" i="22"/>
  <c r="AN353" i="22"/>
  <c r="AN352" i="22"/>
  <c r="AN351" i="22"/>
  <c r="AN350" i="22"/>
  <c r="AM349" i="22"/>
  <c r="AN348" i="22"/>
  <c r="AN345" i="22"/>
  <c r="AH344" i="22"/>
  <c r="AN338" i="22"/>
  <c r="AM338" i="22"/>
  <c r="AL342" i="22"/>
  <c r="AN341" i="22"/>
  <c r="AM340" i="22"/>
  <c r="AN339" i="22"/>
  <c r="AL338" i="22"/>
  <c r="AN337" i="22"/>
  <c r="AM336" i="22"/>
  <c r="AN335" i="22"/>
  <c r="AH311" i="22"/>
  <c r="AM332" i="22"/>
  <c r="AN332" i="22"/>
  <c r="AK331" i="22"/>
  <c r="AM320" i="22"/>
  <c r="AK322" i="22"/>
  <c r="AK316" i="22"/>
  <c r="AL320" i="22"/>
  <c r="AK315" i="22"/>
  <c r="AF416" i="22"/>
  <c r="AG400" i="22"/>
  <c r="AE335" i="22"/>
  <c r="AE311" i="22"/>
  <c r="AJ517" i="22" l="1"/>
  <c r="AN336" i="22"/>
  <c r="AM388" i="22"/>
  <c r="AL388" i="22"/>
  <c r="AK388" i="22"/>
  <c r="AM392" i="22"/>
  <c r="AL392" i="22"/>
  <c r="AM396" i="22"/>
  <c r="AL396" i="22"/>
  <c r="AK396" i="22"/>
  <c r="AG520" i="22"/>
  <c r="AE520" i="22"/>
  <c r="AH520" i="22"/>
  <c r="AF520" i="22"/>
  <c r="AE327" i="22"/>
  <c r="AH327" i="22"/>
  <c r="AL318" i="22"/>
  <c r="AN318" i="22"/>
  <c r="AK318" i="22"/>
  <c r="AL322" i="22"/>
  <c r="AM322" i="22"/>
  <c r="AN311" i="22"/>
  <c r="AM311" i="22"/>
  <c r="AK311" i="22"/>
  <c r="AK392" i="22"/>
  <c r="AN411" i="22"/>
  <c r="AL411" i="22"/>
  <c r="AG506" i="22"/>
  <c r="AF506" i="22"/>
  <c r="AE506" i="22"/>
  <c r="AN425" i="22"/>
  <c r="AK425" i="22"/>
  <c r="AK429" i="22"/>
  <c r="AM433" i="22"/>
  <c r="AL433" i="22"/>
  <c r="AK433" i="22"/>
  <c r="AM437" i="22"/>
  <c r="AN437" i="22"/>
  <c r="AL437" i="22"/>
  <c r="AK437" i="22"/>
  <c r="AN433" i="22"/>
  <c r="AK526" i="22"/>
  <c r="AL526" i="22"/>
  <c r="AN531" i="22"/>
  <c r="AJ535" i="22"/>
  <c r="AK314" i="22"/>
  <c r="AM318" i="22"/>
  <c r="AN322" i="22"/>
  <c r="AF327" i="22"/>
  <c r="AG459" i="22"/>
  <c r="AF459" i="22"/>
  <c r="AE459" i="22"/>
  <c r="AH506" i="22"/>
  <c r="AE536" i="22"/>
  <c r="AF536" i="22"/>
  <c r="AH536" i="22"/>
  <c r="AG536" i="22"/>
  <c r="AK330" i="22"/>
  <c r="AN344" i="22"/>
  <c r="AM344" i="22"/>
  <c r="AK344" i="22"/>
  <c r="AH459" i="22"/>
  <c r="AK459" i="22"/>
  <c r="AJ468" i="22"/>
  <c r="AK472" i="22"/>
  <c r="AL476" i="22"/>
  <c r="AK476" i="22"/>
  <c r="AH469" i="22"/>
  <c r="AM426" i="22"/>
  <c r="AN434" i="22"/>
  <c r="AN449" i="22"/>
  <c r="AN453" i="22"/>
  <c r="AM453" i="22"/>
  <c r="AN457" i="22"/>
  <c r="AM457" i="22"/>
  <c r="AK457" i="22"/>
  <c r="AL457" i="22"/>
  <c r="AK464" i="22"/>
  <c r="AK361" i="22"/>
  <c r="AM353" i="22"/>
  <c r="AN349" i="22"/>
  <c r="AL386" i="22"/>
  <c r="AL394" i="22"/>
  <c r="AE469" i="22"/>
  <c r="AH480" i="22"/>
  <c r="AM427" i="22"/>
  <c r="AM438" i="22"/>
  <c r="AN430" i="22"/>
  <c r="AJ458" i="22"/>
  <c r="AK442" i="22"/>
  <c r="AK453" i="22"/>
  <c r="AL453" i="22"/>
  <c r="AM465" i="22"/>
  <c r="AK465" i="22"/>
  <c r="AK470" i="22"/>
  <c r="AM478" i="22"/>
  <c r="AK478" i="22"/>
  <c r="AN478" i="22"/>
  <c r="AM483" i="22"/>
  <c r="AL483" i="22"/>
  <c r="AF531" i="22"/>
  <c r="AE531" i="22"/>
  <c r="AH531" i="22"/>
  <c r="AK533" i="22"/>
  <c r="AN537" i="22"/>
  <c r="AM537" i="22"/>
  <c r="AK537" i="22"/>
  <c r="AN541" i="22"/>
  <c r="AM541" i="22"/>
  <c r="AK541" i="22"/>
  <c r="AL541" i="22"/>
  <c r="AN545" i="22"/>
  <c r="AK545" i="22"/>
  <c r="AK320" i="22"/>
  <c r="AN320" i="22"/>
  <c r="AK332" i="22"/>
  <c r="AF311" i="22"/>
  <c r="AH335" i="22"/>
  <c r="AN342" i="22"/>
  <c r="AL365" i="22"/>
  <c r="AM361" i="22"/>
  <c r="AN357" i="22"/>
  <c r="AK398" i="22"/>
  <c r="AK402" i="22"/>
  <c r="AN407" i="22"/>
  <c r="AE423" i="22"/>
  <c r="AK426" i="22"/>
  <c r="AK430" i="22"/>
  <c r="AK434" i="22"/>
  <c r="AK438" i="22"/>
  <c r="AJ441" i="22"/>
  <c r="AL426" i="22"/>
  <c r="AK443" i="22"/>
  <c r="AK449" i="22"/>
  <c r="AK454" i="22"/>
  <c r="AM451" i="22"/>
  <c r="AL465" i="22"/>
  <c r="AJ487" i="22"/>
  <c r="AM489" i="22"/>
  <c r="AL489" i="22"/>
  <c r="AN489" i="22"/>
  <c r="AK489" i="22"/>
  <c r="AN513" i="22"/>
  <c r="AG531" i="22"/>
  <c r="AJ530" i="22"/>
  <c r="AL545" i="22"/>
  <c r="AK444" i="22"/>
  <c r="AK448" i="22"/>
  <c r="AK452" i="22"/>
  <c r="AK456" i="22"/>
  <c r="AJ479" i="22"/>
  <c r="AM490" i="22"/>
  <c r="AN494" i="22"/>
  <c r="AM546" i="22"/>
  <c r="AK469" i="22"/>
  <c r="AK473" i="22"/>
  <c r="AK477" i="22"/>
  <c r="AK482" i="22"/>
  <c r="AN488" i="22"/>
  <c r="AJ505" i="22"/>
  <c r="AK492" i="22"/>
  <c r="AK506" i="22"/>
  <c r="AN525" i="22"/>
  <c r="AL525" i="22"/>
  <c r="AK529" i="22"/>
  <c r="AJ548" i="22"/>
  <c r="AK540" i="22"/>
  <c r="AL544" i="22"/>
  <c r="AK507" i="22"/>
  <c r="AK534" i="22"/>
  <c r="AL534" i="22"/>
  <c r="AM313" i="22"/>
  <c r="AL313" i="22"/>
  <c r="AN313" i="22"/>
  <c r="AK313" i="22"/>
  <c r="AN317" i="22"/>
  <c r="AM317" i="22"/>
  <c r="AK317" i="22"/>
  <c r="AL317" i="22"/>
  <c r="AN321" i="22"/>
  <c r="AM321" i="22"/>
  <c r="AL321" i="22"/>
  <c r="AK321" i="22"/>
  <c r="AN325" i="22"/>
  <c r="AM325" i="22"/>
  <c r="AK325" i="22"/>
  <c r="AL325" i="22"/>
  <c r="AE313" i="22"/>
  <c r="AH313" i="22"/>
  <c r="AG313" i="22"/>
  <c r="AF313" i="22"/>
  <c r="AG382" i="22"/>
  <c r="AE382" i="22"/>
  <c r="AF382" i="22"/>
  <c r="AH382" i="22"/>
  <c r="AF411" i="22"/>
  <c r="AH411" i="22"/>
  <c r="AL315" i="22"/>
  <c r="AF335" i="22"/>
  <c r="AK335" i="22"/>
  <c r="AK339" i="22"/>
  <c r="AL335" i="22"/>
  <c r="AL339" i="22"/>
  <c r="AM335" i="22"/>
  <c r="AM341" i="22"/>
  <c r="AK349" i="22"/>
  <c r="AK357" i="22"/>
  <c r="AK365" i="22"/>
  <c r="AK373" i="22"/>
  <c r="AL345" i="22"/>
  <c r="AL353" i="22"/>
  <c r="AL361" i="22"/>
  <c r="AL377" i="22"/>
  <c r="AK383" i="22"/>
  <c r="AL383" i="22"/>
  <c r="AK387" i="22"/>
  <c r="AL387" i="22"/>
  <c r="AK391" i="22"/>
  <c r="AL391" i="22"/>
  <c r="AK395" i="22"/>
  <c r="AL395" i="22"/>
  <c r="AM387" i="22"/>
  <c r="AM395" i="22"/>
  <c r="AG411" i="22"/>
  <c r="AK418" i="22"/>
  <c r="AN416" i="22"/>
  <c r="AE442" i="22"/>
  <c r="AG442" i="22"/>
  <c r="AE344" i="22"/>
  <c r="AG344" i="22"/>
  <c r="AG416" i="22"/>
  <c r="AE416" i="22"/>
  <c r="AL311" i="22"/>
  <c r="AM315" i="22"/>
  <c r="AN315" i="22"/>
  <c r="AG311" i="22"/>
  <c r="AG327" i="22"/>
  <c r="AG335" i="22"/>
  <c r="AK336" i="22"/>
  <c r="AK340" i="22"/>
  <c r="AL336" i="22"/>
  <c r="AL340" i="22"/>
  <c r="AM337" i="22"/>
  <c r="AM342" i="22"/>
  <c r="AN340" i="22"/>
  <c r="AK351" i="22"/>
  <c r="AK375" i="22"/>
  <c r="AL355" i="22"/>
  <c r="AL363" i="22"/>
  <c r="AL371" i="22"/>
  <c r="AL379" i="22"/>
  <c r="AM351" i="22"/>
  <c r="AM375" i="22"/>
  <c r="AN355" i="22"/>
  <c r="AN371" i="22"/>
  <c r="AN379" i="22"/>
  <c r="AL414" i="22"/>
  <c r="AK414" i="22"/>
  <c r="AK407" i="22"/>
  <c r="AL405" i="22"/>
  <c r="AN405" i="22"/>
  <c r="AM414" i="22"/>
  <c r="AH416" i="22"/>
  <c r="AM416" i="22"/>
  <c r="AF442" i="22"/>
  <c r="AK337" i="22"/>
  <c r="AK341" i="22"/>
  <c r="AL337" i="22"/>
  <c r="AL341" i="22"/>
  <c r="AL385" i="22"/>
  <c r="AK385" i="22"/>
  <c r="AK389" i="22"/>
  <c r="AL393" i="22"/>
  <c r="AK393" i="22"/>
  <c r="AL397" i="22"/>
  <c r="AK397" i="22"/>
  <c r="AL416" i="22"/>
  <c r="AH400" i="22"/>
  <c r="AF400" i="22"/>
  <c r="AK338" i="22"/>
  <c r="AK342" i="22"/>
  <c r="AM339" i="22"/>
  <c r="AF344" i="22"/>
  <c r="AK355" i="22"/>
  <c r="AK363" i="22"/>
  <c r="AK371" i="22"/>
  <c r="AK379" i="22"/>
  <c r="AL351" i="22"/>
  <c r="AL375" i="22"/>
  <c r="AM385" i="22"/>
  <c r="AM393" i="22"/>
  <c r="AE400" i="22"/>
  <c r="AE411" i="22"/>
  <c r="AK405" i="22"/>
  <c r="AJ415" i="22"/>
  <c r="AL344" i="22"/>
  <c r="AK350" i="22"/>
  <c r="AK354" i="22"/>
  <c r="AK358" i="22"/>
  <c r="AK366" i="22"/>
  <c r="AK374" i="22"/>
  <c r="AK378" i="22"/>
  <c r="AL350" i="22"/>
  <c r="AL354" i="22"/>
  <c r="AL358" i="22"/>
  <c r="AL366" i="22"/>
  <c r="AL374" i="22"/>
  <c r="AL378" i="22"/>
  <c r="AM350" i="22"/>
  <c r="AM358" i="22"/>
  <c r="AM366" i="22"/>
  <c r="AM374" i="22"/>
  <c r="AM378" i="22"/>
  <c r="AM382" i="22"/>
  <c r="AM386" i="22"/>
  <c r="AM394" i="22"/>
  <c r="AM398" i="22"/>
  <c r="AK400" i="22"/>
  <c r="AK404" i="22"/>
  <c r="AL402" i="22"/>
  <c r="AM404" i="22"/>
  <c r="AJ410" i="22"/>
  <c r="AM411" i="22"/>
  <c r="AK348" i="22"/>
  <c r="AK352" i="22"/>
  <c r="AK360" i="22"/>
  <c r="AK372" i="22"/>
  <c r="AK376" i="22"/>
  <c r="AK380" i="22"/>
  <c r="AL348" i="22"/>
  <c r="AL352" i="22"/>
  <c r="AL372" i="22"/>
  <c r="AL376" i="22"/>
  <c r="AL380" i="22"/>
  <c r="AM348" i="22"/>
  <c r="AM352" i="22"/>
  <c r="AM372" i="22"/>
  <c r="AM376" i="22"/>
  <c r="AM380" i="22"/>
  <c r="AL400" i="22"/>
  <c r="AL404" i="22"/>
  <c r="AN307" i="22"/>
  <c r="AN303" i="22"/>
  <c r="AL307" i="22"/>
  <c r="AN306" i="22"/>
  <c r="AN305" i="22"/>
  <c r="AN302" i="22"/>
  <c r="AK297" i="22"/>
  <c r="AN299" i="22"/>
  <c r="AN295" i="22"/>
  <c r="AN294" i="22"/>
  <c r="AM290" i="22"/>
  <c r="AK290" i="22"/>
  <c r="AK286" i="22"/>
  <c r="AL291" i="22"/>
  <c r="AN290" i="22"/>
  <c r="AN289" i="22"/>
  <c r="AN288" i="22"/>
  <c r="AN286" i="22"/>
  <c r="AG302" i="22"/>
  <c r="AF302" i="22"/>
  <c r="AE302" i="22"/>
  <c r="AH302" i="22"/>
  <c r="AH294" i="22"/>
  <c r="AG286" i="22"/>
  <c r="AH286" i="22"/>
  <c r="AM282" i="22"/>
  <c r="AM278" i="22"/>
  <c r="AM276" i="22"/>
  <c r="AL282" i="22"/>
  <c r="AK282" i="22"/>
  <c r="AK278" i="22"/>
  <c r="AK273" i="22"/>
  <c r="AN282" i="22"/>
  <c r="AL281" i="22"/>
  <c r="AN280" i="22"/>
  <c r="AN279" i="22"/>
  <c r="AN278" i="22"/>
  <c r="AN277" i="22"/>
  <c r="AN276" i="22"/>
  <c r="AL271" i="22"/>
  <c r="AK272" i="22"/>
  <c r="AK271" i="22"/>
  <c r="AJ270" i="22"/>
  <c r="AN269" i="22"/>
  <c r="AN268" i="22"/>
  <c r="AK269" i="22"/>
  <c r="AK268" i="22"/>
  <c r="AL265" i="22"/>
  <c r="AL264" i="22"/>
  <c r="AK265" i="22"/>
  <c r="AK264" i="22"/>
  <c r="AN261" i="22"/>
  <c r="AM261" i="22"/>
  <c r="AL261" i="22"/>
  <c r="AK262" i="22"/>
  <c r="AK261" i="22"/>
  <c r="AK259" i="22"/>
  <c r="AN258" i="22"/>
  <c r="AN251" i="22"/>
  <c r="AM252" i="22"/>
  <c r="AK256" i="22"/>
  <c r="AK252" i="22"/>
  <c r="AK245" i="22"/>
  <c r="AL245" i="22"/>
  <c r="AM245" i="22"/>
  <c r="AN245" i="22"/>
  <c r="AK247" i="22"/>
  <c r="AM253" i="22"/>
  <c r="AN252" i="22"/>
  <c r="AM251" i="22"/>
  <c r="AF264" i="22"/>
  <c r="AG271" i="22"/>
  <c r="AH267" i="22"/>
  <c r="AE264" i="22"/>
  <c r="AG258" i="22"/>
  <c r="AH250" i="22"/>
  <c r="AJ246" i="22"/>
  <c r="AN237" i="22"/>
  <c r="AK241" i="22"/>
  <c r="AN233" i="22"/>
  <c r="AM232" i="22"/>
  <c r="AK232" i="22"/>
  <c r="AM243" i="22"/>
  <c r="AL241" i="22"/>
  <c r="AL237" i="22"/>
  <c r="AL236" i="22"/>
  <c r="AH247" i="22"/>
  <c r="AE247" i="22"/>
  <c r="AG247" i="22"/>
  <c r="AF236" i="22"/>
  <c r="AE232" i="22"/>
  <c r="AG236" i="22"/>
  <c r="AE236" i="22"/>
  <c r="AN229" i="22"/>
  <c r="AM229" i="22"/>
  <c r="AL229" i="22"/>
  <c r="AK229" i="22"/>
  <c r="AK227" i="22"/>
  <c r="AL227" i="22"/>
  <c r="AM227" i="22"/>
  <c r="AN227" i="22"/>
  <c r="AN225" i="22"/>
  <c r="AM225" i="22"/>
  <c r="AL225" i="22"/>
  <c r="AK225" i="22"/>
  <c r="AM223" i="22"/>
  <c r="AM221" i="22"/>
  <c r="AL221" i="22"/>
  <c r="AK221" i="22"/>
  <c r="AN223" i="22"/>
  <c r="AN222" i="22"/>
  <c r="AN221" i="22"/>
  <c r="AN218" i="22"/>
  <c r="AM218" i="22"/>
  <c r="AL218" i="22"/>
  <c r="AK218" i="22"/>
  <c r="AG183" i="22"/>
  <c r="AH198" i="22"/>
  <c r="AE210" i="22"/>
  <c r="AE218" i="22"/>
  <c r="AF210" i="22"/>
  <c r="AE229" i="22"/>
  <c r="AE227" i="22"/>
  <c r="AH225" i="22"/>
  <c r="AG221" i="22"/>
  <c r="AH229" i="22"/>
  <c r="AG227" i="22"/>
  <c r="AF227" i="22"/>
  <c r="AH221" i="22"/>
  <c r="AE221" i="22"/>
  <c r="AK213" i="22"/>
  <c r="AM216" i="22"/>
  <c r="AM212" i="22"/>
  <c r="AH210" i="22"/>
  <c r="AG210" i="22"/>
  <c r="AL205" i="22"/>
  <c r="AK205" i="22"/>
  <c r="AN205" i="22"/>
  <c r="AN204" i="22"/>
  <c r="AH187" i="22"/>
  <c r="AN193" i="22"/>
  <c r="AM192" i="22"/>
  <c r="AL192" i="22"/>
  <c r="AL190" i="22"/>
  <c r="AK192" i="22"/>
  <c r="AK190" i="22"/>
  <c r="AK188" i="22"/>
  <c r="AN196" i="22"/>
  <c r="AN192" i="22"/>
  <c r="AK187" i="22"/>
  <c r="AK183" i="22"/>
  <c r="AK185" i="22"/>
  <c r="AK184" i="22"/>
  <c r="AL184" i="22"/>
  <c r="AN179" i="22"/>
  <c r="AM179" i="22"/>
  <c r="AL179" i="22"/>
  <c r="AK179" i="22"/>
  <c r="AG187" i="22"/>
  <c r="AF187" i="22"/>
  <c r="AE187" i="22"/>
  <c r="AG179" i="22"/>
  <c r="AF179" i="22"/>
  <c r="AE179" i="22"/>
  <c r="AH179" i="22"/>
  <c r="AH176" i="22"/>
  <c r="AG165" i="22"/>
  <c r="AH165" i="22"/>
  <c r="AF104" i="22"/>
  <c r="AH104" i="22"/>
  <c r="AH89" i="22"/>
  <c r="AF89" i="22"/>
  <c r="AN163" i="22"/>
  <c r="AM159" i="22"/>
  <c r="AM135" i="22"/>
  <c r="AM132" i="22"/>
  <c r="AM124" i="22"/>
  <c r="AM120" i="22"/>
  <c r="AM108" i="22"/>
  <c r="AM104" i="22"/>
  <c r="AL161" i="22"/>
  <c r="AL124" i="22"/>
  <c r="AL108" i="22"/>
  <c r="AK163" i="22"/>
  <c r="AK157" i="22"/>
  <c r="AK147" i="22"/>
  <c r="AK141" i="22"/>
  <c r="AK139" i="22"/>
  <c r="AK137" i="22"/>
  <c r="AK124" i="22"/>
  <c r="AK120" i="22"/>
  <c r="AK116" i="22"/>
  <c r="AK112" i="22"/>
  <c r="AK108" i="22"/>
  <c r="AK104" i="22"/>
  <c r="AM163" i="22"/>
  <c r="AN161" i="22"/>
  <c r="AL160" i="22"/>
  <c r="AN159" i="22"/>
  <c r="AL157" i="22"/>
  <c r="AN155" i="22"/>
  <c r="AM151" i="22"/>
  <c r="AK148" i="22"/>
  <c r="AL147" i="22"/>
  <c r="AN146" i="22"/>
  <c r="AK145" i="22"/>
  <c r="AK144" i="22"/>
  <c r="AN143" i="22"/>
  <c r="AN142" i="22"/>
  <c r="AK140" i="22"/>
  <c r="AN139" i="22"/>
  <c r="AN138" i="22"/>
  <c r="AN137" i="22"/>
  <c r="AN135" i="22"/>
  <c r="AK133" i="22"/>
  <c r="AL132" i="22"/>
  <c r="AN130" i="22"/>
  <c r="AM128" i="22"/>
  <c r="AN127" i="22"/>
  <c r="AK126" i="22"/>
  <c r="AL125" i="22"/>
  <c r="AN124" i="22"/>
  <c r="AN123" i="22"/>
  <c r="AK122" i="22"/>
  <c r="AK121" i="22"/>
  <c r="AN120" i="22"/>
  <c r="AM119" i="22"/>
  <c r="AK118" i="22"/>
  <c r="AK117" i="22"/>
  <c r="AN116" i="22"/>
  <c r="AN115" i="22"/>
  <c r="AK114" i="22"/>
  <c r="AM113" i="22"/>
  <c r="AN112" i="22"/>
  <c r="AN111" i="22"/>
  <c r="AK110" i="22"/>
  <c r="AL109" i="22"/>
  <c r="AN108" i="22"/>
  <c r="AN107" i="22"/>
  <c r="AK106" i="22"/>
  <c r="AK105" i="22"/>
  <c r="AN104" i="22"/>
  <c r="AN95" i="22"/>
  <c r="AL99" i="22"/>
  <c r="AM101" i="22"/>
  <c r="AN100" i="22"/>
  <c r="AM99" i="22"/>
  <c r="AN98" i="22"/>
  <c r="AM97" i="22"/>
  <c r="AL95" i="22"/>
  <c r="AN94" i="22"/>
  <c r="AL93" i="22"/>
  <c r="AM86" i="22"/>
  <c r="AK86" i="22"/>
  <c r="AN87" i="22"/>
  <c r="AN86" i="22"/>
  <c r="J86" i="22"/>
  <c r="I182" i="22"/>
  <c r="AK79" i="22"/>
  <c r="AN79" i="22"/>
  <c r="AM72" i="22"/>
  <c r="AK70" i="22"/>
  <c r="AK66" i="22"/>
  <c r="AN74" i="22"/>
  <c r="AN72" i="22"/>
  <c r="AM71" i="22"/>
  <c r="AN70" i="22"/>
  <c r="AK69" i="22"/>
  <c r="AN66" i="22"/>
  <c r="AF76" i="22"/>
  <c r="AG76" i="22"/>
  <c r="AH66" i="22"/>
  <c r="AK63" i="22"/>
  <c r="AK62" i="22"/>
  <c r="AN61" i="22"/>
  <c r="AK59" i="22"/>
  <c r="AL58" i="22"/>
  <c r="AN57" i="22"/>
  <c r="AK56" i="22"/>
  <c r="AM52" i="22"/>
  <c r="AK52" i="22"/>
  <c r="AK53" i="22"/>
  <c r="AN52" i="22"/>
  <c r="AN58" i="22" l="1"/>
  <c r="AL53" i="22"/>
  <c r="AL62" i="22"/>
  <c r="AM62" i="22"/>
  <c r="AN62" i="22"/>
  <c r="AG66" i="22"/>
  <c r="AK93" i="22"/>
  <c r="AK101" i="22"/>
  <c r="AN97" i="22"/>
  <c r="AM95" i="22"/>
  <c r="AL144" i="22"/>
  <c r="AN144" i="22"/>
  <c r="AL233" i="22"/>
  <c r="AK237" i="22"/>
  <c r="AF258" i="22"/>
  <c r="AH264" i="22"/>
  <c r="AK304" i="22"/>
  <c r="AK58" i="22"/>
  <c r="AL61" i="22"/>
  <c r="AM66" i="22"/>
  <c r="AM74" i="22"/>
  <c r="AM79" i="22"/>
  <c r="L86" i="22"/>
  <c r="AK95" i="22"/>
  <c r="AN99" i="22"/>
  <c r="AN93" i="22"/>
  <c r="AK130" i="22"/>
  <c r="AK159" i="22"/>
  <c r="AL116" i="22"/>
  <c r="AL163" i="22"/>
  <c r="AM112" i="22"/>
  <c r="AM157" i="22"/>
  <c r="AN132" i="22"/>
  <c r="AN153" i="22"/>
  <c r="AE104" i="22"/>
  <c r="AE165" i="22"/>
  <c r="AK196" i="22"/>
  <c r="AL196" i="22"/>
  <c r="AM196" i="22"/>
  <c r="AL212" i="22"/>
  <c r="AF221" i="22"/>
  <c r="AK223" i="22"/>
  <c r="AF247" i="22"/>
  <c r="AK239" i="22"/>
  <c r="AM241" i="22"/>
  <c r="AH258" i="22"/>
  <c r="AF271" i="22"/>
  <c r="AK255" i="22"/>
  <c r="AK276" i="22"/>
  <c r="AL278" i="22"/>
  <c r="AM280" i="22"/>
  <c r="AE286" i="22"/>
  <c r="AK288" i="22"/>
  <c r="AL288" i="22"/>
  <c r="AM288" i="22"/>
  <c r="AN291" i="22"/>
  <c r="AK295" i="22"/>
  <c r="AM295" i="22"/>
  <c r="AK306" i="22"/>
  <c r="AL306" i="22"/>
  <c r="AM306" i="22"/>
  <c r="AM58" i="22"/>
  <c r="AK97" i="22"/>
  <c r="AN101" i="22"/>
  <c r="AL119" i="22"/>
  <c r="AH271" i="22"/>
  <c r="AN243" i="22"/>
  <c r="AM60" i="22"/>
  <c r="AN60" i="22"/>
  <c r="AE66" i="22"/>
  <c r="AL71" i="22"/>
  <c r="AM70" i="22"/>
  <c r="AK81" i="22"/>
  <c r="AK99" i="22"/>
  <c r="AM93" i="22"/>
  <c r="AL104" i="22"/>
  <c r="AL120" i="22"/>
  <c r="AL139" i="22"/>
  <c r="AL159" i="22"/>
  <c r="AM107" i="22"/>
  <c r="AM123" i="22"/>
  <c r="AM130" i="22"/>
  <c r="AM143" i="22"/>
  <c r="AM161" i="22"/>
  <c r="AG104" i="22"/>
  <c r="AK198" i="22"/>
  <c r="AM205" i="22"/>
  <c r="AM237" i="22"/>
  <c r="AN241" i="22"/>
  <c r="AG264" i="22"/>
  <c r="AL243" i="22"/>
  <c r="AL251" i="22"/>
  <c r="AK299" i="22"/>
  <c r="AM299" i="22"/>
  <c r="AM302" i="22"/>
  <c r="AN69" i="22"/>
  <c r="AN73" i="22"/>
  <c r="AL87" i="22"/>
  <c r="AM100" i="22"/>
  <c r="AN129" i="22"/>
  <c r="AM129" i="22"/>
  <c r="AL129" i="22"/>
  <c r="AL113" i="22"/>
  <c r="AL151" i="22"/>
  <c r="AN113" i="22"/>
  <c r="AN165" i="22"/>
  <c r="AL165" i="22"/>
  <c r="AN53" i="22"/>
  <c r="AL57" i="22"/>
  <c r="AH76" i="22"/>
  <c r="AL69" i="22"/>
  <c r="AN71" i="22"/>
  <c r="AN80" i="22"/>
  <c r="AK87" i="22"/>
  <c r="AM87" i="22"/>
  <c r="AL100" i="22"/>
  <c r="AM98" i="22"/>
  <c r="AL94" i="22"/>
  <c r="AN131" i="22"/>
  <c r="AK131" i="22"/>
  <c r="AN136" i="22"/>
  <c r="AK136" i="22"/>
  <c r="AN158" i="22"/>
  <c r="AM158" i="22"/>
  <c r="AL158" i="22"/>
  <c r="AK158" i="22"/>
  <c r="AN162" i="22"/>
  <c r="AM162" i="22"/>
  <c r="AL162" i="22"/>
  <c r="AK162" i="22"/>
  <c r="AK142" i="22"/>
  <c r="AK160" i="22"/>
  <c r="AL105" i="22"/>
  <c r="AL111" i="22"/>
  <c r="AL121" i="22"/>
  <c r="AL127" i="22"/>
  <c r="AL131" i="22"/>
  <c r="AL136" i="22"/>
  <c r="AL142" i="22"/>
  <c r="AL153" i="22"/>
  <c r="AM109" i="22"/>
  <c r="AM115" i="22"/>
  <c r="AM125" i="22"/>
  <c r="AM140" i="22"/>
  <c r="AM146" i="22"/>
  <c r="AM155" i="22"/>
  <c r="AN109" i="22"/>
  <c r="AN117" i="22"/>
  <c r="AN125" i="22"/>
  <c r="AN140" i="22"/>
  <c r="AN148" i="22"/>
  <c r="AK165" i="22"/>
  <c r="AG176" i="22"/>
  <c r="AE176" i="22"/>
  <c r="AL189" i="22"/>
  <c r="AK189" i="22"/>
  <c r="AM193" i="22"/>
  <c r="AL193" i="22"/>
  <c r="AK193" i="22"/>
  <c r="AN189" i="22"/>
  <c r="AF198" i="22"/>
  <c r="AG225" i="22"/>
  <c r="AF225" i="22"/>
  <c r="AH218" i="22"/>
  <c r="AG218" i="22"/>
  <c r="AF183" i="22"/>
  <c r="AH183" i="22"/>
  <c r="AE245" i="22"/>
  <c r="AG245" i="22"/>
  <c r="AH245" i="22"/>
  <c r="AF250" i="22"/>
  <c r="AK238" i="22"/>
  <c r="AM238" i="22"/>
  <c r="AN234" i="22"/>
  <c r="AM234" i="22"/>
  <c r="AG261" i="22"/>
  <c r="AE261" i="22"/>
  <c r="AG275" i="22"/>
  <c r="AE275" i="22"/>
  <c r="AH261" i="22"/>
  <c r="AF267" i="22"/>
  <c r="AF275" i="22"/>
  <c r="AL259" i="22"/>
  <c r="AK275" i="22"/>
  <c r="AM275" i="22"/>
  <c r="AK279" i="22"/>
  <c r="AM279" i="22"/>
  <c r="AL279" i="22"/>
  <c r="AN275" i="22"/>
  <c r="AG294" i="22"/>
  <c r="AE294" i="22"/>
  <c r="AK296" i="22"/>
  <c r="AM296" i="22"/>
  <c r="AK300" i="22"/>
  <c r="AM300" i="22"/>
  <c r="AL294" i="22"/>
  <c r="AL300" i="22"/>
  <c r="AL52" i="22"/>
  <c r="AM53" i="22"/>
  <c r="AK57" i="22"/>
  <c r="AK61" i="22"/>
  <c r="AL63" i="22"/>
  <c r="AM63" i="22"/>
  <c r="AN59" i="22"/>
  <c r="AN63" i="22"/>
  <c r="AF66" i="22"/>
  <c r="AE76" i="22"/>
  <c r="AK67" i="22"/>
  <c r="AK71" i="22"/>
  <c r="AL66" i="22"/>
  <c r="AL70" i="22"/>
  <c r="AM69" i="22"/>
  <c r="AM73" i="22"/>
  <c r="AL79" i="22"/>
  <c r="AM80" i="22"/>
  <c r="K86" i="22"/>
  <c r="AL86" i="22"/>
  <c r="AK100" i="22"/>
  <c r="AL97" i="22"/>
  <c r="AL101" i="22"/>
  <c r="AN128" i="22"/>
  <c r="AK128" i="22"/>
  <c r="AM137" i="22"/>
  <c r="AL137" i="22"/>
  <c r="AN141" i="22"/>
  <c r="AM141" i="22"/>
  <c r="AL141" i="22"/>
  <c r="AN145" i="22"/>
  <c r="AM145" i="22"/>
  <c r="AL145" i="22"/>
  <c r="AN149" i="22"/>
  <c r="AM149" i="22"/>
  <c r="AL149" i="22"/>
  <c r="AN154" i="22"/>
  <c r="AM154" i="22"/>
  <c r="AL154" i="22"/>
  <c r="AK107" i="22"/>
  <c r="AK111" i="22"/>
  <c r="AK115" i="22"/>
  <c r="AK119" i="22"/>
  <c r="AK123" i="22"/>
  <c r="AK127" i="22"/>
  <c r="AK132" i="22"/>
  <c r="AK138" i="22"/>
  <c r="AK143" i="22"/>
  <c r="AK149" i="22"/>
  <c r="AK161" i="22"/>
  <c r="AL107" i="22"/>
  <c r="AL112" i="22"/>
  <c r="AL117" i="22"/>
  <c r="AL123" i="22"/>
  <c r="AL128" i="22"/>
  <c r="AL138" i="22"/>
  <c r="AL143" i="22"/>
  <c r="AL148" i="22"/>
  <c r="AL155" i="22"/>
  <c r="AM105" i="22"/>
  <c r="AM111" i="22"/>
  <c r="AM116" i="22"/>
  <c r="AM121" i="22"/>
  <c r="AM127" i="22"/>
  <c r="AM131" i="22"/>
  <c r="AM136" i="22"/>
  <c r="AM142" i="22"/>
  <c r="AM148" i="22"/>
  <c r="AN119" i="22"/>
  <c r="AN151" i="22"/>
  <c r="AN157" i="22"/>
  <c r="AG89" i="22"/>
  <c r="AE89" i="22"/>
  <c r="AM165" i="22"/>
  <c r="AF176" i="22"/>
  <c r="AE225" i="22"/>
  <c r="AL234" i="22"/>
  <c r="AL238" i="22"/>
  <c r="AN238" i="22"/>
  <c r="AH275" i="22"/>
  <c r="AK251" i="22"/>
  <c r="AM259" i="22"/>
  <c r="AL275" i="22"/>
  <c r="AF294" i="22"/>
  <c r="AK291" i="22"/>
  <c r="AM291" i="22"/>
  <c r="AL289" i="22"/>
  <c r="AL296" i="22"/>
  <c r="AN296" i="22"/>
  <c r="AK303" i="22"/>
  <c r="AM307" i="22"/>
  <c r="AK307" i="22"/>
  <c r="AL305" i="22"/>
  <c r="AN78" i="22"/>
  <c r="AN133" i="22"/>
  <c r="AM133" i="22"/>
  <c r="AL133" i="22"/>
  <c r="AN160" i="22"/>
  <c r="AM160" i="22"/>
  <c r="AM117" i="22"/>
  <c r="AM138" i="22"/>
  <c r="AN105" i="22"/>
  <c r="AN121" i="22"/>
  <c r="AL187" i="22"/>
  <c r="AK191" i="22"/>
  <c r="AG229" i="22"/>
  <c r="AF229" i="22"/>
  <c r="AG198" i="22"/>
  <c r="AE198" i="22"/>
  <c r="AM222" i="22"/>
  <c r="AL222" i="22"/>
  <c r="AK222" i="22"/>
  <c r="AF232" i="22"/>
  <c r="AG232" i="22"/>
  <c r="AM236" i="22"/>
  <c r="AK236" i="22"/>
  <c r="AM240" i="22"/>
  <c r="AK240" i="22"/>
  <c r="AL240" i="22"/>
  <c r="AN240" i="22"/>
  <c r="AE250" i="22"/>
  <c r="AG250" i="22"/>
  <c r="AG267" i="22"/>
  <c r="AE267" i="22"/>
  <c r="AN259" i="22"/>
  <c r="AM277" i="22"/>
  <c r="AM281" i="22"/>
  <c r="AK281" i="22"/>
  <c r="AM294" i="22"/>
  <c r="AK294" i="22"/>
  <c r="AK298" i="22"/>
  <c r="AN298" i="22"/>
  <c r="AM57" i="22"/>
  <c r="AM61" i="22"/>
  <c r="M86" i="22"/>
  <c r="AK94" i="22"/>
  <c r="AM94" i="22"/>
  <c r="AN106" i="22"/>
  <c r="AM106" i="22"/>
  <c r="AL106" i="22"/>
  <c r="AN110" i="22"/>
  <c r="AM110" i="22"/>
  <c r="AL110" i="22"/>
  <c r="AN114" i="22"/>
  <c r="AM114" i="22"/>
  <c r="AL114" i="22"/>
  <c r="AN118" i="22"/>
  <c r="AM118" i="22"/>
  <c r="AL118" i="22"/>
  <c r="AN122" i="22"/>
  <c r="AM122" i="22"/>
  <c r="AL122" i="22"/>
  <c r="AN126" i="22"/>
  <c r="AM126" i="22"/>
  <c r="AL126" i="22"/>
  <c r="AN147" i="22"/>
  <c r="AM147" i="22"/>
  <c r="AN152" i="22"/>
  <c r="AM152" i="22"/>
  <c r="AK109" i="22"/>
  <c r="AK113" i="22"/>
  <c r="AK125" i="22"/>
  <c r="AK129" i="22"/>
  <c r="AK135" i="22"/>
  <c r="AK146" i="22"/>
  <c r="AL115" i="22"/>
  <c r="AL130" i="22"/>
  <c r="AL135" i="22"/>
  <c r="AL140" i="22"/>
  <c r="AL146" i="22"/>
  <c r="AL152" i="22"/>
  <c r="AM139" i="22"/>
  <c r="AM144" i="22"/>
  <c r="AM153" i="22"/>
  <c r="AE183" i="22"/>
  <c r="AL185" i="22"/>
  <c r="AM189" i="22"/>
  <c r="AK203" i="22"/>
  <c r="AK212" i="22"/>
  <c r="AN212" i="22"/>
  <c r="AN216" i="22"/>
  <c r="AH232" i="22"/>
  <c r="AF245" i="22"/>
  <c r="AK234" i="22"/>
  <c r="AN236" i="22"/>
  <c r="AF261" i="22"/>
  <c r="AK253" i="22"/>
  <c r="AL253" i="22"/>
  <c r="AN253" i="22"/>
  <c r="AN281" i="22"/>
  <c r="AD310" i="22"/>
  <c r="AM289" i="22"/>
  <c r="AK289" i="22"/>
  <c r="AN300" i="22"/>
  <c r="AK305" i="22"/>
  <c r="AM305" i="22"/>
  <c r="AF165" i="22"/>
  <c r="AK200" i="22"/>
  <c r="AK204" i="22"/>
  <c r="AM204" i="22"/>
  <c r="AH227" i="22"/>
  <c r="AL223" i="22"/>
  <c r="AH236" i="22"/>
  <c r="AK233" i="22"/>
  <c r="AN239" i="22"/>
  <c r="AE258" i="22"/>
  <c r="AE271" i="22"/>
  <c r="AK243" i="22"/>
  <c r="AK254" i="22"/>
  <c r="AL252" i="22"/>
  <c r="AL256" i="22"/>
  <c r="AK258" i="22"/>
  <c r="AM258" i="22"/>
  <c r="AK267" i="22"/>
  <c r="AL276" i="22"/>
  <c r="AF286" i="22"/>
  <c r="AL290" i="22"/>
  <c r="AL295" i="22"/>
  <c r="AL299" i="22"/>
  <c r="AL204" i="22"/>
  <c r="AL254" i="22"/>
  <c r="AL258" i="22"/>
  <c r="AN267" i="22"/>
  <c r="AD285" i="22"/>
  <c r="AL232" i="22"/>
  <c r="AM233" i="22"/>
  <c r="AN232" i="22"/>
  <c r="AF218" i="22"/>
  <c r="AN183" i="22"/>
  <c r="AM49" i="22" l="1"/>
  <c r="AM43" i="22"/>
  <c r="AL49" i="22"/>
  <c r="AL48" i="22"/>
  <c r="AL47" i="22"/>
  <c r="AK46" i="22"/>
  <c r="AL44" i="22"/>
  <c r="AN41" i="22"/>
  <c r="AM41" i="22"/>
  <c r="AK41" i="22"/>
  <c r="AK39" i="22"/>
  <c r="AK38" i="22"/>
  <c r="AN37" i="22"/>
  <c r="AM37" i="22"/>
  <c r="AK37" i="22"/>
  <c r="AK36" i="22"/>
  <c r="AK35" i="22"/>
  <c r="AK34" i="22"/>
  <c r="AH43" i="22"/>
  <c r="AG43" i="22"/>
  <c r="AF43" i="22"/>
  <c r="AE43" i="22"/>
  <c r="AH34" i="22"/>
  <c r="AG34" i="22"/>
  <c r="AF34" i="22"/>
  <c r="AE34" i="22"/>
  <c r="I83" i="22"/>
  <c r="I65" i="22"/>
  <c r="AN43" i="22" l="1"/>
  <c r="AN46" i="22"/>
  <c r="AM47" i="22"/>
  <c r="AN47" i="22"/>
  <c r="AM44" i="22"/>
  <c r="AN48" i="22"/>
  <c r="AK44" i="22"/>
  <c r="AK47" i="22"/>
  <c r="AK48" i="22"/>
  <c r="AK49" i="22"/>
  <c r="AE52" i="22"/>
  <c r="AG52" i="22"/>
  <c r="AF52" i="22"/>
  <c r="AH52" i="22"/>
  <c r="AM48" i="22"/>
  <c r="AN44" i="22"/>
  <c r="AN49" i="22"/>
  <c r="AE56" i="22"/>
  <c r="AG56" i="22"/>
  <c r="AF56" i="22"/>
  <c r="AH56" i="22"/>
  <c r="I84" i="22"/>
  <c r="AN30" i="22"/>
  <c r="AK30" i="22"/>
  <c r="AN29" i="22"/>
  <c r="AK29" i="22"/>
  <c r="AK28" i="22"/>
  <c r="AK27" i="22"/>
  <c r="AN26" i="22"/>
  <c r="AM26" i="22"/>
  <c r="AL26" i="22"/>
  <c r="AK26" i="22"/>
  <c r="AN25" i="22"/>
  <c r="AM25" i="22"/>
  <c r="AL25" i="22"/>
  <c r="AK25" i="22"/>
  <c r="AN22" i="22"/>
  <c r="AM22" i="22"/>
  <c r="AN20" i="22"/>
  <c r="AM20" i="22"/>
  <c r="AK20" i="22"/>
  <c r="AL20" i="22"/>
  <c r="AK15" i="22"/>
  <c r="AN14" i="22"/>
  <c r="AM14" i="22"/>
  <c r="AL14" i="22"/>
  <c r="AK14" i="22"/>
  <c r="AN10" i="22"/>
  <c r="AM10" i="22"/>
  <c r="AL10" i="22"/>
  <c r="AK10" i="22"/>
  <c r="AN9" i="22"/>
  <c r="AM9" i="22"/>
  <c r="AN7" i="22" l="1"/>
  <c r="AM7" i="22"/>
  <c r="AL7" i="22"/>
  <c r="AK7" i="22"/>
  <c r="J52" i="22"/>
  <c r="K52" i="22"/>
  <c r="L52" i="22"/>
  <c r="M52" i="22"/>
  <c r="AJ23" i="22"/>
  <c r="AH24" i="22"/>
  <c r="AG24" i="22"/>
  <c r="AF24" i="22"/>
  <c r="AE24" i="22"/>
  <c r="AH7" i="22"/>
  <c r="AG7" i="22"/>
  <c r="AF7" i="22"/>
  <c r="AE7" i="22"/>
  <c r="O32" i="22" l="1"/>
  <c r="S423" i="22"/>
  <c r="R423" i="22"/>
  <c r="Q423" i="22"/>
  <c r="P423" i="22"/>
  <c r="R363" i="22"/>
  <c r="P582" i="22"/>
  <c r="P571" i="22"/>
  <c r="P566" i="22"/>
  <c r="P531" i="22"/>
  <c r="S416" i="22"/>
  <c r="S411" i="22"/>
  <c r="S400" i="22"/>
  <c r="S382" i="22"/>
  <c r="P375" i="22"/>
  <c r="P363" i="22"/>
  <c r="P362" i="22"/>
  <c r="P350" i="22"/>
  <c r="P344" i="22"/>
  <c r="P335" i="22"/>
  <c r="Q313" i="22"/>
  <c r="Q311" i="22"/>
  <c r="P286" i="22"/>
  <c r="P281" i="22"/>
  <c r="P400" i="22" l="1"/>
  <c r="Q582" i="22"/>
  <c r="S582" i="22"/>
  <c r="S566" i="22"/>
  <c r="Q566" i="22"/>
  <c r="Q531" i="22"/>
  <c r="Q571" i="22"/>
  <c r="P411" i="22"/>
  <c r="R531" i="22"/>
  <c r="R566" i="22"/>
  <c r="R571" i="22"/>
  <c r="R582" i="22"/>
  <c r="Q363" i="22"/>
  <c r="R411" i="22"/>
  <c r="S531" i="22"/>
  <c r="S571" i="22"/>
  <c r="S375" i="22"/>
  <c r="Q350" i="22"/>
  <c r="Q362" i="22"/>
  <c r="Q375" i="22"/>
  <c r="R362" i="22"/>
  <c r="R375" i="22"/>
  <c r="P416" i="22"/>
  <c r="R416" i="22"/>
  <c r="Q416" i="22"/>
  <c r="Q411" i="22"/>
  <c r="Q400" i="22"/>
  <c r="R400" i="22"/>
  <c r="P382" i="22"/>
  <c r="Q382" i="22"/>
  <c r="R382" i="22"/>
  <c r="R335" i="22"/>
  <c r="Q335" i="22"/>
  <c r="R286" i="22"/>
  <c r="Q286" i="22"/>
  <c r="R350" i="22"/>
  <c r="Q281" i="22"/>
  <c r="Q344" i="22"/>
  <c r="S350" i="22"/>
  <c r="S362" i="22"/>
  <c r="S363" i="22"/>
  <c r="R281" i="22"/>
  <c r="R344" i="22"/>
  <c r="P277" i="22"/>
  <c r="S277" i="22"/>
  <c r="R277" i="22"/>
  <c r="P313" i="22"/>
  <c r="S313" i="22"/>
  <c r="R313" i="22"/>
  <c r="Q277" i="22"/>
  <c r="P275" i="22"/>
  <c r="S275" i="22"/>
  <c r="R275" i="22"/>
  <c r="P311" i="22"/>
  <c r="S311" i="22"/>
  <c r="R311" i="22"/>
  <c r="P347" i="22"/>
  <c r="S347" i="22"/>
  <c r="R347" i="22"/>
  <c r="Q275" i="22"/>
  <c r="Q347" i="22"/>
  <c r="S281" i="22"/>
  <c r="S286" i="22"/>
  <c r="S335" i="22"/>
  <c r="S344" i="22"/>
  <c r="S72" i="22" l="1"/>
  <c r="R72" i="22"/>
  <c r="P72" i="22"/>
  <c r="Q72" i="22"/>
  <c r="S86" i="22"/>
  <c r="R86" i="22"/>
  <c r="P86" i="22"/>
  <c r="Q86" i="22"/>
  <c r="P179" i="22"/>
  <c r="R179" i="22"/>
  <c r="S179" i="22"/>
  <c r="Q179" i="22"/>
  <c r="P193" i="22"/>
  <c r="S193" i="22"/>
  <c r="R193" i="22"/>
  <c r="Q193" i="22"/>
  <c r="P210" i="22"/>
  <c r="R210" i="22"/>
  <c r="S210" i="22"/>
  <c r="Q210" i="22"/>
  <c r="P236" i="22"/>
  <c r="S236" i="22"/>
  <c r="R236" i="22"/>
  <c r="Q236" i="22"/>
  <c r="P245" i="22"/>
  <c r="S245" i="22"/>
  <c r="R245" i="22"/>
  <c r="Q245" i="22"/>
  <c r="P261" i="22"/>
  <c r="S261" i="22"/>
  <c r="R261" i="22"/>
  <c r="Q261" i="22"/>
  <c r="P268" i="22"/>
  <c r="S268" i="22"/>
  <c r="R268" i="22"/>
  <c r="Q268" i="22"/>
  <c r="S66" i="22"/>
  <c r="R66" i="22"/>
  <c r="Q66" i="22"/>
  <c r="P66" i="22"/>
  <c r="P183" i="22"/>
  <c r="S183" i="22"/>
  <c r="R183" i="22"/>
  <c r="Q183" i="22"/>
  <c r="P196" i="22"/>
  <c r="S196" i="22"/>
  <c r="R196" i="22"/>
  <c r="Q196" i="22"/>
  <c r="P218" i="22"/>
  <c r="S218" i="22"/>
  <c r="R218" i="22"/>
  <c r="Q218" i="22"/>
  <c r="P237" i="22"/>
  <c r="R237" i="22"/>
  <c r="S237" i="22"/>
  <c r="Q237" i="22"/>
  <c r="P250" i="22"/>
  <c r="R250" i="22"/>
  <c r="S250" i="22"/>
  <c r="Q250" i="22"/>
  <c r="P262" i="22"/>
  <c r="Q262" i="22"/>
  <c r="S262" i="22"/>
  <c r="R262" i="22"/>
  <c r="P271" i="22"/>
  <c r="S271" i="22"/>
  <c r="R271" i="22"/>
  <c r="Q271" i="22"/>
  <c r="S70" i="22"/>
  <c r="R70" i="22"/>
  <c r="P70" i="22"/>
  <c r="Q70" i="22"/>
  <c r="P165" i="22"/>
  <c r="S165" i="22"/>
  <c r="R165" i="22"/>
  <c r="Q165" i="22"/>
  <c r="P187" i="22"/>
  <c r="Q187" i="22"/>
  <c r="S187" i="22"/>
  <c r="R187" i="22"/>
  <c r="P198" i="22"/>
  <c r="R198" i="22"/>
  <c r="S198" i="22"/>
  <c r="Q198" i="22"/>
  <c r="P221" i="22"/>
  <c r="R221" i="22"/>
  <c r="S221" i="22"/>
  <c r="Q221" i="22"/>
  <c r="P238" i="22"/>
  <c r="S238" i="22"/>
  <c r="R238" i="22"/>
  <c r="Q238" i="22"/>
  <c r="P258" i="22"/>
  <c r="S258" i="22"/>
  <c r="R258" i="22"/>
  <c r="Q258" i="22"/>
  <c r="P264" i="22"/>
  <c r="R264" i="22"/>
  <c r="S264" i="22"/>
  <c r="Q264" i="22"/>
  <c r="S71" i="22"/>
  <c r="R71" i="22"/>
  <c r="P71" i="22"/>
  <c r="Q71" i="22"/>
  <c r="P176" i="22"/>
  <c r="S176" i="22"/>
  <c r="Q176" i="22"/>
  <c r="R176" i="22"/>
  <c r="P192" i="22"/>
  <c r="S192" i="22"/>
  <c r="Q192" i="22"/>
  <c r="R192" i="22"/>
  <c r="P204" i="22"/>
  <c r="S204" i="22"/>
  <c r="R204" i="22"/>
  <c r="Q204" i="22"/>
  <c r="P232" i="22"/>
  <c r="R232" i="22"/>
  <c r="Q232" i="22"/>
  <c r="P240" i="22"/>
  <c r="R240" i="22"/>
  <c r="S240" i="22"/>
  <c r="Q240" i="22"/>
  <c r="P259" i="22"/>
  <c r="R259" i="22"/>
  <c r="S259" i="22"/>
  <c r="Q259" i="22"/>
  <c r="P267" i="22"/>
  <c r="S267" i="22"/>
  <c r="R267" i="22"/>
  <c r="Q267" i="22"/>
  <c r="S52" i="22"/>
  <c r="R52" i="22"/>
  <c r="Q52" i="22"/>
  <c r="P52" i="22"/>
  <c r="AD175" i="22"/>
  <c r="AD31" i="22"/>
  <c r="AD42" i="22"/>
  <c r="AD50" i="22"/>
  <c r="AD55" i="22"/>
  <c r="AD64" i="22"/>
  <c r="AD75" i="22"/>
  <c r="AD83" i="22"/>
  <c r="AD103" i="22"/>
  <c r="AD164" i="22"/>
  <c r="AD235" i="22"/>
  <c r="AD244" i="22"/>
  <c r="AD246" i="22"/>
  <c r="AD248" i="22"/>
  <c r="AD257" i="22"/>
  <c r="AD260" i="22"/>
  <c r="AD263" i="22"/>
  <c r="AD266" i="22"/>
  <c r="AD270" i="22"/>
  <c r="AD274" i="22"/>
  <c r="AD284" i="22"/>
  <c r="AD293" i="22"/>
  <c r="AD301" i="22"/>
  <c r="AD309" i="22"/>
  <c r="AD312" i="22"/>
  <c r="AD326" i="22"/>
  <c r="AD334" i="22"/>
  <c r="AD343" i="22"/>
  <c r="AD381" i="22"/>
  <c r="AD399" i="22"/>
  <c r="AD410" i="22"/>
  <c r="AD415" i="22"/>
  <c r="AD420" i="22"/>
  <c r="AD23" i="22"/>
  <c r="I220" i="22"/>
  <c r="I231" i="22"/>
  <c r="I249" i="22"/>
  <c r="I285" i="22"/>
  <c r="I310" i="22"/>
  <c r="I421" i="22"/>
  <c r="I518" i="22"/>
  <c r="I51" i="22"/>
  <c r="I32" i="22"/>
  <c r="M550" i="22"/>
  <c r="L550" i="22"/>
  <c r="K550" i="22"/>
  <c r="J550" i="22"/>
  <c r="M520" i="22"/>
  <c r="L520" i="22"/>
  <c r="K520" i="22"/>
  <c r="J520" i="22"/>
  <c r="AD421" i="22" l="1"/>
  <c r="I422" i="22"/>
  <c r="AD249" i="22"/>
  <c r="M311" i="22"/>
  <c r="L311" i="22"/>
  <c r="K311" i="22"/>
  <c r="J311" i="22"/>
  <c r="M286" i="22"/>
  <c r="L286" i="22"/>
  <c r="K286" i="22"/>
  <c r="J286" i="22"/>
  <c r="M250" i="22"/>
  <c r="L250" i="22"/>
  <c r="K250" i="22"/>
  <c r="J250" i="22"/>
  <c r="M232" i="22"/>
  <c r="L232" i="22"/>
  <c r="K232" i="22"/>
  <c r="J232" i="22"/>
  <c r="M221" i="22"/>
  <c r="L221" i="22"/>
  <c r="K221" i="22"/>
  <c r="J221" i="22"/>
  <c r="M183" i="22"/>
  <c r="L183" i="22"/>
  <c r="K183" i="22"/>
  <c r="J183" i="22"/>
  <c r="AZ228" i="22" l="1"/>
  <c r="BA228" i="22"/>
  <c r="BB228" i="22"/>
  <c r="AY228" i="22"/>
  <c r="BC227" i="22"/>
  <c r="BC228" i="22" s="1"/>
  <c r="AJ228" i="22"/>
  <c r="AD228" i="22"/>
  <c r="AD230" i="22"/>
  <c r="AD226" i="22"/>
  <c r="AD224" i="22"/>
  <c r="BB549" i="22"/>
  <c r="BA549" i="22"/>
  <c r="AZ549" i="22"/>
  <c r="AY549" i="22"/>
  <c r="F520" i="22"/>
  <c r="E520" i="22"/>
  <c r="D520" i="22"/>
  <c r="AD231" i="22" l="1"/>
  <c r="AY584" i="22"/>
  <c r="AY585" i="22" s="1"/>
  <c r="BB584" i="22"/>
  <c r="BB585" i="22" s="1"/>
  <c r="BA584" i="22"/>
  <c r="BA585" i="22" s="1"/>
  <c r="AZ584" i="22"/>
  <c r="AZ585" i="22" s="1"/>
  <c r="BC521" i="22" l="1"/>
  <c r="BC522" i="22"/>
  <c r="BC523" i="22"/>
  <c r="BC524" i="22"/>
  <c r="BC525" i="22"/>
  <c r="BC526" i="22"/>
  <c r="BC527" i="22"/>
  <c r="BC528" i="22"/>
  <c r="BC529" i="22"/>
  <c r="BC530" i="22"/>
  <c r="BC531" i="22"/>
  <c r="BC532" i="22"/>
  <c r="BC533" i="22"/>
  <c r="BC534" i="22"/>
  <c r="BC535" i="22"/>
  <c r="BC536" i="22"/>
  <c r="BC537" i="22"/>
  <c r="BC538" i="22"/>
  <c r="BC539" i="22"/>
  <c r="BC540" i="22"/>
  <c r="BC541" i="22"/>
  <c r="BC542" i="22"/>
  <c r="BC543" i="22"/>
  <c r="BC544" i="22"/>
  <c r="BC545" i="22"/>
  <c r="BC546" i="22"/>
  <c r="BC547" i="22"/>
  <c r="BC548" i="22"/>
  <c r="BC550" i="22"/>
  <c r="BC551" i="22"/>
  <c r="BC552" i="22"/>
  <c r="BC553" i="22"/>
  <c r="BC554" i="22"/>
  <c r="BC555" i="22"/>
  <c r="BC556" i="22"/>
  <c r="BC557" i="22"/>
  <c r="BC558" i="22"/>
  <c r="BC559" i="22"/>
  <c r="BC560" i="22"/>
  <c r="BC561" i="22"/>
  <c r="BC562" i="22"/>
  <c r="BC563" i="22"/>
  <c r="BC564" i="22"/>
  <c r="BC565" i="22"/>
  <c r="BC566" i="22"/>
  <c r="BC567" i="22"/>
  <c r="BC568" i="22"/>
  <c r="BC569" i="22"/>
  <c r="BC570" i="22"/>
  <c r="BC571" i="22"/>
  <c r="BC572" i="22"/>
  <c r="BC573" i="22"/>
  <c r="BC574" i="22"/>
  <c r="BC575" i="22"/>
  <c r="BC576" i="22"/>
  <c r="BC577" i="22"/>
  <c r="BC578" i="22"/>
  <c r="BC579" i="22"/>
  <c r="BC580" i="22"/>
  <c r="BC581" i="22"/>
  <c r="BC582" i="22"/>
  <c r="BC583" i="22"/>
  <c r="BC520" i="22"/>
  <c r="AZ518" i="22"/>
  <c r="AZ519" i="22" s="1"/>
  <c r="BA518" i="22"/>
  <c r="BA519" i="22" s="1"/>
  <c r="BB518" i="22"/>
  <c r="BB519" i="22" s="1"/>
  <c r="AY518" i="22"/>
  <c r="AY519" i="22" s="1"/>
  <c r="L423" i="22"/>
  <c r="M423" i="22"/>
  <c r="K423" i="22"/>
  <c r="J423" i="22"/>
  <c r="F423" i="22"/>
  <c r="E423" i="22"/>
  <c r="D423" i="22"/>
  <c r="BC549" i="22" l="1"/>
  <c r="P520" i="22"/>
  <c r="S520" i="22"/>
  <c r="R520" i="22"/>
  <c r="Q520" i="22"/>
  <c r="AJ570" i="22"/>
  <c r="BC584" i="22"/>
  <c r="BC424" i="22"/>
  <c r="BC425" i="22"/>
  <c r="BC426" i="22"/>
  <c r="BC427" i="22"/>
  <c r="BC428" i="22"/>
  <c r="BC429" i="22"/>
  <c r="BC430" i="22"/>
  <c r="BC431" i="22"/>
  <c r="BC432" i="22"/>
  <c r="BC433" i="22"/>
  <c r="BC434" i="22"/>
  <c r="BC435" i="22"/>
  <c r="BC436" i="22"/>
  <c r="BC437" i="22"/>
  <c r="BC438" i="22"/>
  <c r="BC439" i="22"/>
  <c r="BC440" i="22"/>
  <c r="BC441" i="22"/>
  <c r="BC442" i="22"/>
  <c r="BC443" i="22"/>
  <c r="BC444" i="22"/>
  <c r="BC445" i="22"/>
  <c r="BC446" i="22"/>
  <c r="BC447" i="22"/>
  <c r="BC448" i="22"/>
  <c r="BC449" i="22"/>
  <c r="BC450" i="22"/>
  <c r="BC451" i="22"/>
  <c r="BC452" i="22"/>
  <c r="BC453" i="22"/>
  <c r="BC454" i="22"/>
  <c r="BC455" i="22"/>
  <c r="BC456" i="22"/>
  <c r="BC457" i="22"/>
  <c r="BC458" i="22"/>
  <c r="BC459" i="22"/>
  <c r="BC460" i="22"/>
  <c r="BC461" i="22"/>
  <c r="BC462" i="22"/>
  <c r="BC463" i="22"/>
  <c r="BC464" i="22"/>
  <c r="BC465" i="22"/>
  <c r="BC466" i="22"/>
  <c r="BC467" i="22"/>
  <c r="BC468" i="22"/>
  <c r="BC469" i="22"/>
  <c r="BC470" i="22"/>
  <c r="BC471" i="22"/>
  <c r="BC472" i="22"/>
  <c r="BC473" i="22"/>
  <c r="BC474" i="22"/>
  <c r="BC475" i="22"/>
  <c r="BC476" i="22"/>
  <c r="BC477" i="22"/>
  <c r="BC478" i="22"/>
  <c r="BC479" i="22"/>
  <c r="BC480" i="22"/>
  <c r="BC481" i="22"/>
  <c r="BC482" i="22"/>
  <c r="BC483" i="22"/>
  <c r="BC484" i="22"/>
  <c r="BC485" i="22"/>
  <c r="BC486" i="22"/>
  <c r="BC487" i="22"/>
  <c r="BC488" i="22"/>
  <c r="BC489" i="22"/>
  <c r="BC490" i="22"/>
  <c r="BC491" i="22"/>
  <c r="BC492" i="22"/>
  <c r="BC493" i="22"/>
  <c r="BC494" i="22"/>
  <c r="BC495" i="22"/>
  <c r="BC496" i="22"/>
  <c r="BC497" i="22"/>
  <c r="BC498" i="22"/>
  <c r="BC499" i="22"/>
  <c r="BC500" i="22"/>
  <c r="BC501" i="22"/>
  <c r="BC502" i="22"/>
  <c r="BC503" i="22"/>
  <c r="BC504" i="22"/>
  <c r="BC505" i="22"/>
  <c r="BC506" i="22"/>
  <c r="BC507" i="22"/>
  <c r="BC508" i="22"/>
  <c r="BC509" i="22"/>
  <c r="BC510" i="22"/>
  <c r="BC511" i="22"/>
  <c r="BC512" i="22"/>
  <c r="BC513" i="22"/>
  <c r="BC514" i="22"/>
  <c r="BC515" i="22"/>
  <c r="BC516" i="22"/>
  <c r="BC517" i="22"/>
  <c r="BC423" i="22"/>
  <c r="AJ381" i="22"/>
  <c r="AJ343" i="22"/>
  <c r="AJ420" i="22"/>
  <c r="AZ420" i="22"/>
  <c r="BA420" i="22"/>
  <c r="BB420" i="22"/>
  <c r="AY420" i="22"/>
  <c r="BC401" i="22"/>
  <c r="BC402" i="22"/>
  <c r="BC403" i="22"/>
  <c r="BC404" i="22"/>
  <c r="BC405" i="22"/>
  <c r="BC406" i="22"/>
  <c r="BC407" i="22"/>
  <c r="BC408" i="22"/>
  <c r="BC409" i="22"/>
  <c r="BC410" i="22"/>
  <c r="BC411" i="22"/>
  <c r="BC412" i="22"/>
  <c r="BC413" i="22"/>
  <c r="BC414" i="22"/>
  <c r="BC415" i="22"/>
  <c r="BC416" i="22"/>
  <c r="BC417" i="22"/>
  <c r="BC418" i="22"/>
  <c r="BC419" i="22"/>
  <c r="BC400" i="22"/>
  <c r="AJ399" i="22"/>
  <c r="AZ399" i="22"/>
  <c r="BA399" i="22"/>
  <c r="BB399" i="22"/>
  <c r="AY399" i="22"/>
  <c r="BC383" i="22"/>
  <c r="BC384" i="22"/>
  <c r="BC385" i="22"/>
  <c r="BC386" i="22"/>
  <c r="BC387" i="22"/>
  <c r="BC388" i="22"/>
  <c r="BC389" i="22"/>
  <c r="BC390" i="22"/>
  <c r="BC391" i="22"/>
  <c r="BC392" i="22"/>
  <c r="BC393" i="22"/>
  <c r="BC394" i="22"/>
  <c r="BC395" i="22"/>
  <c r="BC396" i="22"/>
  <c r="BC397" i="22"/>
  <c r="BC398" i="22"/>
  <c r="BC382" i="22"/>
  <c r="BC345" i="22"/>
  <c r="BC346" i="22"/>
  <c r="BC347" i="22"/>
  <c r="BC348" i="22"/>
  <c r="BC349" i="22"/>
  <c r="BC350" i="22"/>
  <c r="BC351" i="22"/>
  <c r="BC352" i="22"/>
  <c r="BC353" i="22"/>
  <c r="BC354" i="22"/>
  <c r="BC355" i="22"/>
  <c r="BC356" i="22"/>
  <c r="BC357" i="22"/>
  <c r="BC358" i="22"/>
  <c r="BC359" i="22"/>
  <c r="BC360" i="22"/>
  <c r="BC361" i="22"/>
  <c r="BC362" i="22"/>
  <c r="BC363" i="22"/>
  <c r="BC364" i="22"/>
  <c r="BC365" i="22"/>
  <c r="BC366" i="22"/>
  <c r="BC367" i="22"/>
  <c r="BC368" i="22"/>
  <c r="BC369" i="22"/>
  <c r="BC370" i="22"/>
  <c r="BC371" i="22"/>
  <c r="BC372" i="22"/>
  <c r="BC373" i="22"/>
  <c r="BC374" i="22"/>
  <c r="BC375" i="22"/>
  <c r="BC376" i="22"/>
  <c r="BC377" i="22"/>
  <c r="BC378" i="22"/>
  <c r="BC379" i="22"/>
  <c r="BC380" i="22"/>
  <c r="BC344" i="22"/>
  <c r="AZ343" i="22"/>
  <c r="BA343" i="22"/>
  <c r="BB343" i="22"/>
  <c r="AY343" i="22"/>
  <c r="BC336" i="22"/>
  <c r="BC337" i="22"/>
  <c r="BC338" i="22"/>
  <c r="BC339" i="22"/>
  <c r="BC340" i="22"/>
  <c r="BC341" i="22"/>
  <c r="BC342" i="22"/>
  <c r="BC335" i="22"/>
  <c r="AJ334" i="22"/>
  <c r="AZ334" i="22"/>
  <c r="BA334" i="22"/>
  <c r="BB334" i="22"/>
  <c r="AY334" i="22"/>
  <c r="BC328" i="22"/>
  <c r="BC329" i="22"/>
  <c r="BC330" i="22"/>
  <c r="BC331" i="22"/>
  <c r="BC332" i="22"/>
  <c r="BC333" i="22"/>
  <c r="BC327" i="22"/>
  <c r="AJ326" i="22"/>
  <c r="AY326" i="22"/>
  <c r="AZ326" i="22"/>
  <c r="BA326" i="22"/>
  <c r="BB326" i="22"/>
  <c r="BC314" i="22"/>
  <c r="BC315" i="22"/>
  <c r="BC316" i="22"/>
  <c r="BC317" i="22"/>
  <c r="BC318" i="22"/>
  <c r="BC319" i="22"/>
  <c r="BC320" i="22"/>
  <c r="BC321" i="22"/>
  <c r="BC322" i="22"/>
  <c r="BC323" i="22"/>
  <c r="BC324" i="22"/>
  <c r="BC325" i="22"/>
  <c r="BC313" i="22"/>
  <c r="AJ312" i="22"/>
  <c r="AZ312" i="22"/>
  <c r="BA312" i="22"/>
  <c r="BB312" i="22"/>
  <c r="AY312" i="22"/>
  <c r="BC311" i="22"/>
  <c r="BC312" i="22" s="1"/>
  <c r="AZ309" i="22"/>
  <c r="BA309" i="22"/>
  <c r="BB309" i="22"/>
  <c r="AY309" i="22"/>
  <c r="AJ309" i="22"/>
  <c r="AJ293" i="22"/>
  <c r="AZ293" i="22"/>
  <c r="BA293" i="22"/>
  <c r="BB293" i="22"/>
  <c r="AY293" i="22"/>
  <c r="BC295" i="22"/>
  <c r="BC296" i="22"/>
  <c r="BC297" i="22"/>
  <c r="BC298" i="22"/>
  <c r="BC299" i="22"/>
  <c r="BC300" i="22"/>
  <c r="BC301" i="22"/>
  <c r="BC302" i="22"/>
  <c r="BC303" i="22"/>
  <c r="BC304" i="22"/>
  <c r="BC305" i="22"/>
  <c r="BC306" i="22"/>
  <c r="BC307" i="22"/>
  <c r="BC308" i="22"/>
  <c r="BC294" i="22"/>
  <c r="BC287" i="22"/>
  <c r="BC288" i="22"/>
  <c r="BC289" i="22"/>
  <c r="BC290" i="22"/>
  <c r="BC291" i="22"/>
  <c r="BC292" i="22"/>
  <c r="BC286" i="22"/>
  <c r="AZ284" i="22"/>
  <c r="BA284" i="22"/>
  <c r="BB284" i="22"/>
  <c r="AY284" i="22"/>
  <c r="BC283" i="22"/>
  <c r="BC265" i="22"/>
  <c r="BC266" i="22"/>
  <c r="BC267" i="22"/>
  <c r="BC268" i="22"/>
  <c r="BC269" i="22"/>
  <c r="BC270" i="22"/>
  <c r="BC271" i="22"/>
  <c r="BC272" i="22"/>
  <c r="BC273" i="22"/>
  <c r="BC274" i="22"/>
  <c r="BC275" i="22"/>
  <c r="BC276" i="22"/>
  <c r="BC277" i="22"/>
  <c r="BC278" i="22"/>
  <c r="BC279" i="22"/>
  <c r="BC280" i="22"/>
  <c r="BC281" i="22"/>
  <c r="BC282" i="22"/>
  <c r="BC264" i="22"/>
  <c r="AJ284" i="22"/>
  <c r="AZ263" i="22"/>
  <c r="BA263" i="22"/>
  <c r="BB263" i="22"/>
  <c r="AY263" i="22"/>
  <c r="BC262" i="22"/>
  <c r="BC261" i="22"/>
  <c r="AJ260" i="22"/>
  <c r="AZ260" i="22"/>
  <c r="BA260" i="22"/>
  <c r="BB260" i="22"/>
  <c r="AY260" i="22"/>
  <c r="AZ257" i="22"/>
  <c r="BA257" i="22"/>
  <c r="BB257" i="22"/>
  <c r="AY257" i="22"/>
  <c r="AJ257" i="22"/>
  <c r="BC259" i="22"/>
  <c r="BC258" i="22"/>
  <c r="BC251" i="22"/>
  <c r="BC252" i="22"/>
  <c r="BC253" i="22"/>
  <c r="BC254" i="22"/>
  <c r="BC255" i="22"/>
  <c r="BC256" i="22"/>
  <c r="BC250" i="22"/>
  <c r="AZ248" i="22"/>
  <c r="BA248" i="22"/>
  <c r="BB248" i="22"/>
  <c r="AY248" i="22"/>
  <c r="AJ248" i="22"/>
  <c r="BC247" i="22"/>
  <c r="BC248" i="22" s="1"/>
  <c r="AZ246" i="22"/>
  <c r="BA246" i="22"/>
  <c r="BB246" i="22"/>
  <c r="AY246" i="22"/>
  <c r="BC245" i="22"/>
  <c r="BC246" i="22" s="1"/>
  <c r="AJ244" i="22"/>
  <c r="AZ244" i="22"/>
  <c r="BA244" i="22"/>
  <c r="BB244" i="22"/>
  <c r="AY244" i="22"/>
  <c r="BC237" i="22"/>
  <c r="BC238" i="22"/>
  <c r="BC239" i="22"/>
  <c r="BC240" i="22"/>
  <c r="BC241" i="22"/>
  <c r="BC242" i="22"/>
  <c r="BC243" i="22"/>
  <c r="BC236" i="22"/>
  <c r="AJ235" i="22"/>
  <c r="AZ235" i="22"/>
  <c r="BA235" i="22"/>
  <c r="BB235" i="22"/>
  <c r="AY235" i="22"/>
  <c r="BC233" i="22"/>
  <c r="BC234" i="22"/>
  <c r="BC232" i="22"/>
  <c r="AZ230" i="22"/>
  <c r="BA230" i="22"/>
  <c r="BB230" i="22"/>
  <c r="AY230" i="22"/>
  <c r="AJ230" i="22"/>
  <c r="BC229" i="22"/>
  <c r="BC230" i="22" s="1"/>
  <c r="AJ226" i="22"/>
  <c r="AZ226" i="22"/>
  <c r="BA226" i="22"/>
  <c r="BB226" i="22"/>
  <c r="AY226" i="22"/>
  <c r="BC585" i="22" l="1"/>
  <c r="P536" i="22"/>
  <c r="S536" i="22"/>
  <c r="R536" i="22"/>
  <c r="Q536" i="22"/>
  <c r="P550" i="22"/>
  <c r="S550" i="22"/>
  <c r="R550" i="22"/>
  <c r="Q550" i="22"/>
  <c r="P563" i="22"/>
  <c r="S563" i="22"/>
  <c r="R563" i="22"/>
  <c r="Q563" i="22"/>
  <c r="P541" i="22"/>
  <c r="S541" i="22"/>
  <c r="R541" i="22"/>
  <c r="Q541" i="22"/>
  <c r="P521" i="22"/>
  <c r="S521" i="22"/>
  <c r="R521" i="22"/>
  <c r="Q521" i="22"/>
  <c r="BC518" i="22"/>
  <c r="BC519" i="22" s="1"/>
  <c r="AZ421" i="22"/>
  <c r="BB421" i="22"/>
  <c r="BC420" i="22"/>
  <c r="AY421" i="22"/>
  <c r="BC334" i="22"/>
  <c r="BC343" i="22"/>
  <c r="BC399" i="22"/>
  <c r="BA421" i="22"/>
  <c r="BC260" i="22"/>
  <c r="BC263" i="22"/>
  <c r="BA310" i="22"/>
  <c r="BA249" i="22"/>
  <c r="BB285" i="22"/>
  <c r="AZ285" i="22"/>
  <c r="BB310" i="22"/>
  <c r="AZ310" i="22"/>
  <c r="BC326" i="22"/>
  <c r="BC257" i="22"/>
  <c r="BC284" i="22"/>
  <c r="BC309" i="22"/>
  <c r="AY285" i="22"/>
  <c r="BC293" i="22"/>
  <c r="AY310" i="22"/>
  <c r="BA285" i="22"/>
  <c r="BC235" i="22"/>
  <c r="BC244" i="22"/>
  <c r="BB249" i="22"/>
  <c r="AZ249" i="22"/>
  <c r="AY249" i="22"/>
  <c r="BC421" i="22" l="1"/>
  <c r="BC249" i="22"/>
  <c r="BC285" i="22"/>
  <c r="BC310" i="22"/>
  <c r="BC225" i="22" l="1"/>
  <c r="BC226" i="22" s="1"/>
  <c r="AZ224" i="22"/>
  <c r="AZ231" i="22" s="1"/>
  <c r="BA224" i="22"/>
  <c r="BA231" i="22" s="1"/>
  <c r="BB224" i="22"/>
  <c r="BB231" i="22" s="1"/>
  <c r="AY224" i="22"/>
  <c r="AY231" i="22" s="1"/>
  <c r="BC222" i="22"/>
  <c r="BC223" i="22"/>
  <c r="BC221" i="22"/>
  <c r="AJ224" i="22"/>
  <c r="AD219" i="22"/>
  <c r="AD217" i="22"/>
  <c r="AD209" i="22"/>
  <c r="AD197" i="22"/>
  <c r="AZ219" i="22"/>
  <c r="BA219" i="22"/>
  <c r="BB219" i="22"/>
  <c r="AY219" i="22"/>
  <c r="BC218" i="22"/>
  <c r="BC219" i="22" s="1"/>
  <c r="AJ217" i="22"/>
  <c r="AZ217" i="22"/>
  <c r="BA217" i="22"/>
  <c r="BB217" i="22"/>
  <c r="AY217" i="22"/>
  <c r="BC211" i="22"/>
  <c r="BC212" i="22"/>
  <c r="BC213" i="22"/>
  <c r="BC214" i="22"/>
  <c r="BC215" i="22"/>
  <c r="BC216" i="22"/>
  <c r="BC210" i="22"/>
  <c r="BC217" i="22" l="1"/>
  <c r="BC224" i="22"/>
  <c r="BC231" i="22" s="1"/>
  <c r="AZ209" i="22"/>
  <c r="BA209" i="22"/>
  <c r="BB209" i="22"/>
  <c r="AY209" i="22"/>
  <c r="BC199" i="22"/>
  <c r="BC200" i="22"/>
  <c r="BC201" i="22"/>
  <c r="BC202" i="22"/>
  <c r="BC203" i="22"/>
  <c r="BC204" i="22"/>
  <c r="BC205" i="22"/>
  <c r="BC206" i="22"/>
  <c r="BC207" i="22"/>
  <c r="BC208" i="22"/>
  <c r="BC198" i="22"/>
  <c r="AJ209" i="22"/>
  <c r="AJ197" i="22"/>
  <c r="AZ197" i="22"/>
  <c r="BA197" i="22"/>
  <c r="BB197" i="22"/>
  <c r="AY197" i="22"/>
  <c r="BC188" i="22"/>
  <c r="BC189" i="22"/>
  <c r="BC190" i="22"/>
  <c r="BC191" i="22"/>
  <c r="BC192" i="22"/>
  <c r="BC193" i="22"/>
  <c r="BC196" i="22"/>
  <c r="BC187" i="22"/>
  <c r="AD186" i="22"/>
  <c r="AD220" i="22" s="1"/>
  <c r="AJ186" i="22"/>
  <c r="BC184" i="22"/>
  <c r="BC185" i="22"/>
  <c r="BC183" i="22"/>
  <c r="AZ186" i="22"/>
  <c r="BA186" i="22"/>
  <c r="BB186" i="22"/>
  <c r="AY186" i="22"/>
  <c r="AJ181" i="22"/>
  <c r="AJ178" i="22"/>
  <c r="AD181" i="22"/>
  <c r="AD178" i="22"/>
  <c r="AZ181" i="22"/>
  <c r="BA181" i="22"/>
  <c r="BB181" i="22"/>
  <c r="AY181" i="22"/>
  <c r="AZ178" i="22"/>
  <c r="BA178" i="22"/>
  <c r="BB178" i="22"/>
  <c r="AY178" i="22"/>
  <c r="BC177" i="22"/>
  <c r="BC179" i="22"/>
  <c r="BC180" i="22"/>
  <c r="BC176" i="22"/>
  <c r="AJ175" i="22"/>
  <c r="AZ175" i="22"/>
  <c r="BA175" i="22"/>
  <c r="BB175" i="22"/>
  <c r="AY175" i="22"/>
  <c r="BC174" i="22"/>
  <c r="BC166" i="22"/>
  <c r="BC167" i="22"/>
  <c r="BC168" i="22"/>
  <c r="BC169" i="22"/>
  <c r="BC170" i="22"/>
  <c r="BC171" i="22"/>
  <c r="BC172" i="22"/>
  <c r="BC173" i="22"/>
  <c r="BC165" i="22"/>
  <c r="BC107" i="22"/>
  <c r="BC112" i="22"/>
  <c r="BC113" i="22"/>
  <c r="BC114" i="22"/>
  <c r="BC115" i="22"/>
  <c r="BC116" i="22"/>
  <c r="BC117" i="22"/>
  <c r="BC118" i="22"/>
  <c r="BC119" i="22"/>
  <c r="BC120" i="22"/>
  <c r="BC121" i="22"/>
  <c r="BC122" i="22"/>
  <c r="BC123" i="22"/>
  <c r="BC124" i="22"/>
  <c r="BC125" i="22"/>
  <c r="BC126" i="22"/>
  <c r="BC127" i="22"/>
  <c r="BC128" i="22"/>
  <c r="BC129" i="22"/>
  <c r="BC130" i="22"/>
  <c r="BC131" i="22"/>
  <c r="BC132" i="22"/>
  <c r="BC133" i="22"/>
  <c r="BC135" i="22"/>
  <c r="BC136" i="22"/>
  <c r="BC137" i="22"/>
  <c r="BC138" i="22"/>
  <c r="BC139" i="22"/>
  <c r="BC140" i="22"/>
  <c r="BC141" i="22"/>
  <c r="BC142" i="22"/>
  <c r="BC143" i="22"/>
  <c r="BC144" i="22"/>
  <c r="BC145" i="22"/>
  <c r="BC146" i="22"/>
  <c r="BC147" i="22"/>
  <c r="BC148" i="22"/>
  <c r="BC149" i="22"/>
  <c r="BC151" i="22"/>
  <c r="BC152" i="22"/>
  <c r="BC153" i="22"/>
  <c r="BC154" i="22"/>
  <c r="BC155" i="22"/>
  <c r="BC157" i="22"/>
  <c r="BC158" i="22"/>
  <c r="BC159" i="22"/>
  <c r="BC160" i="22"/>
  <c r="BC161" i="22"/>
  <c r="BC162" i="22"/>
  <c r="BC163" i="22"/>
  <c r="BC104" i="22"/>
  <c r="BC186" i="22" l="1"/>
  <c r="BA220" i="22"/>
  <c r="BC197" i="22"/>
  <c r="AZ220" i="22"/>
  <c r="BB220" i="22"/>
  <c r="AY220" i="22"/>
  <c r="BC209" i="22"/>
  <c r="BC175" i="22"/>
  <c r="BC181" i="22"/>
  <c r="BC178" i="22"/>
  <c r="BC220" i="22" l="1"/>
  <c r="AZ103" i="22"/>
  <c r="BA103" i="22"/>
  <c r="BB103" i="22"/>
  <c r="BC90" i="22"/>
  <c r="BC91" i="22"/>
  <c r="BC92" i="22"/>
  <c r="AY89" i="22"/>
  <c r="BC89" i="22" s="1"/>
  <c r="AY93" i="22"/>
  <c r="BC93" i="22" s="1"/>
  <c r="AY94" i="22"/>
  <c r="BC94" i="22" s="1"/>
  <c r="AY95" i="22"/>
  <c r="BC95" i="22" s="1"/>
  <c r="AY96" i="22"/>
  <c r="BC96" i="22" s="1"/>
  <c r="AY97" i="22"/>
  <c r="BC97" i="22" s="1"/>
  <c r="AY98" i="22"/>
  <c r="BC98" i="22" s="1"/>
  <c r="AY99" i="22"/>
  <c r="BC99" i="22" s="1"/>
  <c r="AY100" i="22"/>
  <c r="BC100" i="22" s="1"/>
  <c r="AY101" i="22"/>
  <c r="BC101" i="22" s="1"/>
  <c r="AY102" i="22"/>
  <c r="BC102" i="22" s="1"/>
  <c r="AJ88" i="22"/>
  <c r="AZ88" i="22"/>
  <c r="BA88" i="22"/>
  <c r="BB88" i="22"/>
  <c r="AY88" i="22"/>
  <c r="BC87" i="22"/>
  <c r="BC86" i="22"/>
  <c r="AT87" i="22"/>
  <c r="AU87" i="22"/>
  <c r="AV87" i="22"/>
  <c r="AW87" i="22"/>
  <c r="F86" i="22"/>
  <c r="E86" i="22"/>
  <c r="D86" i="22"/>
  <c r="Q104" i="22" l="1"/>
  <c r="S107" i="22"/>
  <c r="R107" i="22"/>
  <c r="P107" i="22"/>
  <c r="Q107" i="22"/>
  <c r="S115" i="22"/>
  <c r="R115" i="22"/>
  <c r="P115" i="22"/>
  <c r="Q115" i="22"/>
  <c r="S161" i="22"/>
  <c r="R161" i="22"/>
  <c r="S116" i="22"/>
  <c r="R116" i="22"/>
  <c r="P116" i="22"/>
  <c r="Q116" i="22"/>
  <c r="P124" i="22"/>
  <c r="S124" i="22"/>
  <c r="R124" i="22"/>
  <c r="Q124" i="22"/>
  <c r="S113" i="22"/>
  <c r="R113" i="22"/>
  <c r="P113" i="22"/>
  <c r="Q113" i="22"/>
  <c r="S117" i="22"/>
  <c r="R117" i="22"/>
  <c r="P117" i="22"/>
  <c r="Q117" i="22"/>
  <c r="P163" i="22"/>
  <c r="S163" i="22"/>
  <c r="R163" i="22"/>
  <c r="Q163" i="22"/>
  <c r="S100" i="22"/>
  <c r="R100" i="22"/>
  <c r="P100" i="22"/>
  <c r="Q100" i="22"/>
  <c r="S104" i="22"/>
  <c r="R104" i="22"/>
  <c r="Q112" i="22"/>
  <c r="S112" i="22"/>
  <c r="P112" i="22"/>
  <c r="R112" i="22"/>
  <c r="S106" i="22"/>
  <c r="R106" i="22"/>
  <c r="Q106" i="22"/>
  <c r="P106" i="22"/>
  <c r="S114" i="22"/>
  <c r="R114" i="22"/>
  <c r="Q114" i="22"/>
  <c r="P114" i="22"/>
  <c r="S118" i="22"/>
  <c r="R118" i="22"/>
  <c r="Q118" i="22"/>
  <c r="P118" i="22"/>
  <c r="P138" i="22"/>
  <c r="S138" i="22"/>
  <c r="R138" i="22"/>
  <c r="Q138" i="22"/>
  <c r="AE86" i="22"/>
  <c r="AD88" i="22"/>
  <c r="BC88" i="22"/>
  <c r="AJ103" i="22"/>
  <c r="AJ164" i="22"/>
  <c r="AZ182" i="22"/>
  <c r="AZ422" i="22" s="1"/>
  <c r="BB182" i="22"/>
  <c r="BB422" i="22" s="1"/>
  <c r="BA182" i="22"/>
  <c r="BA422" i="22" s="1"/>
  <c r="BC103" i="22"/>
  <c r="AG86" i="22"/>
  <c r="AY103" i="22"/>
  <c r="AY182" i="22" s="1"/>
  <c r="AY422" i="22" s="1"/>
  <c r="AF86" i="22"/>
  <c r="AH86" i="22"/>
  <c r="P104" i="22" l="1"/>
  <c r="AD182" i="22"/>
  <c r="P133" i="22"/>
  <c r="S133" i="22"/>
  <c r="R133" i="22"/>
  <c r="Q133" i="22"/>
  <c r="S89" i="22"/>
  <c r="R89" i="22"/>
  <c r="Q89" i="22"/>
  <c r="P89" i="22"/>
  <c r="S101" i="22"/>
  <c r="R101" i="22"/>
  <c r="P101" i="22"/>
  <c r="Q101" i="22"/>
  <c r="BC182" i="22"/>
  <c r="BC422" i="22" s="1"/>
  <c r="S43" i="22"/>
  <c r="R43" i="22"/>
  <c r="Q43" i="22"/>
  <c r="P43" i="22"/>
  <c r="S34" i="22"/>
  <c r="R34" i="22"/>
  <c r="Q34" i="22"/>
  <c r="P34" i="22"/>
  <c r="AJ75" i="22"/>
  <c r="M66" i="22"/>
  <c r="L66" i="22"/>
  <c r="K66" i="22"/>
  <c r="J66" i="22"/>
  <c r="BB76" i="22"/>
  <c r="BB77" i="22"/>
  <c r="BB78" i="22"/>
  <c r="BB79" i="22"/>
  <c r="BB80" i="22"/>
  <c r="BB81" i="22"/>
  <c r="BB82" i="22"/>
  <c r="BA76" i="22"/>
  <c r="BA77" i="22"/>
  <c r="BA78" i="22"/>
  <c r="BA79" i="22"/>
  <c r="BA80" i="22"/>
  <c r="BA81" i="22"/>
  <c r="BA82" i="22"/>
  <c r="AZ76" i="22"/>
  <c r="AZ77" i="22"/>
  <c r="AZ78" i="22"/>
  <c r="AZ79" i="22"/>
  <c r="AZ80" i="22"/>
  <c r="AZ81" i="22"/>
  <c r="AZ82" i="22"/>
  <c r="AY76" i="22"/>
  <c r="AY77" i="22"/>
  <c r="AY78" i="22"/>
  <c r="AY79" i="22"/>
  <c r="AY80" i="22"/>
  <c r="AY81" i="22"/>
  <c r="AY82" i="22"/>
  <c r="AR76" i="22"/>
  <c r="AR77" i="22"/>
  <c r="AR78" i="22"/>
  <c r="AR79" i="22"/>
  <c r="AR80" i="22"/>
  <c r="AR81" i="22"/>
  <c r="AR82" i="22"/>
  <c r="BB66" i="22"/>
  <c r="BB67" i="22"/>
  <c r="BB68" i="22"/>
  <c r="BB69" i="22"/>
  <c r="BB70" i="22"/>
  <c r="BB71" i="22"/>
  <c r="BB72" i="22"/>
  <c r="BB73" i="22"/>
  <c r="BB74" i="22"/>
  <c r="BA66" i="22"/>
  <c r="BA67" i="22"/>
  <c r="BA68" i="22"/>
  <c r="BA69" i="22"/>
  <c r="BA70" i="22"/>
  <c r="BA71" i="22"/>
  <c r="BA72" i="22"/>
  <c r="BA73" i="22"/>
  <c r="BA74" i="22"/>
  <c r="AZ67" i="22"/>
  <c r="AZ71" i="22"/>
  <c r="AZ66" i="22"/>
  <c r="AZ68" i="22"/>
  <c r="AZ69" i="22"/>
  <c r="AZ70" i="22"/>
  <c r="AZ72" i="22"/>
  <c r="AZ73" i="22"/>
  <c r="AZ74" i="22"/>
  <c r="AY66" i="22"/>
  <c r="AY67" i="22"/>
  <c r="AY68" i="22"/>
  <c r="AY69" i="22"/>
  <c r="AY70" i="22"/>
  <c r="AY71" i="22"/>
  <c r="AY72" i="22"/>
  <c r="AY73" i="22"/>
  <c r="AY74" i="22"/>
  <c r="S82" i="22" l="1"/>
  <c r="R82" i="22"/>
  <c r="P82" i="22"/>
  <c r="Q82" i="22"/>
  <c r="BC67" i="22"/>
  <c r="AJ83" i="22"/>
  <c r="AZ83" i="22"/>
  <c r="AY83" i="22"/>
  <c r="BA83" i="22"/>
  <c r="BC81" i="22"/>
  <c r="BA75" i="22"/>
  <c r="BC82" i="22"/>
  <c r="BC78" i="22"/>
  <c r="AZ75" i="22"/>
  <c r="BB75" i="22"/>
  <c r="BC80" i="22"/>
  <c r="BC79" i="22"/>
  <c r="BC77" i="22"/>
  <c r="BB83" i="22"/>
  <c r="BB84" i="22" s="1"/>
  <c r="BC76" i="22"/>
  <c r="BC74" i="22"/>
  <c r="BC70" i="22"/>
  <c r="AY75" i="22"/>
  <c r="BC72" i="22"/>
  <c r="BC68" i="22"/>
  <c r="BC73" i="22"/>
  <c r="BC69" i="22"/>
  <c r="BC71" i="22"/>
  <c r="BC66" i="22"/>
  <c r="S76" i="22" l="1"/>
  <c r="R76" i="22"/>
  <c r="Q76" i="22"/>
  <c r="P76" i="22"/>
  <c r="S80" i="22"/>
  <c r="R80" i="22"/>
  <c r="P80" i="22"/>
  <c r="Q80" i="22"/>
  <c r="BA84" i="22"/>
  <c r="AY84" i="22"/>
  <c r="AZ84" i="22"/>
  <c r="BC83" i="22"/>
  <c r="BC75" i="22"/>
  <c r="BC84" i="22" l="1"/>
  <c r="AZ64" i="22"/>
  <c r="BA64" i="22"/>
  <c r="BB64" i="22"/>
  <c r="AY64" i="22"/>
  <c r="P56" i="22"/>
  <c r="Q56" i="22" s="1"/>
  <c r="R56" i="22" s="1"/>
  <c r="S56" i="22" s="1"/>
  <c r="BC57" i="22"/>
  <c r="BC58" i="22"/>
  <c r="BC59" i="22"/>
  <c r="BC60" i="22"/>
  <c r="BC61" i="22"/>
  <c r="BC62" i="22"/>
  <c r="BC63" i="22"/>
  <c r="BC56" i="22"/>
  <c r="BC53" i="22"/>
  <c r="BC54" i="22"/>
  <c r="BC52" i="22"/>
  <c r="AZ50" i="22"/>
  <c r="BA50" i="22"/>
  <c r="BB50" i="22"/>
  <c r="AY50" i="22"/>
  <c r="BC44" i="22"/>
  <c r="BC45" i="22"/>
  <c r="BC46" i="22"/>
  <c r="BC47" i="22"/>
  <c r="BC48" i="22"/>
  <c r="BC49" i="22"/>
  <c r="BC43" i="22"/>
  <c r="S24" i="22"/>
  <c r="R24" i="22"/>
  <c r="Q24" i="22"/>
  <c r="P24" i="22"/>
  <c r="M34" i="22"/>
  <c r="L34" i="22"/>
  <c r="K34" i="22"/>
  <c r="J34" i="22"/>
  <c r="F34" i="22"/>
  <c r="E34" i="22"/>
  <c r="D34" i="22"/>
  <c r="AZ42" i="22"/>
  <c r="BA42" i="22"/>
  <c r="BB42" i="22"/>
  <c r="AY42" i="22"/>
  <c r="BC35" i="22"/>
  <c r="BC36" i="22"/>
  <c r="BC37" i="22"/>
  <c r="BC38" i="22"/>
  <c r="BC39" i="22"/>
  <c r="BC40" i="22"/>
  <c r="BC41" i="22"/>
  <c r="BC34" i="22"/>
  <c r="S57" i="22" l="1"/>
  <c r="R57" i="22"/>
  <c r="P57" i="22"/>
  <c r="Q57" i="22"/>
  <c r="BC64" i="22"/>
  <c r="AJ64" i="22"/>
  <c r="BA51" i="22"/>
  <c r="BA55" i="22" s="1"/>
  <c r="BA65" i="22" s="1"/>
  <c r="BA85" i="22" s="1"/>
  <c r="AY51" i="22"/>
  <c r="AY55" i="22" s="1"/>
  <c r="AY65" i="22" s="1"/>
  <c r="AY85" i="22" s="1"/>
  <c r="AJ55" i="22"/>
  <c r="AJ42" i="22"/>
  <c r="BB51" i="22"/>
  <c r="BB55" i="22" s="1"/>
  <c r="BB65" i="22" s="1"/>
  <c r="BB85" i="22" s="1"/>
  <c r="BC42" i="22"/>
  <c r="BC50" i="22"/>
  <c r="AZ51" i="22"/>
  <c r="AZ55" i="22" s="1"/>
  <c r="AZ65" i="22" s="1"/>
  <c r="AZ85" i="22" s="1"/>
  <c r="AJ50" i="22"/>
  <c r="S58" i="22" l="1"/>
  <c r="R58" i="22"/>
  <c r="P58" i="22"/>
  <c r="Q58" i="22"/>
  <c r="BC51" i="22"/>
  <c r="BC55" i="22" s="1"/>
  <c r="BC65" i="22" s="1"/>
  <c r="BC85" i="22" s="1"/>
  <c r="S7" i="22"/>
  <c r="R7" i="22"/>
  <c r="Q7" i="22"/>
  <c r="P7" i="22"/>
  <c r="M7" i="22"/>
  <c r="L7" i="22"/>
  <c r="K7" i="22"/>
  <c r="J7" i="22"/>
  <c r="F7" i="22"/>
  <c r="S510" i="22" s="1"/>
  <c r="E7" i="22"/>
  <c r="D7" i="22"/>
  <c r="Q510" i="22" s="1"/>
  <c r="AZ31" i="22"/>
  <c r="BA31" i="22"/>
  <c r="BB31" i="22"/>
  <c r="AY31" i="22"/>
  <c r="AZ23" i="22"/>
  <c r="BA23" i="22"/>
  <c r="BB23" i="22"/>
  <c r="AY23" i="22"/>
  <c r="BC25" i="22"/>
  <c r="BC26" i="22"/>
  <c r="BC27" i="22"/>
  <c r="BC28" i="22"/>
  <c r="BC29" i="22"/>
  <c r="BC30" i="22"/>
  <c r="BC24" i="22"/>
  <c r="BC8" i="22"/>
  <c r="BC9" i="22"/>
  <c r="BC10" i="22"/>
  <c r="BC11" i="22"/>
  <c r="BC12" i="22"/>
  <c r="BC13" i="22"/>
  <c r="BC14" i="22"/>
  <c r="BC15" i="22"/>
  <c r="BC16" i="22"/>
  <c r="BC17" i="22"/>
  <c r="BC18" i="22"/>
  <c r="BC19" i="22"/>
  <c r="BC20" i="22"/>
  <c r="BC21" i="22"/>
  <c r="BC22" i="22"/>
  <c r="BC7" i="22"/>
  <c r="P148" i="22" l="1"/>
  <c r="P510" i="22"/>
  <c r="R510" i="22"/>
  <c r="R148" i="22"/>
  <c r="BC31" i="22"/>
  <c r="BC23" i="22"/>
  <c r="BB32" i="22"/>
  <c r="BB33" i="22" s="1"/>
  <c r="BB586" i="22" s="1"/>
  <c r="BA32" i="22"/>
  <c r="BA33" i="22" s="1"/>
  <c r="BA586" i="22" s="1"/>
  <c r="AJ31" i="22"/>
  <c r="AZ32" i="22"/>
  <c r="AZ33" i="22" s="1"/>
  <c r="AZ586" i="22" s="1"/>
  <c r="AY32" i="22"/>
  <c r="AY33" i="22" s="1"/>
  <c r="AY586" i="22" s="1"/>
  <c r="BC32" i="22" l="1"/>
  <c r="BC33" i="22" s="1"/>
  <c r="BC586" i="22" s="1"/>
  <c r="AJ219" i="22"/>
</calcChain>
</file>

<file path=xl/comments1.xml><?xml version="1.0" encoding="utf-8"?>
<comments xmlns="http://schemas.openxmlformats.org/spreadsheetml/2006/main">
  <authors>
    <author>rc</author>
    <author>Martha</author>
    <author>SISTEMAS</author>
    <author>MONSALVE</author>
    <author>Usuario</author>
    <author>GOBIER00</author>
  </authors>
  <commentList>
    <comment ref="AI8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NO se ha programado año a año a pesar de contar con recursos según la matriz plurianual.</t>
        </r>
      </text>
    </comment>
    <comment ref="AI10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Se debe preguntar si esta acumulada o porque esas cifras en el momento de la programacion en cada año del cuatrienio.</t>
        </r>
      </text>
    </comment>
    <comment ref="AI11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NO se ha programado año a año a pesar de contar con recursos según la matriz plurianual.</t>
        </r>
      </text>
    </comment>
    <comment ref="AI12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está programado 1 para el 2012 y 1 para el 2013. Definir esta situación.</t>
        </r>
      </text>
    </comment>
    <comment ref="AI17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está programado 1 para el 2012 y 1 para el 2014. Definir esta situación.</t>
        </r>
      </text>
    </comment>
    <comment ref="AI18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NO se ha programado año a año a pesar de contar con recursos según la matriz plurianual.</t>
        </r>
      </text>
    </comment>
    <comment ref="AI22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se tiene programado año a año de la siguiente manera:
2012: 0
2013: 6
2014: 6
2015: 12
Y la línea base es 0. Se debe preguntar porque esas cifras</t>
        </r>
      </text>
    </comment>
    <comment ref="N34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No especifica el % o el valor del incremento. Revisar</t>
        </r>
      </text>
    </comment>
    <comment ref="AI34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Se ha programado 1 para el 2012; 1 para el 2013; 1 en 2014 y 1 para el 2015. Revisar</t>
        </r>
      </text>
    </comment>
    <comment ref="AI35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Se ha programado 1 para el 2012; 1 para el 2013. Revisar.</t>
        </r>
      </text>
    </comment>
    <comment ref="AI36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. Se ha programado 1 para el 2012; 1 para el 2013 y 1 en 2014. Revisar</t>
        </r>
      </text>
    </comment>
    <comment ref="AI37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Se ha programado 1 para el 2012; 1 para el 2013; 1 en 2014 y 1 para el 2015. Revisar</t>
        </r>
      </text>
    </comment>
    <comment ref="AI43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Se ha programado  1 para el 2013; 2 en 2014 y 3 para el 2015. Revisar</t>
        </r>
      </text>
    </comment>
    <comment ref="AI44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Se ha programado  1 para el 2012; 2 en 2013; 3 en 2013 y 4 para el 2015. Revisar</t>
        </r>
      </text>
    </comment>
    <comment ref="AI45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Se ha programado  1 para el 2013; 1 en 2014; 2 para el 2015. Revisar</t>
        </r>
      </text>
    </comment>
    <comment ref="AI48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Se ha programado  20% para el 2012; 30% en 2013; 40% en 2014 y 50% para el 2015. Revisar</t>
        </r>
      </text>
    </comment>
    <comment ref="AI49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Se ha programado  1 para el 2012; 1 en 2013; 1 en 2014 y 1 para el 2015. Revisar</t>
        </r>
      </text>
    </comment>
    <comment ref="AI54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Se ha programado  1 en 2013; 1 en 2014 y 1 para el 2015. Revisar.</t>
        </r>
      </text>
    </comment>
    <comment ref="AI56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Se ha programado 2012 Políticas Publicas: 3, Planes Estratégicos: 4; en 2013 Políticas Publicas: 14, Planes Estratégicos: 8. Revisar.</t>
        </r>
      </text>
    </comment>
    <comment ref="AI67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.  Se ha programado  1 en 2012; 3 en 2013; 3 en 2014 y 3 para el 2015. Revisar.</t>
        </r>
      </text>
    </comment>
    <comment ref="AI68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. Se ha programado 2 en 2013; 3 en 2014 y 3 para el 2015. Revisar</t>
        </r>
      </text>
    </comment>
    <comment ref="AI72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Se ha programado  2 en 2012; 3 en 2013; 3 en 2014 y 3 para el 2015. Revisar.</t>
        </r>
      </text>
    </comment>
    <comment ref="AI73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Se ha programado 1 en 2013; 1 en 2014 y 1 para el 2015. Revisar</t>
        </r>
      </text>
    </comment>
    <comment ref="AI74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Se ha programado  2 en 2012; 3 en 2013; 3 en 2014 y 3 para el 2015. Revisar.</t>
        </r>
      </text>
    </comment>
    <comment ref="AI77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Se ha programado  1 en 2013; 1 en 2014 y 1 para el 2015. Revisar.</t>
        </r>
      </text>
    </comment>
    <comment ref="W78" authorId="1">
      <text>
        <r>
          <rPr>
            <b/>
            <sz val="9"/>
            <color indexed="81"/>
            <rFont val="Tahoma"/>
            <family val="2"/>
          </rPr>
          <t>Martha:</t>
        </r>
        <r>
          <rPr>
            <sz val="9"/>
            <color indexed="81"/>
            <rFont val="Tahoma"/>
            <family val="2"/>
          </rPr>
          <t xml:space="preserve">
7 infraestructura
</t>
        </r>
      </text>
    </comment>
    <comment ref="AI78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Se ha programado  1 en 2013; 2 en 2014 y 3 para el 2015. Revisar.</t>
        </r>
      </text>
    </comment>
    <comment ref="AI80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Se ha programado  5 en 2013; 20 en 2014 y 35 para el 2015. Revisar.</t>
        </r>
      </text>
    </comment>
    <comment ref="AI81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Se ha programado  50% en 2012; 100% en 2013; 100% en 2014 y 100% para el 2015. Revisar.</t>
        </r>
      </text>
    </comment>
    <comment ref="AI82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Se ha programado  0 en 2012; 0,5 en 2013; 1 en 2014 y 100% para el 2015. Revisar.</t>
        </r>
      </text>
    </comment>
    <comment ref="W86" authorId="2">
      <text>
        <r>
          <rPr>
            <sz val="9"/>
            <color indexed="81"/>
            <rFont val="Tahoma"/>
            <family val="2"/>
          </rPr>
          <t xml:space="preserve">MATRICULA OFICIAL 2011: 11.961
PROYECCIÓN POBLACION DANE DE 5 A 17 AÑOS: 15782
</t>
        </r>
      </text>
    </comment>
    <comment ref="AO98" authorId="1">
      <text>
        <r>
          <rPr>
            <b/>
            <sz val="9"/>
            <color indexed="81"/>
            <rFont val="Tahoma"/>
            <family val="2"/>
          </rPr>
          <t>Martha:</t>
        </r>
        <r>
          <rPr>
            <sz val="9"/>
            <color indexed="81"/>
            <rFont val="Tahoma"/>
            <family val="2"/>
          </rPr>
          <t xml:space="preserve">
3 escuelas apoyadas o fortalecidas de 6 existentes
</t>
        </r>
      </text>
    </comment>
    <comment ref="AO100" authorId="1">
      <text>
        <r>
          <rPr>
            <b/>
            <sz val="9"/>
            <color indexed="81"/>
            <rFont val="Tahoma"/>
            <family val="2"/>
          </rPr>
          <t>Martha:</t>
        </r>
        <r>
          <rPr>
            <sz val="9"/>
            <color indexed="81"/>
            <rFont val="Tahoma"/>
            <family val="2"/>
          </rPr>
          <t xml:space="preserve">
5 sedes educativas apoyadas de 9 sedes educativas existentes</t>
        </r>
      </text>
    </comment>
    <comment ref="AR100" authorId="1">
      <text>
        <r>
          <rPr>
            <b/>
            <sz val="9"/>
            <color indexed="81"/>
            <rFont val="Tahoma"/>
            <family val="2"/>
          </rPr>
          <t>Martha:</t>
        </r>
        <r>
          <rPr>
            <sz val="9"/>
            <color indexed="81"/>
            <rFont val="Tahoma"/>
            <family val="2"/>
          </rPr>
          <t xml:space="preserve">
56%=5/9</t>
        </r>
      </text>
    </comment>
    <comment ref="AR102" authorId="1">
      <text>
        <r>
          <rPr>
            <b/>
            <sz val="9"/>
            <color indexed="81"/>
            <rFont val="Tahoma"/>
            <family val="2"/>
          </rPr>
          <t>Martha:</t>
        </r>
        <r>
          <rPr>
            <sz val="9"/>
            <color indexed="81"/>
            <rFont val="Tahoma"/>
            <family val="2"/>
          </rPr>
          <t xml:space="preserve">
480/1450</t>
        </r>
      </text>
    </comment>
    <comment ref="AO105" authorId="1">
      <text>
        <r>
          <rPr>
            <b/>
            <sz val="9"/>
            <color indexed="81"/>
            <rFont val="Tahoma"/>
            <family val="2"/>
          </rPr>
          <t>Martha:</t>
        </r>
        <r>
          <rPr>
            <sz val="9"/>
            <color indexed="81"/>
            <rFont val="Tahoma"/>
            <family val="2"/>
          </rPr>
          <t xml:space="preserve">
15/60</t>
        </r>
      </text>
    </comment>
    <comment ref="AR105" authorId="1">
      <text>
        <r>
          <rPr>
            <b/>
            <sz val="9"/>
            <color indexed="81"/>
            <rFont val="Tahoma"/>
            <family val="2"/>
          </rPr>
          <t>Martha:</t>
        </r>
        <r>
          <rPr>
            <sz val="9"/>
            <color indexed="81"/>
            <rFont val="Tahoma"/>
            <family val="2"/>
          </rPr>
          <t xml:space="preserve">
15/60=25%</t>
        </r>
      </text>
    </comment>
    <comment ref="N124" authorId="0">
      <text>
        <r>
          <rPr>
            <b/>
            <sz val="9"/>
            <color indexed="81"/>
            <rFont val="Tahoma"/>
            <charset val="1"/>
          </rPr>
          <t>rc:</t>
        </r>
        <r>
          <rPr>
            <sz val="9"/>
            <color indexed="81"/>
            <rFont val="Tahoma"/>
            <charset val="1"/>
          </rPr>
          <t xml:space="preserve">
se ajusta a desnutricion cronica pues es sobre esta que se tiene informacion de linea base
</t>
        </r>
      </text>
    </comment>
    <comment ref="T124" authorId="0">
      <text>
        <r>
          <rPr>
            <b/>
            <sz val="9"/>
            <color indexed="81"/>
            <rFont val="Tahoma"/>
            <charset val="1"/>
          </rPr>
          <t>rc:</t>
        </r>
        <r>
          <rPr>
            <sz val="9"/>
            <color indexed="81"/>
            <rFont val="Tahoma"/>
            <charset val="1"/>
          </rPr>
          <t xml:space="preserve">
se ajusta el indicador pues estaba en tasa </t>
        </r>
      </text>
    </comment>
    <comment ref="T127" authorId="1">
      <text>
        <r>
          <rPr>
            <b/>
            <sz val="9"/>
            <color indexed="81"/>
            <rFont val="Tahoma"/>
            <family val="2"/>
          </rPr>
          <t>Martha:</t>
        </r>
        <r>
          <rPr>
            <sz val="9"/>
            <color indexed="81"/>
            <rFont val="Tahoma"/>
            <family val="2"/>
          </rPr>
          <t xml:space="preserve">
Niños menores de 5 años vacunados/ población susceptible menor de 5 años</t>
        </r>
      </text>
    </comment>
    <comment ref="AR132" authorId="1">
      <text>
        <r>
          <rPr>
            <b/>
            <sz val="9"/>
            <color indexed="81"/>
            <rFont val="Tahoma"/>
            <family val="2"/>
          </rPr>
          <t>Martha:</t>
        </r>
        <r>
          <rPr>
            <sz val="9"/>
            <color indexed="81"/>
            <rFont val="Tahoma"/>
            <family val="2"/>
          </rPr>
          <t xml:space="preserve">
2600/18417</t>
        </r>
      </text>
    </comment>
    <comment ref="AR147" authorId="1">
      <text>
        <r>
          <rPr>
            <b/>
            <sz val="9"/>
            <color indexed="81"/>
            <rFont val="Tahoma"/>
            <family val="2"/>
          </rPr>
          <t>Martha:</t>
        </r>
        <r>
          <rPr>
            <sz val="9"/>
            <color indexed="81"/>
            <rFont val="Tahoma"/>
            <family val="2"/>
          </rPr>
          <t xml:space="preserve">
1850/26103</t>
        </r>
      </text>
    </comment>
    <comment ref="AI173" authorId="3">
      <text>
        <r>
          <rPr>
            <sz val="10"/>
            <rFont val="Arial"/>
            <family val="2"/>
          </rPr>
          <t xml:space="preserve">ANILLOS
</t>
        </r>
      </text>
    </comment>
    <comment ref="AR186" authorId="1">
      <text>
        <r>
          <rPr>
            <b/>
            <sz val="9"/>
            <color indexed="81"/>
            <rFont val="Tahoma"/>
            <family val="2"/>
          </rPr>
          <t>Martha:</t>
        </r>
        <r>
          <rPr>
            <sz val="9"/>
            <color indexed="81"/>
            <rFont val="Tahoma"/>
            <family val="2"/>
          </rPr>
          <t xml:space="preserve">
Linea de base corregida 33 viviendas VIS y VIP. Se insertaron los programas que estaban en construcción.</t>
        </r>
      </text>
    </comment>
    <comment ref="AR191" authorId="1">
      <text>
        <r>
          <rPr>
            <b/>
            <sz val="9"/>
            <color indexed="81"/>
            <rFont val="Tahoma"/>
            <family val="2"/>
          </rPr>
          <t>Martha:</t>
        </r>
        <r>
          <rPr>
            <sz val="9"/>
            <color indexed="81"/>
            <rFont val="Tahoma"/>
            <family val="2"/>
          </rPr>
          <t xml:space="preserve">
Se debe ajustar el indicador pq el valor no coincide con la realidad. Se entregaron 97 de 252 solicitudes</t>
        </r>
      </text>
    </comment>
    <comment ref="AT254" authorId="4">
      <text>
        <r>
          <rPr>
            <b/>
            <sz val="8"/>
            <color indexed="81"/>
            <rFont val="Tahoma"/>
            <family val="2"/>
          </rPr>
          <t>Usuario:</t>
        </r>
        <r>
          <rPr>
            <sz val="8"/>
            <color indexed="81"/>
            <rFont val="Tahoma"/>
            <family val="2"/>
          </rPr>
          <t xml:space="preserve">
SE REALIZA GESTION
POAI 500
</t>
        </r>
      </text>
    </comment>
    <comment ref="AS259" authorId="4">
      <text>
        <r>
          <rPr>
            <b/>
            <sz val="8"/>
            <color indexed="81"/>
            <rFont val="Tahoma"/>
            <family val="2"/>
          </rPr>
          <t>Usuario:</t>
        </r>
        <r>
          <rPr>
            <sz val="8"/>
            <color indexed="81"/>
            <rFont val="Tahoma"/>
            <family val="2"/>
          </rPr>
          <t xml:space="preserve">
AUMENTA 240
15 Fmilias x 4 personas = 60 personas x año
</t>
        </r>
      </text>
    </comment>
    <comment ref="AT263" authorId="4">
      <text>
        <r>
          <rPr>
            <b/>
            <sz val="8"/>
            <color indexed="81"/>
            <rFont val="Tahoma"/>
            <family val="2"/>
          </rPr>
          <t>Usuario:</t>
        </r>
        <r>
          <rPr>
            <sz val="8"/>
            <color indexed="81"/>
            <rFont val="Tahoma"/>
            <family val="2"/>
          </rPr>
          <t xml:space="preserve">
tengo 45 casos que hago
</t>
        </r>
      </text>
    </comment>
    <comment ref="AR270" authorId="4">
      <text>
        <r>
          <rPr>
            <b/>
            <sz val="8"/>
            <color indexed="81"/>
            <rFont val="Tahoma"/>
            <family val="2"/>
          </rPr>
          <t>Usuario:</t>
        </r>
        <r>
          <rPr>
            <sz val="8"/>
            <color indexed="81"/>
            <rFont val="Tahoma"/>
            <family val="2"/>
          </rPr>
          <t xml:space="preserve">
no se como haceer 
</t>
        </r>
      </text>
    </comment>
    <comment ref="AR271" authorId="4">
      <text>
        <r>
          <rPr>
            <b/>
            <sz val="8"/>
            <color indexed="81"/>
            <rFont val="Tahoma"/>
            <family val="2"/>
          </rPr>
          <t>Usuario:</t>
        </r>
        <r>
          <rPr>
            <sz val="8"/>
            <color indexed="81"/>
            <rFont val="Tahoma"/>
            <family val="2"/>
          </rPr>
          <t xml:space="preserve">
NOY PLAN SOLAMENTE SE HICIERON CAPACITACIONES 
</t>
        </r>
      </text>
    </comment>
    <comment ref="AS275" authorId="4">
      <text>
        <r>
          <rPr>
            <b/>
            <sz val="8"/>
            <color indexed="81"/>
            <rFont val="Tahoma"/>
            <family val="2"/>
          </rPr>
          <t>Usuario:</t>
        </r>
        <r>
          <rPr>
            <sz val="8"/>
            <color indexed="81"/>
            <rFont val="Tahoma"/>
            <family val="2"/>
          </rPr>
          <t xml:space="preserve">
NO SE COMO HACER 
</t>
        </r>
      </text>
    </comment>
    <comment ref="AR306" authorId="1">
      <text>
        <r>
          <rPr>
            <b/>
            <sz val="9"/>
            <color indexed="81"/>
            <rFont val="Tahoma"/>
            <family val="2"/>
          </rPr>
          <t>Martha:</t>
        </r>
        <r>
          <rPr>
            <sz val="9"/>
            <color indexed="81"/>
            <rFont val="Tahoma"/>
            <family val="2"/>
          </rPr>
          <t xml:space="preserve">
5 empresarios turisticos fortalecidos de un total de 30 empresarios</t>
        </r>
      </text>
    </comment>
    <comment ref="AR319" authorId="1">
      <text>
        <r>
          <rPr>
            <b/>
            <sz val="9"/>
            <color indexed="81"/>
            <rFont val="Tahoma"/>
            <family val="2"/>
          </rPr>
          <t>Martha:</t>
        </r>
        <r>
          <rPr>
            <sz val="9"/>
            <color indexed="81"/>
            <rFont val="Tahoma"/>
            <family val="2"/>
          </rPr>
          <t xml:space="preserve">
52/23</t>
        </r>
      </text>
    </comment>
    <comment ref="AR321" authorId="1">
      <text>
        <r>
          <rPr>
            <b/>
            <sz val="9"/>
            <color indexed="81"/>
            <rFont val="Tahoma"/>
            <family val="2"/>
          </rPr>
          <t>Martha:</t>
        </r>
        <r>
          <rPr>
            <sz val="9"/>
            <color indexed="81"/>
            <rFont val="Tahoma"/>
            <family val="2"/>
          </rPr>
          <t xml:space="preserve">
30/52</t>
        </r>
      </text>
    </comment>
    <comment ref="AR323" authorId="1">
      <text>
        <r>
          <rPr>
            <b/>
            <sz val="9"/>
            <color indexed="81"/>
            <rFont val="Tahoma"/>
            <family val="2"/>
          </rPr>
          <t>Martha:</t>
        </r>
        <r>
          <rPr>
            <sz val="9"/>
            <color indexed="81"/>
            <rFont val="Tahoma"/>
            <family val="2"/>
          </rPr>
          <t xml:space="preserve">
40/52</t>
        </r>
      </text>
    </comment>
    <comment ref="AR324" authorId="1">
      <text>
        <r>
          <rPr>
            <b/>
            <sz val="9"/>
            <color indexed="81"/>
            <rFont val="Tahoma"/>
            <family val="2"/>
          </rPr>
          <t>Martha:</t>
        </r>
        <r>
          <rPr>
            <sz val="9"/>
            <color indexed="81"/>
            <rFont val="Tahoma"/>
            <family val="2"/>
          </rPr>
          <t xml:space="preserve">
19/52</t>
        </r>
      </text>
    </comment>
    <comment ref="AR325" authorId="1">
      <text>
        <r>
          <rPr>
            <b/>
            <sz val="9"/>
            <color indexed="81"/>
            <rFont val="Tahoma"/>
            <family val="2"/>
          </rPr>
          <t>Martha:</t>
        </r>
        <r>
          <rPr>
            <sz val="9"/>
            <color indexed="81"/>
            <rFont val="Tahoma"/>
            <family val="2"/>
          </rPr>
          <t xml:space="preserve">
19 equipos 
</t>
        </r>
      </text>
    </comment>
    <comment ref="AR333" authorId="1">
      <text>
        <r>
          <rPr>
            <b/>
            <sz val="9"/>
            <color indexed="81"/>
            <rFont val="Tahoma"/>
            <family val="2"/>
          </rPr>
          <t>Martha:</t>
        </r>
        <r>
          <rPr>
            <sz val="9"/>
            <color indexed="81"/>
            <rFont val="Tahoma"/>
            <family val="2"/>
          </rPr>
          <t xml:space="preserve">
Total de contribuyentes de impuesto predial 19.134 / 12237 contribuyentes morosos
</t>
        </r>
      </text>
    </comment>
    <comment ref="AR337" authorId="1">
      <text>
        <r>
          <rPr>
            <b/>
            <sz val="9"/>
            <color indexed="81"/>
            <rFont val="Tahoma"/>
            <family val="2"/>
          </rPr>
          <t>Martha:</t>
        </r>
        <r>
          <rPr>
            <sz val="9"/>
            <color indexed="81"/>
            <rFont val="Tahoma"/>
            <family val="2"/>
          </rPr>
          <t xml:space="preserve">
975 comerciantes registrados y 480 comerciantes sin registro</t>
        </r>
      </text>
    </comment>
    <comment ref="AI344" authorId="1">
      <text>
        <r>
          <rPr>
            <b/>
            <sz val="9"/>
            <color indexed="81"/>
            <rFont val="Tahoma"/>
            <family val="2"/>
          </rPr>
          <t>Martha:</t>
        </r>
        <r>
          <rPr>
            <sz val="9"/>
            <color indexed="81"/>
            <rFont val="Tahoma"/>
            <family val="2"/>
          </rPr>
          <t xml:space="preserve">
12 computadores en el edificio Alonso Pérez de Guzmán</t>
        </r>
      </text>
    </comment>
    <comment ref="AR344" authorId="1">
      <text>
        <r>
          <rPr>
            <b/>
            <sz val="9"/>
            <color indexed="81"/>
            <rFont val="Tahoma"/>
            <family val="2"/>
          </rPr>
          <t>Martha:</t>
        </r>
        <r>
          <rPr>
            <sz val="9"/>
            <color indexed="81"/>
            <rFont val="Tahoma"/>
            <family val="2"/>
          </rPr>
          <t xml:space="preserve">
30 Computadores en red del edificio principal
</t>
        </r>
      </text>
    </comment>
    <comment ref="AR347" authorId="1">
      <text>
        <r>
          <rPr>
            <b/>
            <sz val="9"/>
            <color indexed="81"/>
            <rFont val="Tahoma"/>
            <family val="2"/>
          </rPr>
          <t>Martha:</t>
        </r>
        <r>
          <rPr>
            <sz val="9"/>
            <color indexed="81"/>
            <rFont val="Tahoma"/>
            <family val="2"/>
          </rPr>
          <t xml:space="preserve">
computadores en establecimientos educativos</t>
        </r>
      </text>
    </comment>
    <comment ref="AO364" authorId="1">
      <text>
        <r>
          <rPr>
            <b/>
            <sz val="9"/>
            <color indexed="81"/>
            <rFont val="Tahoma"/>
            <family val="2"/>
          </rPr>
          <t>Martha:</t>
        </r>
        <r>
          <rPr>
            <sz val="9"/>
            <color indexed="81"/>
            <rFont val="Tahoma"/>
            <family val="2"/>
          </rPr>
          <t xml:space="preserve">
13235 total de afiliados</t>
        </r>
      </text>
    </comment>
    <comment ref="AT364" authorId="4">
      <text>
        <r>
          <rPr>
            <b/>
            <sz val="8"/>
            <color indexed="81"/>
            <rFont val="Tahoma"/>
            <family val="2"/>
          </rPr>
          <t>Usuario:</t>
        </r>
        <r>
          <rPr>
            <sz val="8"/>
            <color indexed="81"/>
            <rFont val="Tahoma"/>
            <family val="2"/>
          </rPr>
          <t xml:space="preserve">
EN EL POAI COLOQUE 331</t>
        </r>
      </text>
    </comment>
    <comment ref="AR366" authorId="1">
      <text>
        <r>
          <rPr>
            <b/>
            <sz val="9"/>
            <color indexed="81"/>
            <rFont val="Tahoma"/>
            <family val="2"/>
          </rPr>
          <t>Martha:</t>
        </r>
        <r>
          <rPr>
            <sz val="9"/>
            <color indexed="81"/>
            <rFont val="Tahoma"/>
            <family val="2"/>
          </rPr>
          <t xml:space="preserve">
puntaje de cumplimiento PDM tame periodo anterior</t>
        </r>
      </text>
    </comment>
    <comment ref="AI394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META DE GESTION</t>
        </r>
      </text>
    </comment>
    <comment ref="N423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No especifican a cuanto equivale ese 20%....Revisar</t>
        </r>
      </text>
    </comment>
    <comment ref="AI427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Se ha programado 93 en el año 2012; 47 en el 2014 y 47 en el 2015 que sumando nos da 187 y son 186. Revisar</t>
        </r>
      </text>
    </comment>
    <comment ref="AI428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Se tiene el indicador en número y se ha programado en porcentaje. Revisar</t>
        </r>
      </text>
    </comment>
    <comment ref="AI431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Se ha programado 1 en cada uno de los años. Aclarar esta situación</t>
        </r>
      </text>
    </comment>
    <comment ref="AI432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Se ha programado 4 en cada uno de los años. Aclarar esta situación.</t>
        </r>
      </text>
    </comment>
    <comment ref="AI434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Se ha programado 1 en 2012; 2 en 2013; 2 en 2014 y 2 en 2015. Aclarar esta situación.</t>
        </r>
      </text>
    </comment>
    <comment ref="AI435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Se ha programado 4 en cada uno de los años. Aclarar esta situación</t>
        </r>
      </text>
    </comment>
    <comment ref="AI436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Se ha programado 50 en 2013; 50 en 2014 y 100 en 2015. Aclarar esta situación.</t>
        </r>
      </text>
    </comment>
    <comment ref="AI438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No es clara la programación si esta acumulada o no. Se ha programado 360 en 2012; 420 en 2013; 650 en 2014 y 1000 en 2015. Aclarar esta situación.</t>
        </r>
      </text>
    </comment>
    <comment ref="AI439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No es clara la programación si esta acumulada o no. Se ha programado 5 en 2012; 9 en 2013; 9 en 2014 y 20 en 2015. Aclarar esta situación.</t>
        </r>
      </text>
    </comment>
    <comment ref="AI447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Se ha programado 125 en 2012; 63 en 2013; 68 en 2014 y 125 en 2015. Aclarar esta situación.</t>
        </r>
      </text>
    </comment>
    <comment ref="AI448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Se ha programado 5000 en 2012 y 5000 en 2014. Aclarar esta situación.</t>
        </r>
      </text>
    </comment>
    <comment ref="AI451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No se ha programado en el cuatrienio a pesar de contar con recursos todos los años. Aclarar esta situación</t>
        </r>
      </text>
    </comment>
    <comment ref="AI452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No se ha programado en el cuatrienio a pesar de contar con recursos todos los años. Aclarar esta situación.</t>
        </r>
      </text>
    </comment>
    <comment ref="AI454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Se ha programado 10 en 2012; 10 en 2013; 6 en 2014 y 15 en 2015. Para un total de 41. Aclarar esta situación</t>
        </r>
      </text>
    </comment>
    <comment ref="AI455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No dice ¿Cuantos? No se ha programado en el cuatrienio. Aclarar esta situación</t>
        </r>
      </text>
    </comment>
    <comment ref="AI456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La suma de lo programado en el cuatrienio es de 5. Revisar esta situación</t>
        </r>
      </text>
    </comment>
    <comment ref="N461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Es una meta de producto</t>
        </r>
      </text>
    </comment>
    <comment ref="AI466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La programación del cuatrienio suma 201. Revisar.</t>
        </r>
      </text>
    </comment>
    <comment ref="N469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Si se habla de incrementar se debe tener una línea base y en este caso  la línea base es 0. Revisar.</t>
        </r>
      </text>
    </comment>
    <comment ref="AI471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El indicador está midiendo la cantidad de posadas turísticas y en la meta se está midiendo un programa. Revisar. Se han programado para el cuatrienio: 2 para el 2012; 3 para el 2013 y 5 para el 2015</t>
        </r>
      </text>
    </comment>
    <comment ref="AI472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Se han programado para el cuatrienio: 1 para el 2012; 2 para el 2013. Revisar cifras.</t>
        </r>
      </text>
    </comment>
    <comment ref="AI473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Se han programado para el cuatrienio: 1 para el 2012; 2 para el 2013 y 3 para el 2015. Revisar cifras.</t>
        </r>
      </text>
    </comment>
    <comment ref="AI474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Se han programado para el cuatrienio: 25 para el 2013 y 25 para el 2015. Revisar cifras.</t>
        </r>
      </text>
    </comment>
    <comment ref="N480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No se tiene línea base y tampoco se tiene valor esperado. Revisar esta situación. </t>
        </r>
      </text>
    </comment>
    <comment ref="AI485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Se han programado para el cuatrienio: 2 para el 2012; 3 para el 2013 y 5 para el 2015. Revisar.</t>
        </r>
      </text>
    </comment>
    <comment ref="AI486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Se han programado para el cuatrienio: 2 para el 2012; y 1000 para el 2015. Revisar.</t>
        </r>
      </text>
    </comment>
    <comment ref="AI501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. No se ha programado en ninguno de los años de la vigencia. Revisar.</t>
        </r>
      </text>
    </comment>
    <comment ref="AI504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Se ha programado 1 para cada año del periodo de gobierno. Revisar.</t>
        </r>
      </text>
    </comment>
    <comment ref="AI506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Se tiene programado 6 en 2012 y 7 en 2013. Revisar</t>
        </r>
      </text>
    </comment>
    <comment ref="AI507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Se ha programado 15000 para el 2012; 15000 para el 2013; 2000EN 2014 y 10000 para el 2015. Revisar.</t>
        </r>
      </text>
    </comment>
    <comment ref="AI509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NO es competencia del departamento. El indicador dice No. De hogares con acceso a internet. Y no se tiene línea base ni valor esperado para el cuatrienio.</t>
        </r>
      </text>
    </comment>
    <comment ref="N510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No se tiene definido en la meta cuanto # y/o % se va lograr. Y el indicador dice Proyectos en TIC Formulados y ejecutados. Aclarar</t>
        </r>
      </text>
    </comment>
    <comment ref="AI510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Se ha programado 200 para el 2012; 200 para el 2013; 100 en 2014 y 500 para el 2015. Revisar.</t>
        </r>
      </text>
    </comment>
    <comment ref="N511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No se tiene definido en la meta cuanto # y/o % se va lograr. Y el indicador dice No. de equipos de cómputo obsoletos dispuestos apropiadamente. Aclarar.</t>
        </r>
      </text>
    </comment>
    <comment ref="AI511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Se ha programado 1 para el 2012; 0,5 para el 2013; 0,5 en 2014 y 2 para el 2015. Revisar</t>
        </r>
      </text>
    </comment>
    <comment ref="AI512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Se ha programado 1 para el 2012; 0,5 para el 2013; 0,5 en 2014 y 2 para el 2015. Revisar</t>
        </r>
      </text>
    </comment>
    <comment ref="N521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Tiene como valor esperado 80%.en la programacion.  Revisar.</t>
        </r>
      </text>
    </comment>
    <comment ref="AI525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Se ha programado  66 en 2012 y 100 en 2013. Revisar</t>
        </r>
      </text>
    </comment>
    <comment ref="AI527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Se ha programado  1 en 2013; 1 en 2014 y 1 para el 2015. Revisar.</t>
        </r>
      </text>
    </comment>
    <comment ref="AI528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Se ha programado para el año 2015, 2.</t>
        </r>
      </text>
    </comment>
    <comment ref="AI534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Se ha programado 12% en 2012; 15% en 2013; 18% en 2014 y 21% para el 2015. Revisar.</t>
        </r>
      </text>
    </comment>
    <comment ref="N541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. No está definido a cuanto equivalen 40%. El indicador dice Porcentaje de   veedurías ciudadanas conformadas. Revisar</t>
        </r>
      </text>
    </comment>
    <comment ref="N550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Como medimos la percepción????</t>
        </r>
      </text>
    </comment>
    <comment ref="AI550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Se ha programado 1 en 2012; 1 en 2013; 1 en 2014 y 100% para el 2015. Revisar</t>
        </r>
      </text>
    </comment>
    <comment ref="AI551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No han programado para el cuatrienio. Revisar. ES UN TEMA JUDICIAL...</t>
        </r>
      </text>
    </comment>
    <comment ref="AI552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Se ha programado 1 en 2013; 1 en 2014 y 1 para el 2015. Revisar.</t>
        </r>
      </text>
    </comment>
    <comment ref="AI553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Se ha programado 1 en 2013; 1 en 2014 y 1 para el 2015. Revisar</t>
        </r>
      </text>
    </comment>
    <comment ref="AI556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Se ha programado 1 en 2012; 1 en 2013; 1 en 2014 y 1 para el 2015. Revisar.</t>
        </r>
      </text>
    </comment>
    <comment ref="AI557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Se ha programado 1 en 2012; 1 en 2013; 1 en 2014 y 1 para el 2015. Revisar.</t>
        </r>
      </text>
    </comment>
    <comment ref="AI559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Se ha programado 1 en 2012; 1 en 2013; 1 en 2014 y 1 para el 2015. Revisar</t>
        </r>
      </text>
    </comment>
    <comment ref="AI560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Se ha programado 1 en 2012; 1 en 2013; 1 en 2014 y 1 para el 2015. Revisar.</t>
        </r>
      </text>
    </comment>
    <comment ref="AI562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Se ha programado 1 en 2012; 1 en 2013; 1 en 2014 y 1 para el 2015. Revisar.</t>
        </r>
      </text>
    </comment>
    <comment ref="N563" authorId="0">
      <text>
        <r>
          <rPr>
            <b/>
            <sz val="9"/>
            <color indexed="81"/>
            <rFont val="Tahoma"/>
            <charset val="1"/>
          </rPr>
          <t>rc:</t>
        </r>
        <r>
          <rPr>
            <sz val="9"/>
            <color indexed="81"/>
            <rFont val="Tahoma"/>
            <charset val="1"/>
          </rPr>
          <t xml:space="preserve">
SE SUGIERE CAMBIARLA POR: MEJORAR EN UN 30% LA CAPACIDAD OFENSIVA DE LAS FUERZAS ARMADAS EXISTENTES EN EL DEPARTAMENTO</t>
        </r>
      </text>
    </comment>
    <comment ref="AO563" authorId="5">
      <text>
        <r>
          <rPr>
            <b/>
            <sz val="9"/>
            <color indexed="81"/>
            <rFont val="Tahoma"/>
            <family val="2"/>
          </rPr>
          <t>GOBIER00:</t>
        </r>
        <r>
          <rPr>
            <sz val="9"/>
            <color indexed="81"/>
            <rFont val="Tahoma"/>
            <family val="2"/>
          </rPr>
          <t xml:space="preserve">
Estas dos metas de producto incluirlas en un programa CONTROL DEL TERRITORIO Y DEFENSA DE LA SOBERANIA TENIENDO EN CUENTA LA RECOMENDACIÓN QUE UD DIO EN LA ADICION PRESPUPUESTAL AL FONDO</t>
        </r>
      </text>
    </comment>
    <comment ref="AI566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Se ha programado 1 en 2012; 1 en 2013; 1 en 2014 y 1 para el 2015. Revisar</t>
        </r>
      </text>
    </comment>
    <comment ref="AI567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Se ha programado 3 en 2013; 3 en 2014 y 3 para el 2015. Revisar.</t>
        </r>
      </text>
    </comment>
    <comment ref="AI568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Se ha programado 3 en 2012; 3 en 2014 y 3 para el 2015. Revisar</t>
        </r>
      </text>
    </comment>
    <comment ref="AI569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Se ha programado 2 en 2012; 2 en 2014 y 3 para el 2015. Revisar</t>
        </r>
      </text>
    </comment>
    <comment ref="AI582" authorId="0">
      <text>
        <r>
          <rPr>
            <b/>
            <sz val="9"/>
            <color indexed="81"/>
            <rFont val="Tahoma"/>
            <family val="2"/>
          </rPr>
          <t>rc:</t>
        </r>
        <r>
          <rPr>
            <sz val="9"/>
            <color indexed="81"/>
            <rFont val="Tahoma"/>
            <family val="2"/>
          </rPr>
          <t xml:space="preserve">
Se ha programado 1 en 2013; 1 en 2014 y 1 para el 2015. Revisar.</t>
        </r>
      </text>
    </comment>
  </commentList>
</comments>
</file>

<file path=xl/sharedStrings.xml><?xml version="1.0" encoding="utf-8"?>
<sst xmlns="http://schemas.openxmlformats.org/spreadsheetml/2006/main" count="3999" uniqueCount="1528">
  <si>
    <t>PROGRAMAS</t>
  </si>
  <si>
    <t>LÍNEA BASE</t>
  </si>
  <si>
    <t>INDICADOR</t>
  </si>
  <si>
    <t>META DE RESULTADO</t>
  </si>
  <si>
    <t>META DE PRODUCTO</t>
  </si>
  <si>
    <t xml:space="preserve">OBJETIVO ESTRATÉGICO  </t>
  </si>
  <si>
    <t>SUBPROGRAMAS</t>
  </si>
  <si>
    <t>SECTOR DE COMPETENCIA</t>
  </si>
  <si>
    <t>DEPENDENCIA RESPONSABLE</t>
  </si>
  <si>
    <t>Indicador</t>
  </si>
  <si>
    <t>TIPO</t>
  </si>
  <si>
    <t>Unidad</t>
  </si>
  <si>
    <t>Linea Base</t>
  </si>
  <si>
    <t>Programado Cuatrienio</t>
  </si>
  <si>
    <t>Programado 2012</t>
  </si>
  <si>
    <t>Programado 2013</t>
  </si>
  <si>
    <t>Programado 2014</t>
  </si>
  <si>
    <t>Programado 2015</t>
  </si>
  <si>
    <t>UNIDAD</t>
  </si>
  <si>
    <t>INDICADOR DE PRODUCTO</t>
  </si>
  <si>
    <t>INDICADOR DE RESULTADO</t>
  </si>
  <si>
    <t xml:space="preserve">DIMENSION </t>
  </si>
  <si>
    <t>%</t>
  </si>
  <si>
    <t>RECURSOS PLAN PLURIANUAL</t>
  </si>
  <si>
    <t>SOCIO CULTURAL</t>
  </si>
  <si>
    <t>AMBIENTE NATURAL</t>
  </si>
  <si>
    <t>FORMATO 1.  PLAN INDICATIVO VIGENCIA 2012 -2015</t>
  </si>
  <si>
    <t>VALOR ESPERADO</t>
  </si>
  <si>
    <t>Programado cuatrienio</t>
  </si>
  <si>
    <t>DEPARTAMENTO DE ARAUCA</t>
  </si>
  <si>
    <t>PLAN DE DESARROLLO "ES HORA DE RESULTADOS 2012 - 2015"</t>
  </si>
  <si>
    <t>Lograr la sostenibilidad ambiental alrededor del agua, como factor de desarrollo y seguridad humana</t>
  </si>
  <si>
    <t>Sostenibilidad ambiental</t>
  </si>
  <si>
    <t xml:space="preserve">Preservar el 90% de la extensión de las áreas de conservación y protección ambiental </t>
  </si>
  <si>
    <t>Porcentaje de áreas de conversación y protección ambiental preservadas</t>
  </si>
  <si>
    <t xml:space="preserve">Gestión ambiental </t>
  </si>
  <si>
    <t>Adquirir 2500 has nuevas en áreas de importancia hídrica</t>
  </si>
  <si>
    <t>Elaborar el plan de manejo y ordenamiento de tres áreas del sistema departamental de áreas protegidas</t>
  </si>
  <si>
    <t>Recuperar y conservar 2000 has del sistema de áreas protegidas(PNN Cocuy)</t>
  </si>
  <si>
    <t>Apoyar la implementación de 26 PRAES en los establecimientos educativos del departamento</t>
  </si>
  <si>
    <t xml:space="preserve">Implementar un (1) programa de educación y de cultura ambiental </t>
  </si>
  <si>
    <t>Apoyar la implementación de un (1) plan de ordenación y manejo ambiental de una cuenca hidrográfica</t>
  </si>
  <si>
    <t>Apoyar la implementación de los programas de uso eficiente y ahorro del agua en los siete  (7) municipios</t>
  </si>
  <si>
    <t>Apoyar la implementación de los planes de saneamiento y manejo de vertimientos en los siete (7) municipios</t>
  </si>
  <si>
    <t>Apoyar la implementación de los planes de gestión integral de residuos sólidos en los siete (7) municipios</t>
  </si>
  <si>
    <t>Implementar el sistema de Gestión Ambiental de la Gobernación de Arauca</t>
  </si>
  <si>
    <t>Lograr la sostenibilidad y restauración de la laguna El Lipa previniendo la reducción de su área y la disminución de su biodiversidad</t>
  </si>
  <si>
    <t>Implementar un  (1) programa de producción más limpia y uso eficiente de la energía</t>
  </si>
  <si>
    <t>Establecer  500 has forestales protectoras en ecosistemas naturales</t>
  </si>
  <si>
    <t>Apoyar la aplicación de incentivos forestales en 500 has de bosques naturales</t>
  </si>
  <si>
    <t>Implementar un esquema de pagos por servicios ambientales</t>
  </si>
  <si>
    <t>Implementar un 20% del plan departamental de cambio climático</t>
  </si>
  <si>
    <t>No. de has de importancia hídrica adquiridas</t>
  </si>
  <si>
    <t>No. de planes de manejo y ordenamiento elaborados</t>
  </si>
  <si>
    <t>No. de has recuperadas y conservadas dentro del sistema de áreas protegidas</t>
  </si>
  <si>
    <t>No. de PRAES implementados con apoyo de la Gobernación</t>
  </si>
  <si>
    <t>No. programas de educación y cultura ambiental implementados</t>
  </si>
  <si>
    <t>No. de planes de ordenación y manejo ambiental implementados con el apoyo de la Gobernación</t>
  </si>
  <si>
    <t>No. de programas de uso eficiente y ahorro del agua implementados con el apoyo de la Gobernación</t>
  </si>
  <si>
    <t>No. de programas de saneamiento y manejo de vertimientos implementados con el apoyo de la Gobernación</t>
  </si>
  <si>
    <t>No. de programas de planes de gestión integral de residuos sólidos apoyados</t>
  </si>
  <si>
    <t>No. de Sistema de Gestión ambiental implementados</t>
  </si>
  <si>
    <t>Estero El Lipa sostenible y restaurada</t>
  </si>
  <si>
    <t>No. de programas implementados</t>
  </si>
  <si>
    <t>No. de has forestales protectoras establecidas</t>
  </si>
  <si>
    <t>No. de has con incentivos forestales aplicados</t>
  </si>
  <si>
    <t>No. de esquemas de pago por servicios ambientales</t>
  </si>
  <si>
    <t>Porcentaje del plan implementado</t>
  </si>
  <si>
    <t>Ambiental</t>
  </si>
  <si>
    <t>Secretaria de Desarrollo Agropecuario y Sostenible</t>
  </si>
  <si>
    <t>Implementar el 40% del plan de gestión del riesgo departamental y adaptación al cambio climático para reducir el imparto y el costo social y económico de los desastres naturales</t>
  </si>
  <si>
    <t>Porcentaje de implementación del plan de gestión del riesgo</t>
  </si>
  <si>
    <t>Gestión del riesgo de desastres</t>
  </si>
  <si>
    <t>Atender el  2% la población vulnerable por situaciones de riesgo y/o emergencia y/o desastre</t>
  </si>
  <si>
    <t>Coordinar con los municipios la atencion del 100% de las personas afectadas por situaciones de desastres y/o emergencia</t>
  </si>
  <si>
    <t xml:space="preserve">Dotar y fortalecer el Crepad y los Clopads </t>
  </si>
  <si>
    <t xml:space="preserve">Implementar 4 sistemas de monitoreo y alertas tempranas </t>
  </si>
  <si>
    <t xml:space="preserve">Implementar una estrategia de educación en prevención y atención de emergencias y desastres  </t>
  </si>
  <si>
    <t>Porcentaje de población vulnerable atendida</t>
  </si>
  <si>
    <t>Porcentaje de población atendida de desastres y/o emergencia</t>
  </si>
  <si>
    <t>No. de Clopads y Crepad dotados y fortalecidos</t>
  </si>
  <si>
    <t>No. de sistema de monitoreo y alertas tempranas implementadas</t>
  </si>
  <si>
    <t>No. de estrategias implementadas</t>
  </si>
  <si>
    <t>1</t>
  </si>
  <si>
    <t>Total Dimension</t>
  </si>
  <si>
    <t>Total Programa</t>
  </si>
  <si>
    <t>Total Subprograma</t>
  </si>
  <si>
    <t>Numero</t>
  </si>
  <si>
    <t>Porcentaje</t>
  </si>
  <si>
    <t>URBANO REGIONAL</t>
  </si>
  <si>
    <t>Integración Regional, Nacional e Internacional para potenciar la visión geoestratégica del Departamento de Arauca</t>
  </si>
  <si>
    <t>Integración regional</t>
  </si>
  <si>
    <t>Incrementar la balanza comercial de exportaciones no tradicionales</t>
  </si>
  <si>
    <t>Balanza comercial de exportaciones no tradicionales</t>
  </si>
  <si>
    <t>Integracion y desarrollo fronterizo</t>
  </si>
  <si>
    <t>136.240 dólares</t>
  </si>
  <si>
    <t>272.480 dólares</t>
  </si>
  <si>
    <t>Formular e implementar un (1) programa de convivencia y paz en frontera</t>
  </si>
  <si>
    <t xml:space="preserve">Implementar una (1) estrategia para reconocer la habilitación del puente internacional de fronteras José Antonio Páez </t>
  </si>
  <si>
    <t>Implementar una (1) estrategia para la importación del combustible</t>
  </si>
  <si>
    <t>Implementar una (1) estrategia de fortalecimiento de los servicios conexos a migraciones</t>
  </si>
  <si>
    <t>Crear y/o reactivar dos (2) instancias de concertación fronteriza</t>
  </si>
  <si>
    <t>Formular e implementar tres (3) estrategias para la promoción y aplicación de la Ley de Fronteras, de la Política Pública de Fronteras y de los Acuerdos Binacionales</t>
  </si>
  <si>
    <t>Desarrollar estrategias para la implementación de una (1) plataforma logística para el desarrollo del Comercio Exterior</t>
  </si>
  <si>
    <t>Implementar una campaña anual para reducir el contrabando de productos</t>
  </si>
  <si>
    <t>No. de Programas implementados</t>
  </si>
  <si>
    <t>No. de estrategias de implementadas</t>
  </si>
  <si>
    <t xml:space="preserve">No. de instancias de concertación creadas y/ o reactivadas </t>
  </si>
  <si>
    <t>No. de estrategias formuladas e implementadas</t>
  </si>
  <si>
    <t>No. de estrategias desarrolladas para la implementación de la plataforma logística</t>
  </si>
  <si>
    <t>No. de campañas implementadas</t>
  </si>
  <si>
    <t>Promocion del desarrollo</t>
  </si>
  <si>
    <t>Secretaria de Gobierno y Seguridad Ciudadana</t>
  </si>
  <si>
    <t>Secretario de Hacienda</t>
  </si>
  <si>
    <t>Implementar en un 30% la política de desarrollo sustentable e incluyente de la Visión 2033</t>
  </si>
  <si>
    <t>Porcentaje de política implementada</t>
  </si>
  <si>
    <t>Construcción de región competitiva</t>
  </si>
  <si>
    <t xml:space="preserve">Fomentar tres (3) esquemas de asociación para la integración territorial </t>
  </si>
  <si>
    <t>Cofinanciar cuatro (4) proyectos estratégicos en el marco de los esquemas de asociación territorial, acudiendo a mecanismos como los contratos plan, implementación programas integrales de desarrollo rural con enfoque territorial, zonas especiales para la superación de la pobreza y al aprovechamiento del potencial minero energético</t>
  </si>
  <si>
    <t>Promover la realización de dos (2) alianzas competitivas regionales</t>
  </si>
  <si>
    <t>Adoptar e implementar la política de desarrollo local para el departamento y sus municipios, orientada a promover el aprovechamiento de las potencialidades locales, la disminución de la brecha urbano - rural y el fortalecimiento y articulación de la institucionalidad público/privada/comunitaria en las zonas rurales</t>
  </si>
  <si>
    <t>Lograr que ocho (8) proyectos de interés departamental tengan cofinanciación de cooperación internacional</t>
  </si>
  <si>
    <t>Apoyar la implementación del plan regional de competitividad</t>
  </si>
  <si>
    <t>Implementar una (1) estrategia de apoyo y transformación para el sector empresarial y productivo que permita aprovechar las oportunidades de los Tratados de Libre Comercio</t>
  </si>
  <si>
    <t>No. de esquemas de asociación fomentados</t>
  </si>
  <si>
    <t>No. de proyectos estratégicos cofinanciados en el marco de esquemas de asociación territorial</t>
  </si>
  <si>
    <t>No. alianzas competitivas regionales</t>
  </si>
  <si>
    <t>No. de políticas de desarrollo local adoptadas e implementadas</t>
  </si>
  <si>
    <t xml:space="preserve">No. de proyectos de interés departamental cofinanciados con recursos cooperación internacional </t>
  </si>
  <si>
    <t>Implementación del plan regional de competitividad</t>
  </si>
  <si>
    <t>Fortalecimiento Institucional</t>
  </si>
  <si>
    <t>Promoción Del Desarrollo</t>
  </si>
  <si>
    <t>Secretaria de Planeación Departamental</t>
  </si>
  <si>
    <t>Adoptar la política de ordenamiento territorial para el departamento de Arauca</t>
  </si>
  <si>
    <t>Ordenamiento del territorio</t>
  </si>
  <si>
    <t>No. de políticas de ordenamiento territorial adoptados</t>
  </si>
  <si>
    <t>Desarrollar los lineamientos de Ordenamiento Territorial para el aprovechamiento Sostenible de la Región, en el marco de la LOOT</t>
  </si>
  <si>
    <t>Implementar el Observatorio de Planificación Territorial (Consolidación del Sistema de Información Geográfico Departamental y Censo Departamental)</t>
  </si>
  <si>
    <t>Cofinanciar al 100% de los municipios los procesos de actualización catastral, de estudios de amenazas y riesgos, de cartografía y de revisión general de los planes básicos de ordenamiento territorial</t>
  </si>
  <si>
    <t>Observatorio de Planificación Territorial Implementado</t>
  </si>
  <si>
    <t>Porcentaje de municipios con cofinanciación beneficiados</t>
  </si>
  <si>
    <t>Lineamientos de ordenamiento territorial desarrollados</t>
  </si>
  <si>
    <t>Lograr un nivel de eficacia mínimo de 80% en el cumplimiento de las metas de resultado y de producto del plan de desarrollo departamental</t>
  </si>
  <si>
    <t>Porcentaje de eficacia del plan de desarrollo departamental</t>
  </si>
  <si>
    <t>Planeación Estratégica y fortalecimiento institucional municipal</t>
  </si>
  <si>
    <t>Formular  y actualizar mínimo once (11) políticas públicas (Empleo, Mujer, Primera infancia, niñez y adolescencia, Juventud, Familia, Indígenas, Afrodescendientes, Participación ciudadana (ajustada al CONPES 3661 de 2010), Minero-Energética, Seguridad Alimentaria y Nutricional, discapacidad, entre otras) y cuatro (4) Planes Estratégicos departamentales (Ciencia, tecnología e innovación, plan departamental de aguas, Plan de movilidad y adaptación al cambio climático, entre otros)</t>
  </si>
  <si>
    <t>Cofinanciar cinco (5) programas para articulación de políticas de interés nacional</t>
  </si>
  <si>
    <t>Realizar la formulación y evaluación ex ante del 100% de los proyectos de inversión susceptibles de financiar o cofinanciar con los recursos del presupuesto del departamento (Financiación de estudios de pre inversión)</t>
  </si>
  <si>
    <t>Realizar seguimiento y evaluación al 100% de las políticas formuladas</t>
  </si>
  <si>
    <t xml:space="preserve">Definir e implementar un esquema de monitoreo, seguimiento y evaluación al cumplimiento física y financiera del 80% como mínimo de las metas de producto y de resultado del plan de desarrollo departamental </t>
  </si>
  <si>
    <t>Implementar un programa de fortalecimiento de las capacidades institucionales para mejorar el desempeño municipal, que incluya los procesos de focalización del gasto social, planeación socioeconómica, ambiental y territorial, finanzas públicas, formulación de proyectos, control interno, gobierno en línea, contratación, gestión documental, entre otros</t>
  </si>
  <si>
    <t xml:space="preserve">Realizar anualmente evaluaciones al desempeño de los 7 municipios del Departamento </t>
  </si>
  <si>
    <t>Orientar la formulación, implementación y hacer seguimiento al 100% de los programas de saneamiento fiscal y financiero adoptados por los municipios que incumplan la Ley 617 de 2000.</t>
  </si>
  <si>
    <t>No. de políticas públicas y planes formulados y/o actualizados</t>
  </si>
  <si>
    <t>No. de programas de articulación de políticas de interés nacional cofinanciados</t>
  </si>
  <si>
    <t>Porcentaje de proyectos formulados y evaluados</t>
  </si>
  <si>
    <t>Porcentaje de políticas formuladas con seguimiento y evaluación</t>
  </si>
  <si>
    <t>Porcentaje de cumplimiento de las metas</t>
  </si>
  <si>
    <t>No. municipios asistidos</t>
  </si>
  <si>
    <t>Número de evaluaciones al desempeño municipal realizadas anualmente</t>
  </si>
  <si>
    <t>Porcentaje de Programas de saneamiento fiscal y financiero municipal orientados</t>
  </si>
  <si>
    <t>Políticas Publicas: 3
Planes Estratégicos: 4</t>
  </si>
  <si>
    <t>Políticas Publicas: 14
Planes Estratégicos: 8</t>
  </si>
  <si>
    <t>Lograr que el indicador de desempeño integral de los municipios se mantenga respecto a la vigencia 2010</t>
  </si>
  <si>
    <t>Indicador del desempeño integral</t>
  </si>
  <si>
    <t>Lograr que el Índice de Gobierno Abierto -IGA de los municipios en promedio sea como mínimo del 80%</t>
  </si>
  <si>
    <t>Porcentaje promedio del IGA</t>
  </si>
  <si>
    <t>Planeación territorial</t>
  </si>
  <si>
    <t>Infraestructura para el desarrollo</t>
  </si>
  <si>
    <t xml:space="preserve">Mejorar el 10% de la infraestructura de la infraestructura principal de transporte y la contemplada en el plan vial regional </t>
  </si>
  <si>
    <t>Construir y/o adecuar el 4% de la infraestructura de transporte para la productividad rural</t>
  </si>
  <si>
    <t>Mejorar el 5% de la infraestructura vial urbana</t>
  </si>
  <si>
    <t>Mejorar el 40% de la infraestructura de equipamiento en transporte de carga y pasajeros</t>
  </si>
  <si>
    <t>Aumentar 6 MVA en la capacidad Instalada y fortalecer 150 km del sistema eléctrico Departamental (MVA)</t>
  </si>
  <si>
    <t>Implementar el 30% del plan de masificación de Gas en el Departamento de Arauca</t>
  </si>
  <si>
    <t>Conocer el 100% del potencial minero del Departamento</t>
  </si>
  <si>
    <t>Total Dimensión</t>
  </si>
  <si>
    <t>Porcentaje de infraestructura vial regional mejorada</t>
  </si>
  <si>
    <t>Porcentaje de infraestructura en puentes construidos o adecuados</t>
  </si>
  <si>
    <t>Porcentaje de infraestructura vial urbana mejorada</t>
  </si>
  <si>
    <t>Porcentaje de infraestructura de equipamiento para el transporte</t>
  </si>
  <si>
    <t xml:space="preserve">Capacidad Instalada en el sistema eléctrico Departamental (MVA) </t>
  </si>
  <si>
    <t>Porcentaje de avance del plan de masificación de Gas en el Departamento de Arauca</t>
  </si>
  <si>
    <t>Porcentaje de conocimiento de potencial minero</t>
  </si>
  <si>
    <t>Infraestructura de transporte</t>
  </si>
  <si>
    <t>Mejorar y/o rehabilitar 120 kilómetros de red de carreteras principales y de las contempladas en el Plan Vial Regional</t>
  </si>
  <si>
    <t>Gestionar ante el gobierno nacional  asignación de recursos para la cosntrucciòn de  tres (3) corredores viales nacionales que cumplan las normas tècnicas</t>
  </si>
  <si>
    <t>Gestionar tres (3) proyectos de conectividad vial en el marco de la iniciativa IIRSA</t>
  </si>
  <si>
    <t>Realizar mantenimiento a 200 kilómetros de vías principales por año</t>
  </si>
  <si>
    <t>Construir  y/o terminar como  minimo cinco (5) puentes que mejoren la integración</t>
  </si>
  <si>
    <t>Pavimentar y/o mejorar diez (10) kilómetros de vías urbanas</t>
  </si>
  <si>
    <t>Construir un (1) terminal de transporte</t>
  </si>
  <si>
    <t>Apoyar la construcción de un (1) terminal de carga y/o transporte intermodal</t>
  </si>
  <si>
    <t>Mejorar la capacidad operativa de un (1) aeropuerto</t>
  </si>
  <si>
    <t>No. de proyectos de corredores viales nacionales en desarrollo</t>
  </si>
  <si>
    <t>No. de proyectos de conectividad vial IIRSA</t>
  </si>
  <si>
    <t>No. de Km. de vía mantenida por año</t>
  </si>
  <si>
    <t xml:space="preserve">No. de puentes construidos y/o terminados </t>
  </si>
  <si>
    <t>No. Km. de vías urbanas pavimentadas y/o mejoradas</t>
  </si>
  <si>
    <t>No. de terminales construidos</t>
  </si>
  <si>
    <t>No. de terminales de carga construidos</t>
  </si>
  <si>
    <t xml:space="preserve">No. de aeropuertos con capacidad operativo mejorados </t>
  </si>
  <si>
    <t>MI</t>
  </si>
  <si>
    <t>MM</t>
  </si>
  <si>
    <t>Transporte</t>
  </si>
  <si>
    <t>Secretaria de Infraestructura Física</t>
  </si>
  <si>
    <t>Desarrollo energético y  minero</t>
  </si>
  <si>
    <t>Aumentar en 6 MVA la carga instalada del sistema</t>
  </si>
  <si>
    <t>Identificar la factibilidad de mìnimo  1 (un) proyecto de generación de energía en el departamento de Arauca</t>
  </si>
  <si>
    <t>Implementar 3 proyectos para el fortalecimiento del sistema de distribución local en condiciones de contingencia</t>
  </si>
  <si>
    <t>Construir y/o mantener 150 km de líneas de transmisión y subtransmision de energía</t>
  </si>
  <si>
    <t>Cofinanciar la construcción como mìnimo de  35 km de redes de sistemas de transporte y/o distribución de gas</t>
  </si>
  <si>
    <t>Terminar los diseños y la etapa de pre inversión del plan de masificación del gas natural domiciliario del Departamento</t>
  </si>
  <si>
    <t>Apoyar el control de   la minería ilegal en el 100% de los municipios del Departamento de Arauca</t>
  </si>
  <si>
    <t>Potencia aumentada en MVA</t>
  </si>
  <si>
    <t>Proyecto de generación de energía identificado</t>
  </si>
  <si>
    <t>Proyectos implementados en el sistema de distribución local</t>
  </si>
  <si>
    <t>Km. de líneas de subtransmisión construidas y/o mantenidas</t>
  </si>
  <si>
    <t xml:space="preserve">Kilómetros de gasoducto construidos </t>
  </si>
  <si>
    <t>Porcentaje del plan de gas formulado en su etapa de pre inversión</t>
  </si>
  <si>
    <t xml:space="preserve">Porcentaje de municipios con control de minería ilegal </t>
  </si>
  <si>
    <t>ND</t>
  </si>
  <si>
    <t>Km</t>
  </si>
  <si>
    <t>Servicios Públicos Diferentes A Acueducto Alcantarillado Y Aseo (Sin Incluir Proyectos De Vivienda De Interés Social)</t>
  </si>
  <si>
    <t xml:space="preserve">68.5 MVA </t>
  </si>
  <si>
    <t>74.5 MVA</t>
  </si>
  <si>
    <t xml:space="preserve"> MI</t>
  </si>
  <si>
    <t>Creación de Condiciones de Igualdad de Oportunidades, Identidad e inclusión social Para La Prosperidad Social</t>
  </si>
  <si>
    <t>Salud con Igualdad</t>
  </si>
  <si>
    <t>Lograr el 100% de la cobertura del régimen subsidiado en la población elegible de acuerdo con la normatividad vigente</t>
  </si>
  <si>
    <t>Porcentaje de población afiliada al régimen subsidiado del SGSSS en el departamento de Arauca</t>
  </si>
  <si>
    <t>Aseguramiento</t>
  </si>
  <si>
    <t xml:space="preserve">Afiliar al 100% (19.021) de las personas de la población no asegurada del departamento </t>
  </si>
  <si>
    <t>Garantizar la continuidad del 93.86% de la cobertura (176.355 afiliados)</t>
  </si>
  <si>
    <t>Porcentaje de personas de la población no asegurada afiliada al SGSSS</t>
  </si>
  <si>
    <t>Porcentaje de cobertura de continuidad de régimen subsidiado</t>
  </si>
  <si>
    <t>Salud</t>
  </si>
  <si>
    <t>UAESA</t>
  </si>
  <si>
    <t>Atender el 100% de los servicios de salud que se demanden en todos los niveles de complejidad en la población del departamento de Arauca</t>
  </si>
  <si>
    <t>Porcentaje servicios atendidos</t>
  </si>
  <si>
    <t>Prestación y desarrollo de servicios de salud</t>
  </si>
  <si>
    <t xml:space="preserve">Garantizar la atención de los servicios de salud al 100% de la población elegible </t>
  </si>
  <si>
    <t>Atender el 100% de los eventos de salud en la población pobre en lo no cubiertos con subsidio a la demanda</t>
  </si>
  <si>
    <t>Gestionar el 100% de las solicitudes de atención médica de la prestación de los servicios de salud en todos los niveles de complejidad a la población elegible  incluyendo  todos los grupos poblacionales con con enfoque diferencial.</t>
  </si>
  <si>
    <t xml:space="preserve">Gestionar el 100% de las solicitudes de atención médica de la prestación de los servicios de salud en todos los niveles de complejidad en lo no cubierto con subsidio a la demanda,incluyendo  todos los grupos poblacionales con enfoque diferencial </t>
  </si>
  <si>
    <t xml:space="preserve">Fortalecer en un 100% las atenciones de salud de alta complejidad con  especialistas </t>
  </si>
  <si>
    <t>Implementar en 100% el servicio de alta complejidad mediante la terminación y dotación de la infraestructura física, científica, tecnológica y operativa del Hospital San Vicente de Arauca</t>
  </si>
  <si>
    <t xml:space="preserve">Mejorar en un 80% la infraestructura hospitalaria de baja complejidad (hospitales de I nivel y puestos-centros de salud) </t>
  </si>
  <si>
    <t>Gestionar amte el Gobierno nacional la construcciòn y/o adecuaciòn de un (1) centro de rehabilitaciòn de consumidores de sustancias psicoactivas  en el Departamento de Arauca</t>
  </si>
  <si>
    <t xml:space="preserve">Mejorar en un 45% la prestación del servicio hospitalario mediante la dotación de equipos y mobiliario de la red pública Hospitalaria  del Departamento </t>
  </si>
  <si>
    <t>Promover los servicios de telemedicina en dos (2) prestadores de servicios de la red publica</t>
  </si>
  <si>
    <t>Mejorar en 50% la prestación de los servicios con la adquisición de transporte medicalizado para la red prestadora de servicios</t>
  </si>
  <si>
    <t>Apoyar el tribunal de etica medica del departamento de Arauca</t>
  </si>
  <si>
    <t>Realizar visitas de verificación  al 50% (81/162) de los prestadores de servicios de salud habilitados en el primer año de la vigencia y en un 75% anualmente</t>
  </si>
  <si>
    <t xml:space="preserve">Actualizar el documento de redes integrales de prestación de servicios de salud del departamento de Arauca </t>
  </si>
  <si>
    <t>Porcentaje población elegible atendida</t>
  </si>
  <si>
    <t>Porcentaje de población pobre no cubierta con subsidio a la demanda atendida</t>
  </si>
  <si>
    <t xml:space="preserve">Porcentaje de solicitudes de atención medica de la prestación de servicios de salud a población elegible gestionadas </t>
  </si>
  <si>
    <t>Porcentaje de solicitudes de la atención medica de la prestación de servicios de salud en lo no cubierto con subsidio a la demanda gestionadas</t>
  </si>
  <si>
    <t>Porcentaje de atenciones en salud por especialistas de alta complejidad</t>
  </si>
  <si>
    <t>Porcentaje de servicio de Alta complejidad implementado</t>
  </si>
  <si>
    <t>Porcentaje de infraestructura hospitalaria de baja complejidad</t>
  </si>
  <si>
    <t>Centro de rehabilitaciòn  gestionado y construido</t>
  </si>
  <si>
    <t>Porcentaje de prestación del servicio hospitalario mejorado</t>
  </si>
  <si>
    <t>No. De prestadores con servicios de telemedicina</t>
  </si>
  <si>
    <t>Porcentaje de unidades de transporte medicalizado para la red prestadora de servicios del departamento</t>
  </si>
  <si>
    <t xml:space="preserve">Apoyar el tribunal de etica medica del departamento de Arauca con recursos </t>
  </si>
  <si>
    <t>Porcentaje de prestadores de servicios de salud con visitas de verificación realizadas</t>
  </si>
  <si>
    <t>Documento actualizado de las redes integrales de prestación de servicios de salud</t>
  </si>
  <si>
    <t>100% (8.000)</t>
  </si>
  <si>
    <t>100% (20.000)</t>
  </si>
  <si>
    <t>50% (81)</t>
  </si>
  <si>
    <t>75% (121)</t>
  </si>
  <si>
    <t>NI</t>
  </si>
  <si>
    <t>Realizar verificación al 100% de los prestadores de servicios de salud habilitados</t>
  </si>
  <si>
    <t>Garantizar el funcionamiento del Tribunal de Etica Médica del departamento de Arauca</t>
  </si>
  <si>
    <t xml:space="preserve">Porcentaje de atencion  con recursos al Tribunal de Etica </t>
  </si>
  <si>
    <t>Porcentaje verificación de los prestadores de servicios de salud del departamento de Arauca</t>
  </si>
  <si>
    <t>6.8%</t>
  </si>
  <si>
    <t>Salud pública, atención primaria en salud y promoción y prevención</t>
  </si>
  <si>
    <t>Lograr cobertura de vacunación (esquema regular) del 95% de los niñ@s menores de un año del departamento de Arauca</t>
  </si>
  <si>
    <t xml:space="preserve">Lograr cobertura de vacunación (FA y TV) del 95% de los niñ@s de un año </t>
  </si>
  <si>
    <t>Lograr cobertura de vacunación del 95% de los niñ@s de cinco años con todos los biológicos de refuerzo (VOP, DPT, TV)</t>
  </si>
  <si>
    <t>Reducir o mantener en no mas de (2) casos la mortalidad por EDA en menores de 5 años</t>
  </si>
  <si>
    <t>Mantener o reducir al 5% los casos la mortalidad por IRA en menores de 5 años</t>
  </si>
  <si>
    <t>Mantener o disminuir la morbilidad de casos de EDA en menores de 5 años</t>
  </si>
  <si>
    <t>Mantener o disminuir en 5% la tasa de morbilidad por ERA en menores de 5</t>
  </si>
  <si>
    <t>Implementar la estrategia de cero a siempre en salud y nutricion en los 7 municipios del departamento de Arauca</t>
  </si>
  <si>
    <t xml:space="preserve">Reducir en un 5% los casos de sífilis gestacional por año </t>
  </si>
  <si>
    <t xml:space="preserve">Lograr que el 70% (3.080) de las mujeres gestantes asistan mínimo a 4 controles prenatales </t>
  </si>
  <si>
    <t>Garantizar la dotación y operatividad del 100% (7) de los centros de servicios amigables con la estrategia "Bebe Piénsalo Bien" del departamento de Arauca</t>
  </si>
  <si>
    <t>Garantizar el cumplimiento en los 7 municipios de las líneas de acción de maternidad segura, fomento de planificación familiar, fomento de salud sexual y reproductiva para adolescentes jóvenes, prevención de ITS/VIH, detección de casos de cáncer de cuello uterino, cáncer mama y prevención de violencia doméstica sexual en la red prestadora de servicios de salud en el departamento de Arauca</t>
  </si>
  <si>
    <t>Realizar asistencia técnica en políticas de salud oral al 100% de las IPS y profesionales independientes del departamento de Arauca</t>
  </si>
  <si>
    <t>Lograr que el 80% de IPS centinelas reporten las variables para el cálculo del índice de COP</t>
  </si>
  <si>
    <t>Inclusión de las líneas de salud mental y reducción del consumo de sustancias psicoactivas en el 100% de los PIC de los planes locales de salud y en la red pública del departamento</t>
  </si>
  <si>
    <t>Promoción de la salud mental y estilos de vida saludable en los 7 municipios del departamento</t>
  </si>
  <si>
    <t>Prevención de los factores de riesgo asociados con la morbilidad y mortalidad (suicidio) por alteraciones psiquiatricas y del comportamiento en los 7 municipios del departamento</t>
  </si>
  <si>
    <t>Rehabilitación y mitigación para la superación de los daños (trastornos mentales y del comportamiento) en los 7 municipios del departamento</t>
  </si>
  <si>
    <t>Realizar seguimiento a la implementación de las 5 estrategias: sensibilización, prevención, detección temprana, tratamiento y rehabilitación para el control y manejo de las enfermedades crónicas no transmisibles en el 100% de los municipio del departamento de Arauca.</t>
  </si>
  <si>
    <t>Implementar un programa de promoción de los estilos de vida saludable (espacios libres de humo- actividad física- dieta saludable- campañas de diagnóstico temprano) en los 7 municipios del departamento de Arauca.</t>
  </si>
  <si>
    <t>Identificar el estado nutricional del 100%  de la población de niños, niñas 0 - 5 años captados por el sisvan (de acuerdo a los indicadores p/e, t/e, p/t)</t>
  </si>
  <si>
    <t>Realizar recuperación nutricional del 60% de los casos de desnutrición crónica captados por el sistema de vigilancia alimentaria y nutricional en el departamento de Arauca.</t>
  </si>
  <si>
    <t>Garantizar el proceso de inspección, vigilancia, control y asistencia técnicas al 100% de los actores del SGSSS para detección temprana de alteraciones del crecimiento y desarrollo preconcepcional asociadas al estado nutricional</t>
  </si>
  <si>
    <t xml:space="preserve">Fortalecer la implementación de los planes de seguridad y soberanía alimentaria y nutricional en los 7 municipios </t>
  </si>
  <si>
    <t>Realizar acciones de IVC al 100% (4260) de los establecimientos de expendio de alimentos y bebidas alcohólicas, sector informal, establecimientos y espacios públicos generadores de riesgos sanitarios y ambientales</t>
  </si>
  <si>
    <t>Realizar acciones de IVC al 100% (586) de los establecimientos generadores de riesgos sanitarios y ambientales (saneamiento básico y residuos hospitalarios) que afectan la salud de la población en el departamento de Arauca</t>
  </si>
  <si>
    <t>Realizar acciones vigilancia de la calidad del agua para consumo humano al 100% de puntos concertados de agua (87) en los municipios del departamento de Arauca</t>
  </si>
  <si>
    <t>Realizar acciones de IVC al 100% (500) de los establecimientos farmacéuticos generadores de riesgos sanitarios y ambientales que afectan la salud de la población en el departamento de Arauca.</t>
  </si>
  <si>
    <t xml:space="preserve">Control del 100% (60) de IPS autorizadas para manejo de medicamentos franja violeta </t>
  </si>
  <si>
    <t>Identificar y controlar oportunamente como mínimo el 90% de los brotes de dengue</t>
  </si>
  <si>
    <t>Identificar, Intervenir Y Controlar El 100% De Los casos de malaria en el departamento de Arauca</t>
  </si>
  <si>
    <t>Identificar, Intervenir Y Controlar El 100% De Los Focos De Leishmaniasis</t>
  </si>
  <si>
    <t>Identificar, intervenir y tratar el 100% de los brotes de Chagas agudo.</t>
  </si>
  <si>
    <t>Procesar el 100% de las muestras de interés en salud pública recibidas en el laboratorio de salud pública fronterizo anualmente</t>
  </si>
  <si>
    <t xml:space="preserve">Procesar el 100% de las muestras de aguas para consumo humano recibidas en el laboratorio de salud pública fronterizo anualmente </t>
  </si>
  <si>
    <t xml:space="preserve">Procesar el 100% de las muestras de alimentos recibidas en el laboratorio de salud pública fronterizo anualmente </t>
  </si>
  <si>
    <t>Apoyar a los 36 laboratorios del departamento de Arauca, para garantizar el cumplimiento de las funciones de la red de laboratorios anualmente</t>
  </si>
  <si>
    <t>Garantizar en el 100% de los municipios del departamento de Arauca, el cumplimiento de la política nacional de sangre anualmente durante la vigencia 2012 - 2015</t>
  </si>
  <si>
    <t>Verificar en el 100% de las IPS-EPS el cumplimiento de los estándares de calidad para la realización de las acciones de PyP</t>
  </si>
  <si>
    <t>Operativizar y fortalecer el 90% de los espacios de participación social en salud en el departamento de Arauca</t>
  </si>
  <si>
    <t>Garantizar el seguimiento, evaluación y asistencia técnica al 100% de los planes de intervenciones colectivas de los 7 municipios del departamento de Arauca.</t>
  </si>
  <si>
    <t>Detectar mínimo el 70 % de los casos nuevos de bk+ en el departamento de Arauca</t>
  </si>
  <si>
    <t>Captar el 80% de sintomatico respiratorio de la población araucana</t>
  </si>
  <si>
    <t xml:space="preserve">Tratamiento exitoso del 85% de los casos de tuberculosis pulmonar baciloscopia positiva. </t>
  </si>
  <si>
    <t>Realizar búsqueda activa de sintomáticos de piel y de sistema nervioso periférico en el 100% de los municipios del departamento</t>
  </si>
  <si>
    <t>Implementar en el 100% de los municipios del departamento de Arauca la estrategia IEC en prevención de VIH/SIDA</t>
  </si>
  <si>
    <t>Garantizar la Implementación del modelo de gestión programática en VIH/SIDA y la guía de atención en VIH/SIDA en el 100% de las IPS del departamento de Arauca</t>
  </si>
  <si>
    <t>Garantizar la realización de la prueba de Elisa (VIH) y Hepatitis B al 100% de las gestantes del departamento</t>
  </si>
  <si>
    <t>Garantizar al 100% de gestantes con diagnostico de VIH positivo el tratamiento oportuno</t>
  </si>
  <si>
    <t>Acciones de vigilancia y seguimiento al 100% de accidentes rábicos</t>
  </si>
  <si>
    <t>Vacunar el 80 % (29882) de perros y gatos contra la rabia cada año</t>
  </si>
  <si>
    <t>Esterilizar 100% de los animales (perros y gatos) programados cada año</t>
  </si>
  <si>
    <t>Continuar con el programa de control de roedores y plagas en el 80% de las viviendas del departamento de Arauca</t>
  </si>
  <si>
    <t>Acciones de vigilancia y seguimiento al 100% de los casos encefalitis equina</t>
  </si>
  <si>
    <t>Mantener como mínimo en un 95% la notificación oportuna del sistema de vigilancia en salud pública y el desarrollo de acciones de vigilancia y control epidemiológico en todo el departamento</t>
  </si>
  <si>
    <t>Garantizar la captación de información a través de los RIPS-RUAF del 100% de las IPS del departamento</t>
  </si>
  <si>
    <t>Atención primaria en salud (ley 1438 de 2011) a 6.000 familias en población del nivel I y II del SISBEN del departamento de Arauca</t>
  </si>
  <si>
    <t>73,3% VOP
72,5 % DPT
72,3% TV</t>
  </si>
  <si>
    <t>0 X 1000 &lt; 5 AÑOS</t>
  </si>
  <si>
    <t>0,06 X 1000 &lt; 5 AÑOS</t>
  </si>
  <si>
    <t>94,7 X 1000 &lt; 5 AÑOS</t>
  </si>
  <si>
    <t>367,7 X 1000 &lt; 5 AÑOS</t>
  </si>
  <si>
    <t>7,6 x 1000 Gestantes</t>
  </si>
  <si>
    <t>95%
(UPGDS: 47)</t>
  </si>
  <si>
    <t>100%
(RUAF: 9 reportando
RIPS: 34  reportando)</t>
  </si>
  <si>
    <t>Porcentaje de cobertura de vacunación menor de un año</t>
  </si>
  <si>
    <t>Porcentaje de cobertura de vacunación de un año</t>
  </si>
  <si>
    <t>Porcentaje de cobertura de vacunación de cinco años</t>
  </si>
  <si>
    <t>Tasa de mortalidad por EDA en &lt;5 años</t>
  </si>
  <si>
    <t>Tasa de mortalidad por IRA en &lt; 5 años</t>
  </si>
  <si>
    <t>Tasa de morbilidad por EDA en &lt; 5 años</t>
  </si>
  <si>
    <t>Tasa de morbilidad por ERA en &lt; 5 años</t>
  </si>
  <si>
    <t xml:space="preserve">No. de municipios que implementan la estrategia de cero a siempre en salud y nutricion </t>
  </si>
  <si>
    <t>Tasa de sífilis gestacional</t>
  </si>
  <si>
    <t>Porcentaje de gestantes que asisten a controles prenatales</t>
  </si>
  <si>
    <t xml:space="preserve">Porcentaje de centros de servicios amigables dotados para adolescentes y jóvenes con la estrategia "Bebe piénsalo bien" </t>
  </si>
  <si>
    <t>Número de municipios en los que se garantiza el cumplimiento de las líneas de acción</t>
  </si>
  <si>
    <t>Porcentaje asistencia técnica para el cumplimiento de la política de salud bucal</t>
  </si>
  <si>
    <t>Participación centinela índice COP</t>
  </si>
  <si>
    <t>Porcentaje de redes comunitarias de apoyo en salud mental operando</t>
  </si>
  <si>
    <t>Porcentaje de municipio con accion de promoción de la salud mental</t>
  </si>
  <si>
    <t xml:space="preserve">Porcentaje municipio con accion de prevención de los factores de riesgo para la morbilidad y mortalidad (suicidio) por alteraciones psiquiatricas y del comportamiento </t>
  </si>
  <si>
    <t>Porcentaje superación de los daños "mentales"</t>
  </si>
  <si>
    <t>Porcentaje de municipios que implementan las 5 estrategias para el control y manejo de las enfermedades crónicas no transmisibles</t>
  </si>
  <si>
    <t>Numero de municipios con programas implementados de promoción de los estilos de vida saludable</t>
  </si>
  <si>
    <t xml:space="preserve">Porcentaje de niñ@s de 0-5 años con desnutrición crónica-aguda-global </t>
  </si>
  <si>
    <t>Porcentaje de niñ@s de 0-5 años con desnutrición crónica en recuperación y seguimiento</t>
  </si>
  <si>
    <t>Porcentaje de procesos de IVC de nutrición fortalecidos</t>
  </si>
  <si>
    <t>No. de planes de seguridad alimentaria fortalecidos</t>
  </si>
  <si>
    <t>Porcentaje de establecimientos generadores de riesgos sanitarios y ambientales con IVC</t>
  </si>
  <si>
    <t>Porcentaje de establecimientos generadores de riesgos sanitarios y ambientales (saneamiento básico y residuos hospitalarios) con IVC</t>
  </si>
  <si>
    <t>Porcentaje de muestras procesadas como IVC del agua para consumo humano</t>
  </si>
  <si>
    <t xml:space="preserve">Porcentaje de establecimientos farmacéuticos con acciones de IVC </t>
  </si>
  <si>
    <t>Porcentaje de IPS  con disponibilidad de medicamentos franja violeta</t>
  </si>
  <si>
    <t>Porcentaje de brotes de dengue identificados y controlados</t>
  </si>
  <si>
    <t>Porcentaje de casos identificados, intervenidos y controlados</t>
  </si>
  <si>
    <t>Porcentaje de muestra para vigilancia por laboratorio eventos de interés en salud publica</t>
  </si>
  <si>
    <t>Porcentaje de muestras procesadas para vigilancia por laboratorio</t>
  </si>
  <si>
    <t>Porcentaje de vigilancia por laboratorio inocuidad de los alimentos</t>
  </si>
  <si>
    <t>Numero de laboratorios del departamento apoyados por la red de laboratorios</t>
  </si>
  <si>
    <t>Porcentaje de municipios con política nacional de sangre fortalecida</t>
  </si>
  <si>
    <t>Porcentaje de IPS-EPS con procesos de verificación cumplimiento lineamientos PyP</t>
  </si>
  <si>
    <t>Porcentaje de espacios participación social en salud</t>
  </si>
  <si>
    <t>Porcentaje de municipio con seguimiento a PIC</t>
  </si>
  <si>
    <t>Porcentaje de detección tuberculosis (tb)</t>
  </si>
  <si>
    <t>Porcentaje de captación tb</t>
  </si>
  <si>
    <t>Porcentaje de curación tb</t>
  </si>
  <si>
    <t>Porcentaje de municipios con actividades de búsqueda activa para lepra</t>
  </si>
  <si>
    <t>Porcentaje de Municipios con la estrategia  IEC implementada</t>
  </si>
  <si>
    <t>Porcentaje de IPS implementando el modelo de gestión y guía de atención en VIH/SIDA</t>
  </si>
  <si>
    <t>Porcentaje de gestantes con prueba de ELISA (VIH) y Hepatitis B</t>
  </si>
  <si>
    <t>Porcentaje de gestantes con VIH positivo con tratamiento oportuno</t>
  </si>
  <si>
    <t xml:space="preserve">Porcentaje de accidentes rábicos con acciones de vigilancia y seguimiento </t>
  </si>
  <si>
    <t xml:space="preserve">Numero de vacunas aplicadas en animales (perros y gatos) </t>
  </si>
  <si>
    <t>Porcentaje de procedimientos de esterilización (perros y gatos)</t>
  </si>
  <si>
    <t>Numero de viviendas controladas</t>
  </si>
  <si>
    <t xml:space="preserve">Porcentaje de casos de encefalitis equina con acciones de vigilancia y seguimiento </t>
  </si>
  <si>
    <t>Porcentaje de notificación oportuna (SIVIGILA)</t>
  </si>
  <si>
    <t>Porcentaje de IPS reportando al sistema de información de la UAESA (RIPS-RUAF)</t>
  </si>
  <si>
    <t>No. de familias del nivel I y II del SISBEN con APS</t>
  </si>
  <si>
    <t>Tasa</t>
  </si>
  <si>
    <t>95% VOP
95 % DPT
95% TV</t>
  </si>
  <si>
    <t>No mas de 2</t>
  </si>
  <si>
    <t>0.03</t>
  </si>
  <si>
    <t>94,7 X 1000 &lt; 5  años ( 3129 casos)</t>
  </si>
  <si>
    <t>94,7 X 1000 &lt; 5  años ( 3112 casos)</t>
  </si>
  <si>
    <t>94,7 X X 1000 &lt; 5  años ( 3136 casos)</t>
  </si>
  <si>
    <t>89,98 X 1000 &lt; 5 AÑOS ( 3151 casos)</t>
  </si>
  <si>
    <t>367.7 X 1000 &lt; 5  años (12150  casos)</t>
  </si>
  <si>
    <t>367.7 X 1000 &lt; 5  años ( 12138 casos)</t>
  </si>
  <si>
    <t>367.7 X 1000 &lt; 5  años ( 12178 casos)</t>
  </si>
  <si>
    <t xml:space="preserve">349,3 X 1000 &lt; 5 AÑOS (11623 Casos) </t>
  </si>
  <si>
    <t>7,45 x 1000 Gestantes</t>
  </si>
  <si>
    <t>7,3 x 1000 Gestantes</t>
  </si>
  <si>
    <t>7,22 x 1000 Gestantes</t>
  </si>
  <si>
    <t xml:space="preserve">95%
</t>
  </si>
  <si>
    <t>Disminuir en un 20% los índices de morbilidad infantil y niñez asociada a enfermedades inmunoprevenibles incluidas en el esquema regular de vacunación</t>
  </si>
  <si>
    <t xml:space="preserve">Disminuir en 20% los índices de morbilidad en &lt; 5 años asociada a enfermedades inmunoprevenibles </t>
  </si>
  <si>
    <t xml:space="preserve">Reducir la tasa de mortalidad infantil y en la niñez en un 10% </t>
  </si>
  <si>
    <t>Reducir o mantener la mortalidad materna directa en no más de 3 casos por año durante el cuatrienio</t>
  </si>
  <si>
    <t>Reducir en un 10% la tasa de mortalidad perinatal</t>
  </si>
  <si>
    <t xml:space="preserve">Disminuir en un 10% los embarazos en adolescentes en el departamento de Arauca </t>
  </si>
  <si>
    <t>Implementar la política de salud sexual y reproductiva en el 100% de los municipios del departamento de Arauca</t>
  </si>
  <si>
    <t>Implementar las políticas de salud bucal en el 100% de las IPS y profesionales independientes</t>
  </si>
  <si>
    <t>Lograr en el cuatrienio un índice COP de 2.3 en niñ@s de 12 años</t>
  </si>
  <si>
    <t>Implementar las políticas de salud mental y reducción de consumo de psicoactivos y las violencias (intrafamiliar) en el 100% de los municipios del departamento</t>
  </si>
  <si>
    <t xml:space="preserve">Mejorar en un 5% la atención en salud mental </t>
  </si>
  <si>
    <t>Disminuir en un 10% la tasa de mortalidad de las enfermedades crónicas no transmisibles en el departamento.</t>
  </si>
  <si>
    <t>Mantener y/o disminuir por debajo de 5.6% el porcentaje de niños con bajo peso al nacer del departamento</t>
  </si>
  <si>
    <t>Verificar la implementación de los planes de seguridad alimentaria y nutricional en el 100% de los municipios del departamento.</t>
  </si>
  <si>
    <t>Mantener la seguridad sanitaria y ambiental en el 95% a través de las acciones de IVC en el departamento de Arauca, de acuerdo a la política de salud ambiental (Conpes 3550)</t>
  </si>
  <si>
    <t>Garantizar la entrega al 100% de las IPS autorizadas los medicamentos franja violeta (medicamentos especiales)</t>
  </si>
  <si>
    <t xml:space="preserve">Reducir en un 20% la tasa de morbilidad por enfermedades transmitidas por vectores </t>
  </si>
  <si>
    <t>Garantizar las acciones de vigilancia en salud pública por el laboratorio de salud pública al 100% de los municipios del departamento de Arauca</t>
  </si>
  <si>
    <t>Garantizar la vigilancia de la calidad del agua en el 100% de los municipios del departamento de Arauca</t>
  </si>
  <si>
    <t>Garantizar en los 7 municipios del departamento de Arauca, la vigilancia de la calidad e inocuidad de los alimentos a través del laboratorio de salud pública</t>
  </si>
  <si>
    <t xml:space="preserve">Fortalecer en el 100% de los municipios del departamento de Arauca, la red de laboratorios para garantizar el cumplimiento de sus funciones de acuerdo a la normatividad. </t>
  </si>
  <si>
    <t>Fortalecer la política nacional de sangre en el 100% de los municipios del departamento de Arauca</t>
  </si>
  <si>
    <t xml:space="preserve">Verificar el cumplimiento  en el 100% de las EPS/IPS de las actividades de PyP según normatividad </t>
  </si>
  <si>
    <t>Realizar vigilancia al 90% de los espacios de participación social en salud en el departamento de Arauca.</t>
  </si>
  <si>
    <t>Controlar la gestión y ejecución del 100% de los PLC municipales del departamento de Arauca</t>
  </si>
  <si>
    <t>Captar mínimo el 80% de sintomáticos respiratorios del 5% de todas las consultas médicas de primera vez por todas las causas en mayores de 15 años</t>
  </si>
  <si>
    <t>Curar el 85% de casos nuevos pulmonares que iniciaron tratamiento durante el cuatrienio</t>
  </si>
  <si>
    <t>Mantener o reducir en 5,6 por 100.000 habitantes los casos de lepra en el departamento de Arauca</t>
  </si>
  <si>
    <t>Reducir en un 35% la tasa de nuevos casos de lepra detectados con discapacidad grado 2</t>
  </si>
  <si>
    <t>Aumentar en 30% la captación de casos de VIH</t>
  </si>
  <si>
    <t>Mantener y reducir la prevalencia de VIH en el departamento por debajo del 0,48 por cada 1000 hab</t>
  </si>
  <si>
    <t>Aumentar la cobertura al 100% de la prueba de Elisa en las gestantes del departamento</t>
  </si>
  <si>
    <t xml:space="preserve">Mantener en cero la tasa de transmisión perinatal por VIH </t>
  </si>
  <si>
    <t>Mantener la tasa de mortalidad por rabia humana en cero</t>
  </si>
  <si>
    <t>Mantener la tasa de mortalidad por rabia canina en cero</t>
  </si>
  <si>
    <t xml:space="preserve">Mantener cobertura del 80% de vacunación antirrábica canina y felina </t>
  </si>
  <si>
    <t>Lograr cobertura de 100% de esterilización de cirugías propuestas</t>
  </si>
  <si>
    <t>Realizar Control de roedores-plaga al 80% de las viviendas del departamento</t>
  </si>
  <si>
    <t>Mantener en cero la mortalidad por encefalitis equina</t>
  </si>
  <si>
    <t xml:space="preserve">Garantizar como mínimo el 95% del funcionamiento del sistema de vigilancia en salud pública y el desarrollo de acciones de vigilancia y control epidemiológico en todo el departamento, así como la divulgación y remisión oportuna según corresponda a los entes nacionales (Ministerio de la Protección Social - Instituto Nacional de Salud). </t>
  </si>
  <si>
    <t xml:space="preserve">Implementar la estrategia de atención primaria en salud en los 7 municipios del departamento </t>
  </si>
  <si>
    <t xml:space="preserve">Tasa de morbilidad infantil asociada a enfermedades inmunoprevenibles </t>
  </si>
  <si>
    <t>Tasa de morbilidad en &lt; 5 años asociada a enfermedades inmunoprevenibles</t>
  </si>
  <si>
    <t>Tasa de mortalidad en menores de 1 año - mortalidad infantil</t>
  </si>
  <si>
    <t>Tasa de mortalidad de niños, niñas de 0 a 5 años</t>
  </si>
  <si>
    <t>Tasa de mortalidad materna</t>
  </si>
  <si>
    <t>Tasa de mortalidad perinatal</t>
  </si>
  <si>
    <t xml:space="preserve">Numero de embarazo en adolescentes </t>
  </si>
  <si>
    <t>Porcentaje de municipios en los que se ha implementado la política de salud sexual y reproductiva</t>
  </si>
  <si>
    <t>Porcentaje de IPS y profesionales independientes con la política de salud bucal implementados</t>
  </si>
  <si>
    <t>Índice COP departamento</t>
  </si>
  <si>
    <t>Porcentaje de municipios en donde se ha implementado la política de salud mental y reducción de consumo de psicoactivas</t>
  </si>
  <si>
    <t>Tasa de atención de la salud mental en el departamento de Arauca</t>
  </si>
  <si>
    <t>Porcentaje de enfermedades crónicas no transmisibles en el departamento</t>
  </si>
  <si>
    <t>Porcentaje de niños con bajo peso al nacer</t>
  </si>
  <si>
    <t>Porcentaje de municipios en los que se ha verificado la existencia de planes de seguridad alimentaria y nutricional</t>
  </si>
  <si>
    <t>Porcentaje de acciones de IVC en el departamento de Arauca en la inocuidad de los alimentos y en los establecimientos de alto y bajo riesgo del departamento</t>
  </si>
  <si>
    <t>Porcentaje de acciones de IVC en el departamento de Arauca (saneamiento básico, residuos hospitalarios, agua para consumo humano)</t>
  </si>
  <si>
    <t>Porcentaje de acciones de IVC en el departamento de Arauca (sustancias tóxicas)</t>
  </si>
  <si>
    <t>Porcentaje de IPS autorizadas con suministro de medicamentos franja violeta</t>
  </si>
  <si>
    <t xml:space="preserve">Tasa de letalidad y morbilidad por dengue </t>
  </si>
  <si>
    <t>Letalidad dengue</t>
  </si>
  <si>
    <t>Tasa morbilidad malaria</t>
  </si>
  <si>
    <t>Tasa morbilidad leishmania</t>
  </si>
  <si>
    <t>Tasa de morbilidad chagas</t>
  </si>
  <si>
    <t>Porcentaje de municipios con accesibilidad al laboratorio de salud pública fronterizo</t>
  </si>
  <si>
    <t>Porcentaje de municipios con vigilancia de la calidad del agua</t>
  </si>
  <si>
    <t>Porcentaje de vigilancia en la calidad de los alimentos</t>
  </si>
  <si>
    <t>Porcentaje de municipios apoyados por la red de laboratorios</t>
  </si>
  <si>
    <t>Porcentaje de EPS/IPS con verificación en el cumplimiento de las actividades de PyP</t>
  </si>
  <si>
    <t>Porcentaje participación social en salud</t>
  </si>
  <si>
    <t>Porcentaje de PLC con control de la gestión y ejecución</t>
  </si>
  <si>
    <t>Porcentaje captación TB</t>
  </si>
  <si>
    <t>Porcentaje curación TB</t>
  </si>
  <si>
    <t>Tasa de detección lepra</t>
  </si>
  <si>
    <t>Tasa de detección lepra con grado dos de discapacidad</t>
  </si>
  <si>
    <t>Tasa de diagnostico VIH/sida</t>
  </si>
  <si>
    <t>Tasa VIH/SIDA</t>
  </si>
  <si>
    <t>Tasa de captación de gestantes para prueba e Elisa</t>
  </si>
  <si>
    <t>Tasa de VIH/SIDA en RN</t>
  </si>
  <si>
    <t>Tasa de mortalidad  por rabia humana</t>
  </si>
  <si>
    <t xml:space="preserve">Tasa de mortalidad por rabia caninos y/o felinos </t>
  </si>
  <si>
    <t xml:space="preserve">Porcentaje cobertura vacunación de animales (perros y gatos) </t>
  </si>
  <si>
    <t>Porcentaje cobertura de esterilización (perros y gatos)</t>
  </si>
  <si>
    <t>Porcentaje de viviendas controladas (roedores-plaga)</t>
  </si>
  <si>
    <t>Tasa encefalitis equina en humanos</t>
  </si>
  <si>
    <t>Porcentaje de notificación del sistema de vigilancia en salud publica del departamento</t>
  </si>
  <si>
    <t>Numero de municipios que implementan la estrategia de APS</t>
  </si>
  <si>
    <t>0,75 x 1000 (Tosferina)</t>
  </si>
  <si>
    <t>0,30 x 1000 &lt; 5 años (Tosferina)</t>
  </si>
  <si>
    <t>5,07 x 1000 n.v (infantil)</t>
  </si>
  <si>
    <t>0,87 x 1000 n.v (niñez)</t>
  </si>
  <si>
    <t>69,27 x 100.000 nacidos vivos</t>
  </si>
  <si>
    <t>12 X 1000 N.V</t>
  </si>
  <si>
    <t>3.86 índice de COP en el departamento</t>
  </si>
  <si>
    <t>16,47 x 1000 hab</t>
  </si>
  <si>
    <t>0,91 x 1000</t>
  </si>
  <si>
    <t>Tasa mediana 2003 - 2010: 525 casosx100.000 hab</t>
  </si>
  <si>
    <t>12,5 x 100.000 hab</t>
  </si>
  <si>
    <t>4 casos</t>
  </si>
  <si>
    <t>Tasa mediana 2003 - 2010: 4 casos</t>
  </si>
  <si>
    <t>Línea de base 2010 0,7% de prevalencia</t>
  </si>
  <si>
    <t>5,6 x 100.000 hab.</t>
  </si>
  <si>
    <t>1,19 x 100.000hab</t>
  </si>
  <si>
    <t>0,04 x 1000 Hab</t>
  </si>
  <si>
    <t>0,48 x 1000 hab</t>
  </si>
  <si>
    <t>0 x 1000hab</t>
  </si>
  <si>
    <t>0 x 1.000 hab</t>
  </si>
  <si>
    <t>0 x 1.000 animal</t>
  </si>
  <si>
    <t>54%(17373)</t>
  </si>
  <si>
    <t>0 x 1000 hab</t>
  </si>
  <si>
    <t>0,60 x 1000  (Tosferina)</t>
  </si>
  <si>
    <t>0,24 x 1000 &lt; 5 años (Tosferina)</t>
  </si>
  <si>
    <t>4,56 x 1000 n.v (infantil)</t>
  </si>
  <si>
    <t>0,78 x 1000 n.v (niñez)</t>
  </si>
  <si>
    <t>10.8 X 1000 N.V</t>
  </si>
  <si>
    <t>2.3 índice de COP en el departamento</t>
  </si>
  <si>
    <t>15,65 x 1000 hab</t>
  </si>
  <si>
    <t>0,82 x 1000</t>
  </si>
  <si>
    <t>420 casos x 100.000 Hab</t>
  </si>
  <si>
    <t>10 x 100.000 Hab</t>
  </si>
  <si>
    <t>3 casos</t>
  </si>
  <si>
    <t>0,56% de prevalencia</t>
  </si>
  <si>
    <t>0,77 x 100.000 Hab</t>
  </si>
  <si>
    <t>0,052 x 1000 Hab</t>
  </si>
  <si>
    <t>80% (25600)</t>
  </si>
  <si>
    <t>Indice</t>
  </si>
  <si>
    <t xml:space="preserve">Cumplir la normatividad y jurisprudescencia para el goce efectivo de los derechos en salud de la población víctima del desplazamiento forzado y otros hechos victimizantes en los siete municipios del departamento </t>
  </si>
  <si>
    <t xml:space="preserve">Lograr el 100% de la cobertura del régimen subsidiado en la población afrodescendiente elegible </t>
  </si>
  <si>
    <t xml:space="preserve">Realizar seguimiento a las IPS/EPS en el diseño y la implementación del modelo de atención indígena de salud en los seis pueblos indígenas del departamento </t>
  </si>
  <si>
    <t xml:space="preserve">Implementar la política de envejecimiento y vejez con enfoque diferencial en el 100% de los municipios del departamento </t>
  </si>
  <si>
    <t xml:space="preserve">Realizar acciones de promoción del trato digno y prevención de violencias de género en el 100% de municipios del departamento </t>
  </si>
  <si>
    <t>Numero de municipios que cumplen con la normatividad de goce efectivo de los derechos en salud población victima del desplazamiento</t>
  </si>
  <si>
    <t>Porcentaje de población afrodescendiente elegible afiliada al régimen subsidiado del SGSSS en el departamento de Arauca</t>
  </si>
  <si>
    <t>Porcentaje de ips-eps que implementan el modelo de atención indígena</t>
  </si>
  <si>
    <t>Porcentaje de municipios que implementan la política de envejecimiento</t>
  </si>
  <si>
    <t>Porcentaje de municipios con  de promoción del trato digno</t>
  </si>
  <si>
    <t>Promoción social</t>
  </si>
  <si>
    <t>Garantizar la afiliación al SGSSS del 100% de la población en situación de desplazamiento y otros hechos victimizantes</t>
  </si>
  <si>
    <t>Garantizar la atención psicosocial  y atenciòn en salud del 100% de solicitudes de la población en situación de desplazamiento y otros hechos victimizantes</t>
  </si>
  <si>
    <t>Garantizar la atenciòn en salud  a la mujer en situaciòn de desplazamiento y otros hechos victimizantes</t>
  </si>
  <si>
    <t xml:space="preserve">Garantizar la atención en salud al 100% de población afrodescendientes a través de modelos de atención primaria en salud </t>
  </si>
  <si>
    <t xml:space="preserve">Garantizar la atención en salud al 100% de población indígena a través de modelos de atención primaria en salud </t>
  </si>
  <si>
    <t>Implementar la política de envejecimiento y vejez con enfoque diferencial en los siete municipios del departamento de Arauca</t>
  </si>
  <si>
    <t xml:space="preserve">
Realizar acciones de promoción del trato digno y prevención de violencias de género en los siete municipios del departamento de Arauca.
</t>
  </si>
  <si>
    <t xml:space="preserve">Garantizar la atención en salud al 100% de población en proceso de reintegración  y desmovilizada a través de modelos de atención primaria en salud </t>
  </si>
  <si>
    <t>Realizar acciones de rehabilitación basada en comunidad al 50% (4.996) de la población con discapacidad</t>
  </si>
  <si>
    <t>Implementar un (1) programa para la prevenciòn y atenciòn  integral de enfermedades auditivas y visuales en la poblaciòn del Departamento de Arauca</t>
  </si>
  <si>
    <t>Porcentaje de población en situación de desplazamiento y otros hechos victimizantes afiliados al SGSSS</t>
  </si>
  <si>
    <t>Porcentaje de atención psicosocial a población en situación de desplazamiento y otros hechos victimizantes</t>
  </si>
  <si>
    <t>Porcentaje de atenciòn a mujeres en situaiòn de despazamiento y victimas</t>
  </si>
  <si>
    <t>Porcentaje de atención afrodescendiente</t>
  </si>
  <si>
    <t xml:space="preserve">Porcentaje de atención indígenas </t>
  </si>
  <si>
    <t>No. de municipios que implementan la política de envejecimiento y vejez</t>
  </si>
  <si>
    <t>No. de municipios  con acciones de promoción del trato digno</t>
  </si>
  <si>
    <t>Porcentaje de población reinsertada y desmovilizada atendidos</t>
  </si>
  <si>
    <t>Porcentaje de personas con discapacidad beneficiadas</t>
  </si>
  <si>
    <t>No. De  programa de prevenciòn y atenciòn integral implementado</t>
  </si>
  <si>
    <t>30%
(pob: 6900)</t>
  </si>
  <si>
    <t>40%
(pob:9200)</t>
  </si>
  <si>
    <t>30%
(pob:6900)</t>
  </si>
  <si>
    <t>100%
(pob: 23000)</t>
  </si>
  <si>
    <t>30%
(pob: 1490)</t>
  </si>
  <si>
    <t>50%
(pob: 4966)</t>
  </si>
  <si>
    <t xml:space="preserve">Implementar en el 100% de los municipios la política de riesgos profesionales </t>
  </si>
  <si>
    <t>Atender el 100% de la respuesta territorial ante las situaciones de urgencias, emergencias y desastres en el departamento de Arauca</t>
  </si>
  <si>
    <t xml:space="preserve">Porcentaje de municipios con política de riesgos profesionales implementada </t>
  </si>
  <si>
    <t>Porcentaje de atención a emergencias y desastres del departamento</t>
  </si>
  <si>
    <t>Prevención, vigilancia y control de riesgos profesionales</t>
  </si>
  <si>
    <t>Emergencias y desastres</t>
  </si>
  <si>
    <t xml:space="preserve">Realizar un estudio piloto para caracterizar los trabajadores informales en el municipio de Arauca. </t>
  </si>
  <si>
    <t>Verificar en el 100% (7) de los municipios la implementación de la política de riesgos profesionales (salud ocupacional y seguridad industrial)</t>
  </si>
  <si>
    <t>Implementar en el 100% el centro regulador de urgencias, emergencias y desastres en el departamento de Arauca</t>
  </si>
  <si>
    <t>Fortalecer la red de urgencias en los siete municipios del departamento de Arauca</t>
  </si>
  <si>
    <t>No de estudio realizado</t>
  </si>
  <si>
    <t>No. de municipios con verificación de la implementación de política de riesgos profesionales</t>
  </si>
  <si>
    <t>Centro regulador de urgencias, emergencias y desastres implementado</t>
  </si>
  <si>
    <t>No. de municipios fortalecidos con red de urgencias, emergencias y desastres</t>
  </si>
  <si>
    <t>Total Subprogrma</t>
  </si>
  <si>
    <t>Educación, Factor de Conocimiento, Progreso y Ascenso Social</t>
  </si>
  <si>
    <t xml:space="preserve">Ampliar la atención en 6,5% (2.532) niños de 0 y 5 años en el Programa de Atención a la Primera Infancia </t>
  </si>
  <si>
    <t xml:space="preserve">Porcentaje de niños de 0 y 5 años atendidos con programa de atención integral inicial a la primera infancia </t>
  </si>
  <si>
    <t>8.9 % (3.534)</t>
  </si>
  <si>
    <t>15.3% (6.066)</t>
  </si>
  <si>
    <t>Educación inicial</t>
  </si>
  <si>
    <t xml:space="preserve">Beneficiar el 15.3% (6.066) de niños de 0 a 5 años con educación inicial </t>
  </si>
  <si>
    <t xml:space="preserve">Construir, ampliar, terminar y/o mejorar cuatro (04) centros de Desarrollo Integral </t>
  </si>
  <si>
    <t xml:space="preserve">Dotar tres centros de Desarrollo para la atención Integral en el Departamento de Arauca </t>
  </si>
  <si>
    <t>Porcentaje de niños, niñas vinculados a programas de educación inicial</t>
  </si>
  <si>
    <t xml:space="preserve">No. De Centros de Atención Integral Construidos </t>
  </si>
  <si>
    <t>No. de Centros de Atención Integral dotados</t>
  </si>
  <si>
    <t>Educación</t>
  </si>
  <si>
    <t>Secretaria de Educación Departamental</t>
  </si>
  <si>
    <t>Aumentar la cobertura bruta en 660 estudiantes de educación preescolar, básica, secundaria y media</t>
  </si>
  <si>
    <t xml:space="preserve">Disminuir la tasa de deserción escolar en 2 puntos porcentuales
</t>
  </si>
  <si>
    <t>Reducir la tasa de repitencia en 1,5 % para educación básica primaria</t>
  </si>
  <si>
    <t>Reducir la tasa de repitencia en 2% para educación básica secundaria</t>
  </si>
  <si>
    <t>Reducir la tasa de repitencia en 1,5% para educación básica media</t>
  </si>
  <si>
    <t>Disminuir en dos puntos porcentuales el analfabetismo en el Departamento de Arauca</t>
  </si>
  <si>
    <t>Tasa de cobertura bruta en el grado obligatorio de preescolar</t>
  </si>
  <si>
    <t>Tasa bruta de cobertura escolar para educación básica primaria</t>
  </si>
  <si>
    <t>Tasa bruta de cobertura escolar para educación básica secundaria</t>
  </si>
  <si>
    <t>Tasa bruta  de cobertura escolar para educación media</t>
  </si>
  <si>
    <t>Tasa de Deserción escolar interanual de transición a media</t>
  </si>
  <si>
    <t>Tasa de repitencia en educación básica primaria</t>
  </si>
  <si>
    <t>Tasa de repitencia en educación básica secundaria</t>
  </si>
  <si>
    <t>Tasa de repitencia en educación media</t>
  </si>
  <si>
    <t>Tasa de Analfabetismo</t>
  </si>
  <si>
    <t xml:space="preserve">Acceso y permanencia para la educación </t>
  </si>
  <si>
    <t xml:space="preserve">Diseñar, construir y/o adecuar la infraestructura física de 54 Establecimientos Educativos de la zona Urbana y Rural </t>
  </si>
  <si>
    <t xml:space="preserve">Adquirir y/o legalizar los predios de 282 sedes de Establecimientos Educativos de la zona Urbana y Rural  </t>
  </si>
  <si>
    <t>Dotar 60 Establecimientos Educativos de la zona Urbana y Rural con los insumos necesarios para desarrollar el proceso Educativo</t>
  </si>
  <si>
    <t>Beneficiar a 2,000 estudiantes de educación preescolar, básica y media con modelos educativos flexibles, mediante el proyecto PER II</t>
  </si>
  <si>
    <t>Formar a 2,000 estudiantes en competencias laborales o para el trabajo.</t>
  </si>
  <si>
    <t>Beneficiar a 40.000 Estudiantes con alimentación escolar</t>
  </si>
  <si>
    <t xml:space="preserve">Beneficiar a 6,000 estudiantes con transporte escolar del área rural </t>
  </si>
  <si>
    <t>Beneficiar a 3000 personas con programas de Alfabetización mediante el modelo A CRECER</t>
  </si>
  <si>
    <t>No. De Establecimientos Educativos construidos y/o adecuados</t>
  </si>
  <si>
    <t>No. Establecimientos Educativos con predios legalizados</t>
  </si>
  <si>
    <t>No. Establecimientos Educativos dotados</t>
  </si>
  <si>
    <t>No. De estudiantes beneficiados</t>
  </si>
  <si>
    <t>No. De Estudiantes Formados</t>
  </si>
  <si>
    <t>No. Estudiantes beneficiados</t>
  </si>
  <si>
    <t>No. De personas alfabetizadas</t>
  </si>
  <si>
    <t>Lograr  que el 50% de los alumnos ubicados en el nivel medio de las pruebas SABER   alcancen el nivel Alto</t>
  </si>
  <si>
    <t>Fomentar el acceso a la educación del 40% de los alumnos egresados de las Instituciones educativas</t>
  </si>
  <si>
    <t>Número de alumnos de quinto grado con puntaje promedio alto en las pruebas SABER</t>
  </si>
  <si>
    <t>Número de alumnos de noveno grado con puntaje promedio alto en las pruebas SABER</t>
  </si>
  <si>
    <t>Número de alumnos con puntaje promedio alto en las pruebas SABER 11</t>
  </si>
  <si>
    <t>Porcentaje de estudiantes que acceden a la educación superior</t>
  </si>
  <si>
    <t>Mejor Desempeño, mejor Resultado</t>
  </si>
  <si>
    <t xml:space="preserve">Formar a 1200 docentes en la estrategia de aplicación de las pruebas SABER </t>
  </si>
  <si>
    <t>Formular, aprobar e implementar el Plan de Educación Rural Departamental</t>
  </si>
  <si>
    <t xml:space="preserve">Apoyar a 300 niños y jóvenes con el programa de Atención a Población con Necesidades Educativas Especiales en el departamento
</t>
  </si>
  <si>
    <t>Implementar las redes de conocimiento para el mejoramiento de las practicas pedagogicas de las diferentes areas del conocimiento mediante el uso de contenidos, metodologias y MTICs,</t>
  </si>
  <si>
    <t>Adoptar e implementar una política de estímulos para premiar los buenos resultados académicos de los estudiantes</t>
  </si>
  <si>
    <t>Fortalecer 14 instituciones educativas del departamento para que  articulen la Educación media con la Educación superior</t>
  </si>
  <si>
    <t xml:space="preserve">Articular en las 66 Instituciones y Centro Educativos  la implementación de los programas (áreas disciplinarias, proyectos obligatorios, Jornadas escolares complementarias y especiales) del MEN en el Departamento.
</t>
  </si>
  <si>
    <t xml:space="preserve">Apoyar y fomentar el acceso a la educación superior como mìnimo de  284 estudiantes </t>
  </si>
  <si>
    <t>Gestionar la construcciòn ante el gobierno nacional la construcciòn de los laboratorios de la UN sede Orinoquia</t>
  </si>
  <si>
    <t>Gestionar la Construccciòn ante el Gobierno Nacional de la sede de la Universidad Nacional Abierta y a Distancia en el Municipio de Arauquita</t>
  </si>
  <si>
    <t>Gestionar la categorizaciòn para que la sede de la ESAP Arauca se convierta en una territorial</t>
  </si>
  <si>
    <t>No. de docentes capacitados</t>
  </si>
  <si>
    <t>Plan de Educación Departamental implementado</t>
  </si>
  <si>
    <t>No. de niños y jóvenes apoyados con el servicio educativo</t>
  </si>
  <si>
    <t>No. de red del conocimiento Implementada</t>
  </si>
  <si>
    <t>No. de política de estímulos adoptadas e implementadas</t>
  </si>
  <si>
    <t>No. instituciones educativas beneficiadas</t>
  </si>
  <si>
    <t xml:space="preserve">No. de Instituciones y Centros Educativas en las que se articularon los programas </t>
  </si>
  <si>
    <t>No. de estudiantes beneficiados con educación superior</t>
  </si>
  <si>
    <t>Construcciòn de Laboratorios de UN sede Orinoquia Gestionadas</t>
  </si>
  <si>
    <t>Construcciòn d el asede de la Universidad Nacional Abierta y a distancia gestionada</t>
  </si>
  <si>
    <t>Categorizaciòn de la sede ESAP gestionada</t>
  </si>
  <si>
    <t>Incorporar en las 43 Instituciones y 19 CEAR  la Cultura del emprendimiento, investigación, innovación y uso de medios y tics</t>
  </si>
  <si>
    <t>No. de instituciones y Centros Educativos con programas de emprendimiento, investigación, innovación y uso de medios y tics implementados</t>
  </si>
  <si>
    <t>Educación con pertinencia</t>
  </si>
  <si>
    <t>Apoyar  la formulación de un (1) currículo binacional Arauca-Apure</t>
  </si>
  <si>
    <t>Implementar la cátedra de emprendimiento y crear e implementar la de Investigación en las 43 instituciones educativas del departamento.</t>
  </si>
  <si>
    <t>Implementar en 22 Sedes Educativas el nuevo diseño de conectividad del departamento de Arauca (conexión Total MEN)</t>
  </si>
  <si>
    <t>Ampliar la cobertura de la conectividad  a través del Programa Red Arauca en  11  Instituciones Educativas y 9 CEAR del Departamento</t>
  </si>
  <si>
    <t>Crear, dotar e implementar un centro de desarrollo tecnológico en una institución educativa</t>
  </si>
  <si>
    <t>Dotar a los 19 CEAR y 10 Instituciones Educativas con materiales audio visuales y nuevas tecnologías</t>
  </si>
  <si>
    <t>Implementar una (1) estrategia que fomente y desarrolle la capacidad de adopción de otro idioma en las instituciones educativas</t>
  </si>
  <si>
    <t>Un (1) currículo binacional Arauca-Apure formulado</t>
  </si>
  <si>
    <t>Cátedra de Investigación y de emprendimiento implementadas en todas las I.E</t>
  </si>
  <si>
    <t>No. de instituciones y centros educativos con servicios de conectividad en el programa de conexión total del MEN</t>
  </si>
  <si>
    <t>No. de instituciones y centros educativos con servicios de conectividad en la RED ARAUCA</t>
  </si>
  <si>
    <t xml:space="preserve">Centro de Desarrollo tecnológico creado en la Institución educativa </t>
  </si>
  <si>
    <t>No. De CEAR e Instituciones Educativas dotadas.</t>
  </si>
  <si>
    <t>No de estrategia implementada</t>
  </si>
  <si>
    <t>32 IE 
y 0 CEAR</t>
  </si>
  <si>
    <t>44 y 9</t>
  </si>
  <si>
    <t>12 y 9</t>
  </si>
  <si>
    <t>Certificar en gestión de calidad dos proceso SED dentro la implementación del proceso de modernización</t>
  </si>
  <si>
    <t>No. Procesos certificados</t>
  </si>
  <si>
    <t>Eficiencia y modernización del sector educativo</t>
  </si>
  <si>
    <t>Garantizar la eficiencia, operación y prestación del servicio educativo en el 100% de las instituciones y centros educativos del Departamento de Arauca</t>
  </si>
  <si>
    <t>Porcentaje de instituciones y centros educativos que prestan eficientemente el servicio educativo</t>
  </si>
  <si>
    <t>49 Instituciones educativas
19 CEARES</t>
  </si>
  <si>
    <t>Gestión deportiva</t>
  </si>
  <si>
    <t>Vincular a un 8% de la población araucana en los programas y servicios de recreación, deporte, actividad física y aprovechamiento del tiempo libre</t>
  </si>
  <si>
    <t xml:space="preserve">Porcentaje de la población araucana  vinculada a los programas de recreación, deporte, actividad física y aprovechamiento del tiempo libre </t>
  </si>
  <si>
    <t>Recreación y deporte formativo</t>
  </si>
  <si>
    <t>Realizar cuatro (4) programas integrales de formación deportiva y recreativa</t>
  </si>
  <si>
    <t xml:space="preserve">Beneficiar a 5.000 niñas, niños y adolescentes de 5 a 17 años con actividades deportivas y recreativas </t>
  </si>
  <si>
    <t xml:space="preserve">Realizar cuatro (4) programas integrales lúdicos recreativos para la promoción del juego en la primera infancia, niñez, adolescencia y juventud </t>
  </si>
  <si>
    <t>No. de programas realizados</t>
  </si>
  <si>
    <t>No. de niños, niñas y adolescentes de 5 a 17 años con programas de recreación y deporte</t>
  </si>
  <si>
    <t>Coldeportes Arauca</t>
  </si>
  <si>
    <t>Otros</t>
  </si>
  <si>
    <t>Niñez, Infancia, Adolescencia</t>
  </si>
  <si>
    <t>Deporte asociado y competitivo</t>
  </si>
  <si>
    <t>Apoyar las once (11) ligas de deporte asociado y competitivo en el departamento de Arauca</t>
  </si>
  <si>
    <t>No. de ligas de deporte asociado y competitivo apoyadas</t>
  </si>
  <si>
    <t>Infraestructura deportiva</t>
  </si>
  <si>
    <t>Adecuar y/o construir 8 escenarios deportivos</t>
  </si>
  <si>
    <t>No. de escenarios deportivos adecuados y/o construidos</t>
  </si>
  <si>
    <t>Deporte Y Recreación</t>
  </si>
  <si>
    <t>Desarrollo cultural</t>
  </si>
  <si>
    <t xml:space="preserve">Impulsar procesos de lectura y escritura en el Departamento </t>
  </si>
  <si>
    <t>No. Personas que utilizan procesos de lectura y escritura</t>
  </si>
  <si>
    <t>PD</t>
  </si>
  <si>
    <t>Formación cultural</t>
  </si>
  <si>
    <t>Fortalecer y operativizar la red de bibliotecas públicas del departamento de Arauca</t>
  </si>
  <si>
    <t>Apoyar 04 actividades que promuevan la asistencia de 3.640 (5%) niños, niñas y adolescentes entre 5 a 17 años a las bibliotecas municipales</t>
  </si>
  <si>
    <t>Promover 1 estrategia de lectura y escritura ciudadana</t>
  </si>
  <si>
    <t>No. de bibliotecas publicas fortalecidas y operativizadas</t>
  </si>
  <si>
    <t>No. de personas entre 5 a 17 años que asisten a bibliotecas</t>
  </si>
  <si>
    <t>No. de estrategias promovidas</t>
  </si>
  <si>
    <t>Oficina Asesora de Cultura y  Turismo</t>
  </si>
  <si>
    <t>Fortalecer el Sistema Departamental de cultura</t>
  </si>
  <si>
    <t>Fomentar la Formación Artística y Cultural y la conciencia ciudadana en el Departamento de Arauca</t>
  </si>
  <si>
    <t>Fomentar la Creación Artística y Cultural en el Departamento de Arauca</t>
  </si>
  <si>
    <t xml:space="preserve">Impulsar la imagen positiva del Departamento </t>
  </si>
  <si>
    <t>Sistema Departamental fortalecido</t>
  </si>
  <si>
    <t>No. De Personas formadas artística y culturalmente</t>
  </si>
  <si>
    <t>No. De estímulos proporcionados</t>
  </si>
  <si>
    <t>No. de eventos realizados</t>
  </si>
  <si>
    <t>Arte y cultura</t>
  </si>
  <si>
    <t>Desarrollar un programa de identificación y promoción de organizaciones culturales</t>
  </si>
  <si>
    <t>Formar a cuatro mil (4000) personas en procesos de capacitación cultural</t>
  </si>
  <si>
    <t>Desarrollar seis (6) programas para proporcionar estímulos a creadores, artesanos y gestores (adquisición de bienes y servicios culturales)</t>
  </si>
  <si>
    <t>Realizar cuatro (4) convocatorias de estímulos a creadores culturales</t>
  </si>
  <si>
    <t xml:space="preserve">Realizar treinta (30) iniciativas y/o actividades que promoción de la identidad y las tradiciones  culturales  del departamento </t>
  </si>
  <si>
    <t xml:space="preserve">Beneficiar a 25.000 niños, niñas y adolescentes entre 0 a 17 años con programas artísticos y culturales </t>
  </si>
  <si>
    <t>Promocion, difusión y posicionamiento de la imagen cultural y turistica del Departamento a través de la implementación de un programa de marketing territorial que fomente el desarrollo integral con oferta de bienes y servicios</t>
  </si>
  <si>
    <t xml:space="preserve">Realizar cuatro (4) programas para el apoyo y desarrollo de eventos y manifestaciones culturales y/o fiestas patronales, folclor llanero y demás manifestaciones multiculturales y artísticas de la región. </t>
  </si>
  <si>
    <t>No. de programas desarrollados</t>
  </si>
  <si>
    <t>No. de personas formadas</t>
  </si>
  <si>
    <t>No. de convocatorias realizadas</t>
  </si>
  <si>
    <t>No. iniciativas y/o actividades realizadas</t>
  </si>
  <si>
    <t>No. de personas beneficiadas de con programas artísticos o culturales de 0 a 17 años</t>
  </si>
  <si>
    <t>No. Programa implementado</t>
  </si>
  <si>
    <t>No. de programas y/o manifestaciones realizadas</t>
  </si>
  <si>
    <t>Fortalecer la apropiación social del patrimonio cultural</t>
  </si>
  <si>
    <t>No. De bienes de interés y patrimonio  cultural   mejorados</t>
  </si>
  <si>
    <t>Patrimonio cultural</t>
  </si>
  <si>
    <t>Realizar cuatro (4) iniciativas para fortalecer el patrimonio cultural material e inmaterial del departamento de Arauca</t>
  </si>
  <si>
    <t>No. de iniciativas realizadas</t>
  </si>
  <si>
    <t>Infraestructura cultural</t>
  </si>
  <si>
    <t>Mejorar siete (7) infraestructura, escenarios  culturales y/o bibliotecas</t>
  </si>
  <si>
    <t>No. de infraestructuras mejoradas</t>
  </si>
  <si>
    <t>Ciudades Amables con Resultados</t>
  </si>
  <si>
    <t>Aumentar en un 350% el número de hogares del departamento de Arauca con viviendas propias en condiciones dignas, a través de la cofinanciación de proyectos y la asignación de recursos complementarios.</t>
  </si>
  <si>
    <t>Hogares con viviendas en condiciones habitacionales adecuadas</t>
  </si>
  <si>
    <t xml:space="preserve">Vivienda </t>
  </si>
  <si>
    <t>Diseñar de manera articulada con los municipios 1700 soluciones de vivienda de interés prioritaria nueva en el Departamento de Arauca</t>
  </si>
  <si>
    <t>Permitir a 2400 familias del Departamento acceder a soluciones de vivienda propia (Vivienda Urbana 400, Casa en sitio propio 500, 1500 predios legalizados)</t>
  </si>
  <si>
    <t>Gestionar y promover el acceso a vivienda digna a 3500 familias</t>
  </si>
  <si>
    <t>Permitir a 1900 familias victimas del desplazamiento forzado y otros hechos victimizantes  en el Departamento acceder soluciones de vivienda propia (Vivienda nueva 1200, Vivienda Usada 700)</t>
  </si>
  <si>
    <t>Permitir a 1200 familias del Departamento acceder soluciones de mejoramiento de vivienda</t>
  </si>
  <si>
    <t>Adquirir 35 Hectáreas para el desarrollo de proyectos de vivienda de interés prioritario nuevas</t>
  </si>
  <si>
    <t>Adecuar 35 Hectáreas para el desarrollo de proyectos de vivienda de interés prioritario nuevas</t>
  </si>
  <si>
    <t>No. De viviendas diseñadas</t>
  </si>
  <si>
    <t>No. de Familias  beneficiarias que acceden a vivienda digna</t>
  </si>
  <si>
    <t>No. De familias beneficiadas que acceden a vivienda digna</t>
  </si>
  <si>
    <t>No. de Familias victimas del desplazamiento forzado y otros hechos victimizantes beneficiarias de recursos complementarios para adquisición de vivienda asignados por el Departamento.</t>
  </si>
  <si>
    <t>No. de Familias beneficiarias que acceden a proyectos de mejoramiento de vivienda</t>
  </si>
  <si>
    <t>No. de Hectáreas adquiridas para el desarrollo de proyectos de vivienda</t>
  </si>
  <si>
    <t>No. de Hectáreas adecuadas para el desarrollo de proyectos de vivienda</t>
  </si>
  <si>
    <t>160 Viviendas ( 80 VIP Urbana y 80 Casa Sitio Propio)</t>
  </si>
  <si>
    <t>172 Viviendas ( 112 Vivienda Nueva y 60 Vivienda Usada)</t>
  </si>
  <si>
    <t>Vivienda</t>
  </si>
  <si>
    <t xml:space="preserve">Optimizar y ampliar en un 1%  la cobertura y calidad del servicio de acueducto en la zona urbana </t>
  </si>
  <si>
    <t>No. de viviendas beneficiadas con el servicio de acueducto en la zona urbana</t>
  </si>
  <si>
    <t>Agua, para una mejor calidad de vida</t>
  </si>
  <si>
    <t>Incrementar la capacidad administrativa y operativa de cuatro (4) prestadores de los servicios públicos</t>
  </si>
  <si>
    <t>No. de prestadores de servicios del sector con plan estratégico implementado</t>
  </si>
  <si>
    <t xml:space="preserve">Apoyar la optimización de siete (7) sistemas de acueducto en el área urbana de los municipios del departamento </t>
  </si>
  <si>
    <t>Diseñar e implementar un (1) plan estratégico para el fortalecimiento de la capacidad administrativa y operativa de los prestadores de servicios de los siete (7) Municipios</t>
  </si>
  <si>
    <t>No.  sistemas de acueductos apoyados</t>
  </si>
  <si>
    <t xml:space="preserve">Plan estratégico implementado </t>
  </si>
  <si>
    <t>Agua Potable Y Saneamiento Básico  (Sin Incluir Proyectos De Vis)</t>
  </si>
  <si>
    <t>Optimizar la cobertura y calidad del servicio de alcantarillado sanitario en un 5% en la zona urbana</t>
  </si>
  <si>
    <t>Incrementar en un 5% la cobertura de alcantarillado pluvial</t>
  </si>
  <si>
    <t>No de viviendas con el servicio de alcantarillado sanitario</t>
  </si>
  <si>
    <t xml:space="preserve">% Metros lineales de alcantarillado pluvial </t>
  </si>
  <si>
    <t>Gestión de los residuos líquidos</t>
  </si>
  <si>
    <t xml:space="preserve">Apoyar la ampliación y optimización siete (7) sistemas de tratamiento de las aguas residuales en el área urbana de los municipios del departamento </t>
  </si>
  <si>
    <t xml:space="preserve">Construir, ampliar y optimizar 20.000 metros lineales de red de alcantarillado pluvial </t>
  </si>
  <si>
    <t>No. de sistemas de alcantarillado sanitario optimizados</t>
  </si>
  <si>
    <t xml:space="preserve">No. de metros de red de alcantarillado pluvial </t>
  </si>
  <si>
    <t>Incrementar en un 7% la cobertura del servicio de aseo</t>
  </si>
  <si>
    <t>Aumentar 1500 el número de metros cuadrados de espacio público</t>
  </si>
  <si>
    <t>Aumentar en 2500 usuarios la cobertura del servicio de energía</t>
  </si>
  <si>
    <t>Disminuir en un 3% el porcentaje de perdidas técnicas en el sistema eléctrico Departamental</t>
  </si>
  <si>
    <t xml:space="preserve">Lograr el 10% de utilidad financiera de la empresa de Energía </t>
  </si>
  <si>
    <t>No. de viviendas con el servicio de aseo</t>
  </si>
  <si>
    <t>Porcentaje de heridos y  muertos en accidentes de tránsito</t>
  </si>
  <si>
    <t>Porcentaje de accidentes de tránsito disminuido</t>
  </si>
  <si>
    <t>No. De metros cuadrados de espacio público</t>
  </si>
  <si>
    <t xml:space="preserve">Número de usuarios nuevos con el servicio de energía eléctrica </t>
  </si>
  <si>
    <t>Porcentaje de perdidas técnicas en el sistema eléctrico Departamental</t>
  </si>
  <si>
    <t xml:space="preserve">Porcentaje de utilidad como resultado de operación de comercialización de energía </t>
  </si>
  <si>
    <t>51 Muertos y 382 Heridos en el 2011</t>
  </si>
  <si>
    <t>46 muertos y 244 heridos</t>
  </si>
  <si>
    <t>Manejo integral de los residuos sólidos</t>
  </si>
  <si>
    <t>Tránsito</t>
  </si>
  <si>
    <t>Desarrollo Urbano (Equipamientos y espacio público)</t>
  </si>
  <si>
    <t>Energía</t>
  </si>
  <si>
    <t xml:space="preserve">Apoyar la ampliación y  optimización de  tres (3) rellenos regionales para el tratamiento y disposición final de los residuos sólidos </t>
  </si>
  <si>
    <t xml:space="preserve">Optimizar el sistema de tratamiento y disposición final de residuos sólidos existente en los municipios de Cavo norte y Puerto Rondón </t>
  </si>
  <si>
    <t>Semaforizar 20 intersecciones/instalar 2200 señales de tránsito/demarcar 350000 ML de vías</t>
  </si>
  <si>
    <t>Prevenir la accidentalidad mediante la implementación de 05 estrategias integrales accidentalidad vial</t>
  </si>
  <si>
    <t>Mejorar en un 30% la infraestructura física, tecnológica y equipos requeridos para la prevención y atención de la accidentalidad</t>
  </si>
  <si>
    <t>Apoyar la construcción, adecuación y/o terminación de la infraestructura física de 3 equipamientos colectivos</t>
  </si>
  <si>
    <t>Apoyar la construcciòn, adecuaciòn y/o mejoramiento de 3 espacios públicos en el departamento de Arauca</t>
  </si>
  <si>
    <t>Gestionar la construcciòn de mìnimo tres (3) puentes peatonales</t>
  </si>
  <si>
    <t>Electrificar 8 nuevos proyectos de vivienda de interés social en el departamento</t>
  </si>
  <si>
    <t>Incrementar en 1500 el número de usuarios atendidos con el servicio de energía en el área urbana</t>
  </si>
  <si>
    <t>Desarrollar 3 campañas de ahorro y uso eficiente de la energía eléctrica anuales</t>
  </si>
  <si>
    <t>Apoyar el cumplimiento anualmente del  80% del plan de mantenimiento del sistema Eléctrico Departamental</t>
  </si>
  <si>
    <t xml:space="preserve">Legalizar 1000 usuarios </t>
  </si>
  <si>
    <t>Normalizar 18 km de redes de distribución en el sistema de distribución local</t>
  </si>
  <si>
    <t>Reducir un 10 %  de los costos de operación</t>
  </si>
  <si>
    <t>Recuperar el 30% de la cartera</t>
  </si>
  <si>
    <t>Mejorar en un 30% la capacidad institucional y mejor gestión de la empresa ENELAR</t>
  </si>
  <si>
    <t>No. de rellenos ampliados y optimizados</t>
  </si>
  <si>
    <t xml:space="preserve">No. de sistemas de tratamiento y disposición final de residuos sólidos optimizados </t>
  </si>
  <si>
    <t xml:space="preserve">No. de Intersecciones semaforizadas/ No. de señales instaladas/ML de vías demarcadas </t>
  </si>
  <si>
    <t>No. de estrategias integrales implementadas</t>
  </si>
  <si>
    <t>Porcentaje de infraestructura mejorada</t>
  </si>
  <si>
    <t>No. Equipamientos colectivos  construidos y/o adecuados</t>
  </si>
  <si>
    <t>No. de espacios públicos adecuados, mejorados y/ocosntruidos</t>
  </si>
  <si>
    <t>No. De puentes gestionados y construidos</t>
  </si>
  <si>
    <t xml:space="preserve">No. de nuevos proyectos V.I.S electrificados </t>
  </si>
  <si>
    <t>No. de usuarios nuevos con el servicio de energía eléctrica en el área urbana</t>
  </si>
  <si>
    <t>No. de campañas realizadas</t>
  </si>
  <si>
    <t>Porcentaje de cumplimiento del plan de mantenimiento del sistema eléctrico departamental</t>
  </si>
  <si>
    <t>No. de usuarios legalizados</t>
  </si>
  <si>
    <t>No. de km de redes de distribución normalizadas</t>
  </si>
  <si>
    <t>Costos de operación y mantenimiento ENELAR E.S.P</t>
  </si>
  <si>
    <t>Valor cartera ENELAR E.S.P</t>
  </si>
  <si>
    <t>Porcentaje de la capacidad operativa y administrativa</t>
  </si>
  <si>
    <t>8 intersecciones semaforizadas/ 925 señales instaladas/ 130.500 ML demarcados</t>
  </si>
  <si>
    <t>11 intersecciones semaforizadas/ 740 señales instaladas/ 140.000 ML demarcados</t>
  </si>
  <si>
    <t>Instituto De Tránsito Y Transporte De Arauca</t>
  </si>
  <si>
    <t xml:space="preserve">Equipamiento </t>
  </si>
  <si>
    <t>Protección a la infancia, adolescencia y juventud</t>
  </si>
  <si>
    <t>Garantizar la Formulación e Implementación de la Política Pública Departamental de Niñez, Adolescencia y juventud del Departamento y brindar asistencia técnica a los 7 municipios</t>
  </si>
  <si>
    <t>Número de Políticas Públicas Departamental formuladas, adoptadas e implementadas</t>
  </si>
  <si>
    <t>Atención integral de la primera infancia</t>
  </si>
  <si>
    <t>Apoyar la implementación del 50% de la política pública de Atención a la primera infancia</t>
  </si>
  <si>
    <t>Cofinanciar la implementación del programa de atención integral de la primera infancia - De cero a siempre</t>
  </si>
  <si>
    <t>Apoyar el aumento en un 2% el número de niños de 0 a 5 años que cuentan con registro civil</t>
  </si>
  <si>
    <t>Realizar 12 acciones para promover la denuncia de casos de abuso sexual, Violencia intrafamiliar y maltrato en niños de 0 a 5 años</t>
  </si>
  <si>
    <t>Beneficiar anualmente al 50% (19.876 total de la población) de niños y niñas de 0 a 5 años  con programas lúdicos fomentando la promoción de pautas de crianza</t>
  </si>
  <si>
    <t>Desarrollar en el 30% de niñas y niños de 0-5 años habilidades cognitivas y de intervención emocional</t>
  </si>
  <si>
    <t xml:space="preserve">Apoyar la generación de espacios afectuosos de lactancia materna con la adecuación de 01 (un) entorno </t>
  </si>
  <si>
    <t>Porcentaje de la política publica implementada</t>
  </si>
  <si>
    <t>Programa de atención integral cofinanciado</t>
  </si>
  <si>
    <t>Porcentaje de niños (as) que cuentan con registro civil entre los 0 y 5 años</t>
  </si>
  <si>
    <t>No. de acciones realizadas</t>
  </si>
  <si>
    <t>No. de niños y niñas de 0 a 5 años vinculados a programas lúdicos</t>
  </si>
  <si>
    <t>Porcentaje de niños y niñas beneficiados</t>
  </si>
  <si>
    <t>No. de espacios para lactancia materna</t>
  </si>
  <si>
    <t>SD</t>
  </si>
  <si>
    <t>30% (11,925)</t>
  </si>
  <si>
    <t>Atención A Grupos Vulnerables - Promoción Social</t>
  </si>
  <si>
    <t>Protección integral de la niñez y adolescencia</t>
  </si>
  <si>
    <t>Desarrollo de la juventud</t>
  </si>
  <si>
    <t>Implementar en un 50% la política pública de niñez y adolescencia por ciclo de vida y enfoque diferencial</t>
  </si>
  <si>
    <t xml:space="preserve">Realizar 4 jornadas interinstitucionales a nivel departamental para garantizar que NNA cuenten con tarjeta de identidad del sector urbano y rural </t>
  </si>
  <si>
    <t>Realizar 16 acciones para promover la denuncia de casos de abuso sexual, reclutamiento forzado, ESCNNA, Violencia intrafamiliar y maltrato en niños de 6-17 años</t>
  </si>
  <si>
    <t>Sensibilizar y Operativizar la articulación del Sistema Nacional de Bienestar Familiar con los 08 Consejos de Política Social (CPS)</t>
  </si>
  <si>
    <t>Actualizar y poner en operación permanente la plataforma única de información (observatorio de infancia, adolescencia, juventud y familia)</t>
  </si>
  <si>
    <t>Implementar 08 acciones para prevenir la vinculación de niños, adolescentes en grupos armados</t>
  </si>
  <si>
    <t>Implementar cuatro (4) programas integrales de sensibilización en las rutas y líneas de prevención de la ESCNNA, abuso sexual, maltrato, reclutamiento forzado y peores formas de trabajo infantil</t>
  </si>
  <si>
    <t>Apoyar a 300 jóvenes con proyectos de emprendimiento productivo  a travès del Fondo Emprender entre otras estrategias</t>
  </si>
  <si>
    <t>Implementar la política pública de Juventud en un 50% por ciclo de vida y enfoque diferencial en cada uno de los municipios en alianza con Colombia Joven</t>
  </si>
  <si>
    <t xml:space="preserve">Fomentar la organización y formación de doce (12) veedurías de jóvenes y adolescentes </t>
  </si>
  <si>
    <t>Realizar la Rendición Pública de Cuentas anual en el tema de Infancia, adolescencia y juventud</t>
  </si>
  <si>
    <t>Apoyar y coordinar intersectorialmente la implementación de un (1) plan de acción para la prevención del consumo y atención a niños,  jóvenes y adultos consumidores de sustancias psicoactivas</t>
  </si>
  <si>
    <t>Apoyar la conformación y fortalecimiento del 100% de los Consejos Municipales y del departamento en el tema de juventud</t>
  </si>
  <si>
    <t>Realizar 4 jornadas interinstitucionales para garantizar que los jóvenes incluidos en el RUPD definan su situación militar del sector urbano y rural</t>
  </si>
  <si>
    <t>Porcentaje de la Política pública implementada</t>
  </si>
  <si>
    <t>No. de jornadas interinstitucionales realizadas</t>
  </si>
  <si>
    <t>No. de CPS sensibilizados y operativizados</t>
  </si>
  <si>
    <t xml:space="preserve">Observatorio de Niñez, Adolescencia, Juventud y Familia actualizado y Operando </t>
  </si>
  <si>
    <t>No. de acciones implementadas</t>
  </si>
  <si>
    <t>No. de programas integrales implementados</t>
  </si>
  <si>
    <t>No. de jóvenes beneficiados</t>
  </si>
  <si>
    <t>Porcentaje política pública de juventud implementada</t>
  </si>
  <si>
    <t>No. de veedurías conformadas de jóvenes</t>
  </si>
  <si>
    <t>No. de rendiciones Públicas de Cuentas realizas durante el cuatrienio</t>
  </si>
  <si>
    <t>No.de planes de acción diseñados y ejecutados</t>
  </si>
  <si>
    <t>Porcentaje de Consejos Municipales y detal conformados y fortalecidos</t>
  </si>
  <si>
    <t>Equidad social</t>
  </si>
  <si>
    <t xml:space="preserve">Lograr que el 30%(4.432) de las familias identificadas  a través de la estrategia UNIDOS superen su situación de pobreza extrema </t>
  </si>
  <si>
    <t>Garantizar que el 20% de la población de mujeres sean incluidas dentro de los programas y proyectos del orden nacional y departamental que propendan por la equidad de género, autonomía y empoderamiento de la mujer y a una vida libre de violencias</t>
  </si>
  <si>
    <t>Garantizar la asistencia, atencion, reparacion integral del 20% de la población víctima del desplazamiento forzado y otros hechos victimizantes bajo los principios de concurrencia, subsidiaridad y complementariedad en el departamento de Arauca</t>
  </si>
  <si>
    <t>Gestionar la consolidación del territorio propio en cantidad y calidad al 100% de las comunidades indígenas del departamento de Arauca</t>
  </si>
  <si>
    <t>Fortalecer 6 lenguas de 6(PUEBLOS) indígenas.</t>
  </si>
  <si>
    <t>Fortalecer la etnoeducación Indígena en los seis (6) pueblos indígenas del Departamento de Arauca- Aumentar la cobertura de educación básica y media vocacional de la población indígena del departamento de Arauca</t>
  </si>
  <si>
    <t>Garantizar que el 100% de las familias cuenten con un programa de seguridad alimentaria durante el período de gobierno que reduzca en la mitad el nivel de desnutrición</t>
  </si>
  <si>
    <t>Garantizar que el 100% de la población indígena del departamento de Arauca se encuentre afiliada a una EPS Y SEA BENEFICIADA DE LOS PROGRAMAS DE SALUD PÚBLICA durante el periodo de gobiernos</t>
  </si>
  <si>
    <t>Garantizar el goce efectivos de los derechos de la niñez, la mujer y los sabios ancianos</t>
  </si>
  <si>
    <t>Beneficiar al 50% de la población Afrodescendientes con acciones afirmativas en el marco de la ejecución de la política pública y de sus proyectos</t>
  </si>
  <si>
    <t>Adoptar la política pública de discapacidad, concluir los ejes faltantes e implementarla en un 15% a nivel departamental, mediante articulación con los diferentes sectores, en los siete (7) municipios, durante el cuatrienio</t>
  </si>
  <si>
    <t>Garantizar que el 20% de los adultos mayores del departamento, logren el mejoramiento de su calidad de vida</t>
  </si>
  <si>
    <t>Garantizar que el 10% de la población LGBTI sean incluidos dentro de los programas y proyectos del orden nacional y departamental para promover el respeto y garantía plena de los derechos de la población LGBTI</t>
  </si>
  <si>
    <t>Porcentaje de familias beneficiadas</t>
  </si>
  <si>
    <t>% mujeres incluidas dentro de los programas del orden nacional y departamental</t>
  </si>
  <si>
    <t>Porcentaje de personas o miembros de familias víctima atendidos</t>
  </si>
  <si>
    <t>Porcentaje de comunidades indígenas del departamento de Arauca que cuentan con un territorio propio y digno</t>
  </si>
  <si>
    <t>No de lenguas (PUEBLOS) indígenas que has sido fortalecidas</t>
  </si>
  <si>
    <t xml:space="preserve">No. de pueblos indígenas fortalecidos </t>
  </si>
  <si>
    <t xml:space="preserve">No. de familias beneficiadas con un programa de seguridad alimentaria </t>
  </si>
  <si>
    <t>% de la comunidad indígena que se encuentra afiliada al SSSSP y % de población indígena beneficiada de los programas de salud pública durante el período de gobierno</t>
  </si>
  <si>
    <t>No. de programas que garanticen el goce efectivos de los derechos de la niñez, la mujer y los sabios ancianos</t>
  </si>
  <si>
    <t>Porcentaje de población Afrodescendientes beneficiada</t>
  </si>
  <si>
    <t>Política pública adoptada, complementada e implementada</t>
  </si>
  <si>
    <t>Porcentaje de adultos beneficiados</t>
  </si>
  <si>
    <t>Porcentaje de población incluida</t>
  </si>
  <si>
    <t>40 % adoptada y 15% implementada</t>
  </si>
  <si>
    <t>100% adoptada y concluida y 15% implementado</t>
  </si>
  <si>
    <t>Pobreza extrema</t>
  </si>
  <si>
    <t>Equidad de género y atención de la mujer</t>
  </si>
  <si>
    <t>Protección integral de la Familia Araucana</t>
  </si>
  <si>
    <t>Protección integral de las víctimas</t>
  </si>
  <si>
    <t xml:space="preserve">Diseñar e implementar 1 Programa de generación de trabajo asociativo para mujeres de la zona urbana y rural </t>
  </si>
  <si>
    <t>Promover siete (7) proyectos en emprendimiento empresarial y productivos para generación de ingresos e independencia económica de las mujeres a nivel rural y urbano</t>
  </si>
  <si>
    <t xml:space="preserve">Apoyar la realización de cuatro (4) ferias empresariales  y/o iniciativas exitosas de mujeres </t>
  </si>
  <si>
    <t xml:space="preserve">Capacitar a 400 mujeres urbanas y rural en mecanismos de participación y control ciudadano </t>
  </si>
  <si>
    <t xml:space="preserve">Implementar en un 20% la política pública departamental de equidad de género </t>
  </si>
  <si>
    <t xml:space="preserve">Implementar una (1) estrategia de comunicaciones "mujer tienes derechos" </t>
  </si>
  <si>
    <t xml:space="preserve">Diseñar e implementar Dos (2) campañas territoriales de promoción de la participación política de las mujeres </t>
  </si>
  <si>
    <t xml:space="preserve">Apoyar la implementación de (1) programa de prevención y protección de violencia contra la mujer </t>
  </si>
  <si>
    <t xml:space="preserve">Gestionar y promover el Diseño e implementación de un (1) programa de atención psicosocial en violencia sexual basada en genero </t>
  </si>
  <si>
    <t>Implementar una estrategia integral para prevenir el embarazo en la adolescencia (CONPES 147 de 2012)</t>
  </si>
  <si>
    <t xml:space="preserve">Diseñar y ejecutar Un (1) programa para enfrentar la situación especial de la mujer rural, con enfoque diferencial </t>
  </si>
  <si>
    <t>Apoyar 600 mujeres rurales con proyectos de emprendimiento productivo</t>
  </si>
  <si>
    <t>Implementar un Plan de acción de acuerdo al PIU, para la garantía de los derechos de la mujer en situación de desplazamiento  y otros hechos victimizantes</t>
  </si>
  <si>
    <t>No. de programas de trabajo asociativos implementados</t>
  </si>
  <si>
    <t xml:space="preserve">No. de proyectos promovidos en emprendimiento empresarial y productivos </t>
  </si>
  <si>
    <t xml:space="preserve">No. de ferias de mujeres realizadas </t>
  </si>
  <si>
    <t>No. de mujeres capacitadas</t>
  </si>
  <si>
    <t xml:space="preserve">Porcentaje de Política departamental de equidad de género diseñada e implementada </t>
  </si>
  <si>
    <t>Estrategia de comunicaciones implementada</t>
  </si>
  <si>
    <t xml:space="preserve">No. de  campañas territoriales diseñadas e implementadas </t>
  </si>
  <si>
    <t>No. Programas implementados en prevención y protección de violencias contra la mujer</t>
  </si>
  <si>
    <t>No. de programas implementado de atención psicosocial en violencia sexual basada en género</t>
  </si>
  <si>
    <t>No. Estrategia implementada</t>
  </si>
  <si>
    <t>No. de programa diseñados y ejecutado en mujer rural, con enfoque diferencial.</t>
  </si>
  <si>
    <t>No. de mujeres rurales beneficiarias</t>
  </si>
  <si>
    <t>No. de planes de acción implementados</t>
  </si>
  <si>
    <t xml:space="preserve">Apoyar la consecución del cálculo de logros establecidos en la estrategia Unidos </t>
  </si>
  <si>
    <t>Estrategia Unidos apoyada</t>
  </si>
  <si>
    <t>Brindar asistencia psicológica y/o social a 1000 familias en temas de orientación, derechos de estado, promoción, formación, acompañamiento y fortalecimiento del núcleo familiar a nivel de intervención emocional que permita optimizar la calidad de las relaciones sociales y familiares</t>
  </si>
  <si>
    <t>Apoyar la realización de 05 estrategias para el fomento del buen trato, recomposición familiar, restablecimiento de valores, afecto y lazos familiares que aporte a la disminución del suicidio en los jóvenes, la violencia intrafamiliar y la descomposición de la familia</t>
  </si>
  <si>
    <t>Desarrollar siete (7) campañas a padres de familia en situación de vulnerabilidad en competencias básicas sobre resolución de diferencias y conflictos personales para prevenir actos de violencia e intolerancia.</t>
  </si>
  <si>
    <t>Implementar un programa de desarrollo social a través de la música sinfónica que fortalezca la familia</t>
  </si>
  <si>
    <t>Apoyar la garantía de un núcleo familiar para que el 20% de niños, niñas y adolescentes declarados adoptables, sean adoptados</t>
  </si>
  <si>
    <t>Crear una red de hogares de paso en el Departamento que apoye transitoriamente a las familias pobres y vulnerables que deban desplazarse a lugares diferentes a los de su residencia</t>
  </si>
  <si>
    <t>Apoyar la disminución del 20% del número de niños, niñas y adolescentes declarados adoptables</t>
  </si>
  <si>
    <t>No. de familias beneficiadas</t>
  </si>
  <si>
    <t>No. de estrategias realizadas</t>
  </si>
  <si>
    <t>No. de campañas desarrolladas</t>
  </si>
  <si>
    <t>No de programa implementado</t>
  </si>
  <si>
    <t>Porcentaje de niños, niñas y adolescentes entre 0 y 17 años declarados adoptables, dados en adopción</t>
  </si>
  <si>
    <t>No. de red de hogares de paso creados</t>
  </si>
  <si>
    <t>No. de niños, niñas, adolescentes entre 0 y 17 años declarados en situación de adaptabilidad</t>
  </si>
  <si>
    <t xml:space="preserve">Realizar gestión interinstitucional e intersectorial para lograr 23 intervenciones en función del componente de Prevención y protección (1. Vida, 2. Integridad, 3. Libertad, 4. Seguridad, 5.Protección de Bienes y Tierras) del PIU 2012-2015 
</t>
  </si>
  <si>
    <t xml:space="preserve">Realizar gestión interinstitucional e intersectorial para lograr 90 intervenciones en función del componente de Atención Integral (1.Atención Humanitaria: alojamiento, utensilios domésticos, vestuario, alimentación, atención médica y psicosocial inmediata; 2.Atención integral básica: identificación, abordaje psicosocial, reunificación familiar, seguridad alimentaria, educación y salud; 3.Generación de ingresos y acceso a tierras; 4.Vivienda; 5.Retorno y reubicación) del PIU 2012-2015 </t>
  </si>
  <si>
    <t xml:space="preserve">Realizar gestión interinstitucional e intersectorial para lograr 25 intervenciones en función del componente de Verdad, justicia, reparación y garantía de no repetición (1. Verdad, 2. Justicia, 3. Restitución (tierras y vivienda), 4. Rehabilitación (psicosocial, física, asistencia jurídica), 4. Indemnización, 5. Medidas de satisfacción, 6. Garantías de no repetición) del PIU 2012-2015 
</t>
  </si>
  <si>
    <t xml:space="preserve">Realizar gestión interinstitucional e intersectorial para lograr 10 intervenciones en función del componente de Participación de la Población Desplazada (1. Participación efectiva de la población desplazada, 2.Apoyo logístico a las OPD ) del PIU 2012-2015 
</t>
  </si>
  <si>
    <t xml:space="preserve">Realizar gestión interinstitucional e intersectorial para lograr 10 intervenciones en función del componente de Capacidad Institucional y Sistemas de Información (1.Fortalecimiento de la capacidad institucional, 2. Sistemas de información 3. fortalecimiento de las OPD )del PIU 2012-2015 </t>
  </si>
  <si>
    <t>Diseñar o validar un plan de acción y realizar la gestión efectiva para el cumplimiento y seguimiento del 100% de tal instrumento, en el desarrollo de las ordenes impartidas por la Corte Constitucional en relación al cumplimiento del Auto 382 de 2010 frente a pueblos indígenas y Auto 383 frente a la PVFD</t>
  </si>
  <si>
    <t xml:space="preserve">Formular, aprobar e implementar y  hacer seguimiento al  Plan de Acción en atenciòn y reparación Integral a las Víctimas del Conflicto Armado interno - ley 1448 que incluya la caracterización de la población Victima, Apoyo a Centros Regionales de Atención a Victimas y demás componentes, teniendo en cuenta el Plan Nacional de Atención y Reparación Integral a las Víctimas del Conflicto Armado y las disposiciones ue sobre este tema entregue el Gobierno Nacional. </t>
  </si>
  <si>
    <t xml:space="preserve">implementar un programa hacia la construccion colectiva de iniciativas para la reconciliacion y la paz en Arauca, propiciando espacios de participaciòn que permita el anàlisis de reparaciòn colectiva (Ley 975 del 2005 y Decreto 1737 - Justicia y Paz), </t>
  </si>
  <si>
    <t xml:space="preserve">No. de intervenciones exitosas en función del componente de Prevención y protección (1. Vida, 2. Integridad, 3. Libertad, 4. Seguridad, 5.Protección de Bienes y Tierras) del PIU 2012-2015 </t>
  </si>
  <si>
    <t xml:space="preserve">No. de intervenciones exitosas en función del componente de Atención Integral (1.Atención Humanitaria: alojamiento, utensilios domésticos, vestuario, alimentación, atención médica y psicosocial inmediata; 2.Atención integral básica: identificación, abordaje psicosocial, reunificación familiar, seguridad alimentaria, educación y salud; 3.Generación de ingresos y acceso a tierras; 4.Vivienda; 5.Retorno y reubicación) del PIU 2012-2015 </t>
  </si>
  <si>
    <t xml:space="preserve">No. de intervenciones exitosas en función del componente de Verdad, justicia, reparación y garantía de no repetición (1. Verdad, 2. Justicia, 3. Restitución (tierras y vivienda), 4. Rehabilitación (psicosocial, física, asistencia jurídica), 4. Indemnización, 5. Medidas de satisfacción, 6. Garantías de no repetición) del PIU 2012-2015 </t>
  </si>
  <si>
    <t xml:space="preserve">No. de intervenciones exitosas en función del componente de Participación de la Población Desplazada (1. Participación efectiva de la población desplazada, 2.Apoyo logístico a las OPD ) del PIU 2012-2015 </t>
  </si>
  <si>
    <t>Porcentaje de avance del Plan de Acción en la ejecución de las ordenes impartidas por la HCC.</t>
  </si>
  <si>
    <t>Porcentaje de avance en la ejecución del Plan de Acción Departamental para Atención y Reparación Integral a las Víctimas del Conflicto Armado interno.</t>
  </si>
  <si>
    <t>Programa implementado</t>
  </si>
  <si>
    <t>Protección de las comunidades indígenas</t>
  </si>
  <si>
    <t>Apoyar el trámite para la legalización y transferencia de trece (13) predios alos pueblo U´wa, Sikuani, Makaguan, Hitnu, Cuiloto Cocuisa Marrero e Inga</t>
  </si>
  <si>
    <t>Adquirir 1500 hectáreas para el saneamiento del territorio de los pueblos indígenas</t>
  </si>
  <si>
    <t>Actualizar la demarcación de limites de tres (3) resguardos indígenas del departamento de Arauca</t>
  </si>
  <si>
    <t>Fortalecer y revitalizar las seis (6) lenguas nativas de los pueblos indígenas del departamento de Arauca</t>
  </si>
  <si>
    <t xml:space="preserve">Implementar un (1) programa para el rescate y fortalecimiento de la identidad cultural de los pueblos indígenas </t>
  </si>
  <si>
    <t xml:space="preserve">Apoyar la realización de cuatro (4) encuentros de saberes culturales y de bienestar por centro educativo. </t>
  </si>
  <si>
    <t>Aumentar la matrícula de educación básica y secundaria de la población indígena en 80 cupos</t>
  </si>
  <si>
    <t>Mejorar la infraestructura física de los 4 CEIN y 15 escuelas satélite de los resguardos indígenas del departamento de Arauca</t>
  </si>
  <si>
    <t>Beneficiar  a 1.400 Estudiantes indígenas con servicio de transporte escolar</t>
  </si>
  <si>
    <t>Beneficiar anualmente a 1.400 Estudiantes indígenas con alimentación escolar</t>
  </si>
  <si>
    <t xml:space="preserve">Dotar de material didáctico y pedagógico a los CEIN y escuelas Satélites de los pueblos indígenas </t>
  </si>
  <si>
    <t>Implementar el proyecto de etnoeducación en los 04 CEIN del Dpto. de Arauca</t>
  </si>
  <si>
    <t xml:space="preserve">Apoyar el acceso, permanencia y pertinencia a la educación superior y/o técnica y/o tecnológica para 20 jóvenes de la población indígena </t>
  </si>
  <si>
    <t>Implementar una (1) escuela de liderazgo y gobierno propio indígena en el departamento de Arauca</t>
  </si>
  <si>
    <t xml:space="preserve">Mejorar la infraestructura física y mobiliaria de dos  (2) casas indígenas </t>
  </si>
  <si>
    <t>Construir tres (3) planes de vida indígena de los pueblos  Makaguan, U'wa e Inga del Departamento de Arauca</t>
  </si>
  <si>
    <t>Fortalecer la operatividad de la mesa Departamental de concertación indígena</t>
  </si>
  <si>
    <t>Implementar seis (6) estrategias de seguridad alimentaria acorde a la cultura indígena en el marco de los planes de seguridad y soberanía alimentaria y nutricional de cada municipio</t>
  </si>
  <si>
    <t>Desarrollar e implementar (1) un programa en salud publica indigena que garantice el aprendizaje de la medicina tradicional de las comunidades indígenas articulada a la medicina occidental</t>
  </si>
  <si>
    <t>Crear espacios apropiados para la práctica de medicina propia y medicina occidental en las comunidades indígenas del departamento de Arauca</t>
  </si>
  <si>
    <t>Incrementar la afiliación de la población indígena no asegurada del departamento</t>
  </si>
  <si>
    <t>Garantizar la continuidad de la población indígena afiliada al SGSSS</t>
  </si>
  <si>
    <t>Diseñar e implementar una (1) ruta de atención diferencial en salud para los pueblos indígenas del departamento de Arauca para garantizar el acceso a los servicios de atención primaria en salud y en los diferentes niveles de complegidad</t>
  </si>
  <si>
    <t>Adecuar y habilitar cuatro (4) puestos de salud para los resguardos indígenas,</t>
  </si>
  <si>
    <t>Diseñar e Implementar un (1) programa de recuperacion nutricional especial para atender a niños y niñas indígenas del departamento de Arauca</t>
  </si>
  <si>
    <t>Implementar un (1) programa de solución de vivienda saludable indígena pertinente de acuerdo a la oferta ambiental para las comunidades indígenas del departamento de Arauca</t>
  </si>
  <si>
    <t>Ampliar la cobertura de (4) sistemas de suministro y potabilización de agua en (4) resguardos indígenas del departamento de Arauca</t>
  </si>
  <si>
    <t>Construir (4) sistemas alternativos para el manejo de las excretas en (4) resguardos indígenas del departamento de Arauca</t>
  </si>
  <si>
    <t>Implementar un (1) Programa para la reubicación de familias indígenas que se encuentran en situación de riesgo por desastres naturales</t>
  </si>
  <si>
    <t xml:space="preserve">Realizar cuatro (4) encuentros  deportivos tradicionales </t>
  </si>
  <si>
    <t>Realizar cuatro (4) campañas de registro de niños y niñas indígenas de las comunidades del departamento de Arauca</t>
  </si>
  <si>
    <t>Diseñar  e implementar un (1) programa de prevenciòn, mitigaciòn, atenciòn y rehabilitaciòn  integral a las familias indigenas con problemas de adicciòn a sustancias psicoactivas, alcoholismo y abandono, maltrato, inserción a grupos armados,  ESCNNA, explotación laboral entre otras con enfoque de garantía de su etnia y costumbres ancestrales</t>
  </si>
  <si>
    <t>Desarrollar cuatro iniciativas de estímulos a mujeres indígenas artesanas (artes y oficios para la mujer indígena)</t>
  </si>
  <si>
    <t>Implementar un (1) programa para la atención a mujeres indígenas cabeza de hogar y en situación de desplazamiento y otros hechos victimizantes</t>
  </si>
  <si>
    <t>Implementar medidas de atencion y reparacion integral al 100% de las comunidades indigenas victimas, desplazadas y/o confinadas atendiendo a las ordenes del auto 382, 004 en articulacion Nacion-Territorio, Territorio-Territorio, Gobernabilidad indigena</t>
  </si>
  <si>
    <t>Desarrollar un programa de atención integral para los indígenas de la tercera edad</t>
  </si>
  <si>
    <t>No. de predios legalizados y transferidos</t>
  </si>
  <si>
    <t>No. de Ha adquiridas</t>
  </si>
  <si>
    <t>No. de resguardos con limites actualizados</t>
  </si>
  <si>
    <t xml:space="preserve">No. de lenguas fortalecidas y/o rescatadas </t>
  </si>
  <si>
    <t>No. de programas Implementados</t>
  </si>
  <si>
    <t>No. de encuentros realizados</t>
  </si>
  <si>
    <t>No. de niños y adolescentes indígenas que ingresas al sistema educativo</t>
  </si>
  <si>
    <t>No. de CEIN y escuelas satélites mejorados</t>
  </si>
  <si>
    <t>No. de niños transportado por año escolar</t>
  </si>
  <si>
    <t xml:space="preserve">No. de niños beneficiados con alimentación escolar </t>
  </si>
  <si>
    <t>No. de CEIN y escuelas satélites dotados</t>
  </si>
  <si>
    <t>No. CEIN con proyecto de etnoeducación implementado</t>
  </si>
  <si>
    <t>No. de jóvenes indígenas beneficiados</t>
  </si>
  <si>
    <t>No. de escuelas implementados</t>
  </si>
  <si>
    <t>No de sistemas propio indigenas fortalecidos</t>
  </si>
  <si>
    <t xml:space="preserve">No. de casas indígenas en funcionamiento </t>
  </si>
  <si>
    <t>No. de planes de vida construidos</t>
  </si>
  <si>
    <t>No. de consulta y concertaciones apoyadas</t>
  </si>
  <si>
    <t>No. de estrategias de seguridad alimentaria implementados</t>
  </si>
  <si>
    <t>No. de espacios apropiados</t>
  </si>
  <si>
    <t>No. de personas indígenas en el SGSSS</t>
  </si>
  <si>
    <t>Ruta de atención en salud diseñada e implementada</t>
  </si>
  <si>
    <t>No. de puestos de salud funcionando</t>
  </si>
  <si>
    <t>No. de sistemas de suministro de agua apta para consumo humano en los resguardos indígenas</t>
  </si>
  <si>
    <t xml:space="preserve">No. de sistemas alternativos para el manejo de excretas </t>
  </si>
  <si>
    <t>No. de familias reubicadas.</t>
  </si>
  <si>
    <t xml:space="preserve">No. de encuentros deportivos tradicionales realizados </t>
  </si>
  <si>
    <t>No. de campañas de registro de niños y niñas indígenas durante el periodo de gobierno</t>
  </si>
  <si>
    <t>No. de iniciativas de estímulos a mujeres, artesanas (artes y oficios para la mujer indígena) en el periodo de gobierno</t>
  </si>
  <si>
    <t>Porcentaje de comunidades indigenas victimas, desplazadas y/o confinadas implementada</t>
  </si>
  <si>
    <t>4 CEIN
15 Escuelas satélite</t>
  </si>
  <si>
    <t>Protección de las comunidades afro colombianas</t>
  </si>
  <si>
    <t>Beneficiar con el proyecto de acceso a la educación superior y/o técnica a 44 personas afrodescendientes</t>
  </si>
  <si>
    <t>Priorizar la atención en salud a la población  afrodescendiente  en eventos no poss y en la atención  y acceso a los servicios de salud</t>
  </si>
  <si>
    <t>Implementar un (1) programa  de alfabetización de población adulta afrodescendientes mediante el modelo A CRECER</t>
  </si>
  <si>
    <t>Implementar el proyecto  de etnoeducación de la población afrodescendiente</t>
  </si>
  <si>
    <t>Implementar la Cátedra Afrocolombianas como línea transversal en las instituciones educativas del Departamento</t>
  </si>
  <si>
    <t>Construir 200 unidades de sistemas individuales alternativos de suministro y potabilización de agua en el sector rural</t>
  </si>
  <si>
    <t>Construir 200 unidades de sistemas individuales alternativos para el manejo adecuado de excretas en el sector rural</t>
  </si>
  <si>
    <t>Permitir el acceso a vivienda de  (200) familias a  vivienda rural y urbana para la población afrosdescendiente del departamento de Arauca</t>
  </si>
  <si>
    <t>Apoyar la construcción de  infraestructura etnocultural  como parte de la identidad de los pueblos afrocolombianos</t>
  </si>
  <si>
    <t>Apoyar diez (10) proyectos productivos a generación de empleos y mejoramiento económico de la población Afrodescendientes.</t>
  </si>
  <si>
    <t xml:space="preserve">Implementar un (1) proyecto de rescate de la identidad cultural de los pueblos afrodescendientes </t>
  </si>
  <si>
    <t>Apoyar la legalización  de 10 Consejos Comunitarios del Departamento</t>
  </si>
  <si>
    <t>Gestionar  la reforestación de las cuencas y microcuencas en territorios colectivos de poblacion afrodescendiente</t>
  </si>
  <si>
    <t>Apoyar la adquisiciòn  de 500 has de tierra  para ampliación de territorios colectivos de la población afrodescendiente</t>
  </si>
  <si>
    <t xml:space="preserve">Apoyar el fortalecimiento del  100% de las formas tradicionales de organizaciòn de las comunidades afrodescendientes </t>
  </si>
  <si>
    <t>Implementar un (1) proyecto de seguridad alimentaria (Programa RESA)</t>
  </si>
  <si>
    <t>Implementar un (1) proyecto de erradicación de la discriminación racial</t>
  </si>
  <si>
    <t>No. De personas beneficiadas con el proyectos de acceso a la educación implementados</t>
  </si>
  <si>
    <t>No de solicitudes en eventos no poss de la poblaciòn afrosdescendiente</t>
  </si>
  <si>
    <t>No. de proyecto de alfabetización implementadas</t>
  </si>
  <si>
    <t>No. De proyectos de etnoeducaciòn implementado</t>
  </si>
  <si>
    <t>No. de cátedras afrocolombianas implementadas</t>
  </si>
  <si>
    <t>No. de sistemas alternativos individuales para el suministro de agua apta para consumo humano en el sector rural</t>
  </si>
  <si>
    <t>No. de sistemas individuales alternativos construidos</t>
  </si>
  <si>
    <t>No. de subsidios otorgados</t>
  </si>
  <si>
    <t xml:space="preserve">No. De infraestructuras apoyadas </t>
  </si>
  <si>
    <t>No. de proyectos productivos apoyados</t>
  </si>
  <si>
    <t>No. de proyectos de rescate de la identidad cultural implementados</t>
  </si>
  <si>
    <t>No. De Consejos comunitarios legalizados</t>
  </si>
  <si>
    <t>Has reforestadas de cuencas y microcuencas gestionadas</t>
  </si>
  <si>
    <t>No. De hectàreas adquididas</t>
  </si>
  <si>
    <t>Porcentaje de organizaciones y/o asociaciones capacitadas</t>
  </si>
  <si>
    <t>No. De proyectos implementados</t>
  </si>
  <si>
    <t>No. de proyectos Implementado</t>
  </si>
  <si>
    <t>Protección a la población en discapacidad</t>
  </si>
  <si>
    <t>Implementar una estrategia que garantice la generación de ingresos a  personas con discapacidad en el departamento de Arauca</t>
  </si>
  <si>
    <t>Implementar un (1) proyecto de acceso a la educación superior y/o técnica a la población con discapacidad</t>
  </si>
  <si>
    <t>Priorizar la población con discapacidad en los programas de vivienda digna que ofrece el departamento</t>
  </si>
  <si>
    <t xml:space="preserve">Apoyar la creación de siete (7) micro, pequeña y/o mediana empresa y fomentar su desarrollo
</t>
  </si>
  <si>
    <t>Promover  y apoyar la implementaciòn del servicio  de  rehabilitación y atención integral para la atención a las personas con discapacidad</t>
  </si>
  <si>
    <t>Ejecutar un proyecto de deporte paralímpico</t>
  </si>
  <si>
    <t>Crear un proyecto de espacios adecuados para la expresión artística y cultural para las personas con discapacidad</t>
  </si>
  <si>
    <t xml:space="preserve">Implementar un  15% la polìtica de discapacidad </t>
  </si>
  <si>
    <t>Implementar un programa de apoyo psicosocial a las personas con discapacidad y su entorno familiar.</t>
  </si>
  <si>
    <t xml:space="preserve">Apoyar la construcciòn y/o mejoramiento de infraestructura para centros de atenciòn a personas con discapacidad </t>
  </si>
  <si>
    <t>Consolidar una red comunitaria o social en el departamento para promover el cuidado y soporte familiar para el adulto mayor</t>
  </si>
  <si>
    <t xml:space="preserve">Priorizar a los hogares con adultos mayores en los programas de mejoramiento de vivienda </t>
  </si>
  <si>
    <t xml:space="preserve"> Apoyar la construcciòn, mejoramiento, adecuaciòn y dotar dos centros de bienestar para el adulto mayor</t>
  </si>
  <si>
    <t>Apoyar 800 adultos mayores con la implementación de un (1) programa de bienestar y aprovechamiento del tiempo libre acorde con las políticas nacionales de envejecimiento y vejez que incluya a los siete (7) municipios</t>
  </si>
  <si>
    <t>Diseñar e implementar un proyecto de capacitación permanente al personal de las instituciones y a la sociedad civil sobre el respeto de los derechos de la población LGBTI, para disminuir los índices de discriminación y endodiscriminación en el Departamento de Arauca</t>
  </si>
  <si>
    <t>Permitir el acceso a la población  LGBTI en los programas de  vivienda con recursos complementarios</t>
  </si>
  <si>
    <t>Realizar 7 talleres y 3 campañas de socialización y divulgación de la política pública nacional para población LGBTI</t>
  </si>
  <si>
    <t>Diseñar e implementar un proyecto de atención psicosocial con enfoque diferencial para población LGBTI</t>
  </si>
  <si>
    <t>No. de estrategia implementada</t>
  </si>
  <si>
    <t>No. de proyectos implementados</t>
  </si>
  <si>
    <t>No. de familias con miembros en condición de discapacidad priorizadas en los programas de vivienda digna</t>
  </si>
  <si>
    <t>No. de micro, pequeña y medianas empresas creadas</t>
  </si>
  <si>
    <t>No. de personas atendidas</t>
  </si>
  <si>
    <t>No. de proyecto de deporte paralímpico</t>
  </si>
  <si>
    <t>No. de proyectos de espacios adecuados creados</t>
  </si>
  <si>
    <t>Porcentaje de la polìtica implementada</t>
  </si>
  <si>
    <t>Programa de apoyo psicológico creado</t>
  </si>
  <si>
    <t>No. De Centros de atenciòn cosntruidos y/o mejorados</t>
  </si>
  <si>
    <t>No. de redes comunitarias consolidadas</t>
  </si>
  <si>
    <t>No. de familias con adultos mayores priorizadas en los programas de vivienda digna</t>
  </si>
  <si>
    <t>No. de centros de bienestar construidos, mejorados, adecuados y dotados</t>
  </si>
  <si>
    <t>No. de adultos mayores beneficiados</t>
  </si>
  <si>
    <t>No. de proyecto de capacitación diseñados e implementados</t>
  </si>
  <si>
    <t>No. de familias con comunidad LGBTI</t>
  </si>
  <si>
    <t>No. de talleres y campañas de comunicación realizadas</t>
  </si>
  <si>
    <t>No. de proyectos de atención psicosocial para la población LGBTI</t>
  </si>
  <si>
    <t>Protección al adulto mayor</t>
  </si>
  <si>
    <t>Protección a LGTBI</t>
  </si>
  <si>
    <t>Economico Productivo</t>
  </si>
  <si>
    <t>Construir Desarrollo Socio Económico Local para lograr el crecimiento sostenible y la competitividad</t>
  </si>
  <si>
    <t>Desarrollo rural</t>
  </si>
  <si>
    <t>Lograr que el 20% de las familias de la zona rural superen la situación de pobreza extrema</t>
  </si>
  <si>
    <t>Transformación competitiva del sistema socio económico productivo</t>
  </si>
  <si>
    <t>Porcentaje de familias en situación de pobreza extrema en la zona rural</t>
  </si>
  <si>
    <t>Apoyar a 200 pequeños productores en el fomento de especies menores, piscicultura, ganaderia y granjas integrales</t>
  </si>
  <si>
    <t xml:space="preserve">Apoyar el programa de mercados campesinos </t>
  </si>
  <si>
    <t>Apoyar a 1600 campesinos rurales con programas de bancarización y asistencia técnica integral</t>
  </si>
  <si>
    <t>Apoyar la implementación de 7 proyectos de soberanía alimentaria, uno en cada municipio, en el marco de los planes de seguridad alimentaria y nutricional</t>
  </si>
  <si>
    <t>Beneficiar como mìnimo  186 pequeños productores con la implementación de distritos de pequeña irrigación</t>
  </si>
  <si>
    <t xml:space="preserve">Apoyar  y gestionar  programas de formalización de la propiedad de la tierra </t>
  </si>
  <si>
    <t>Permitir a 300 familias de la zona rural del departamento acceder a soluciones de vivienda propia</t>
  </si>
  <si>
    <t>Construir 800 unidades de sistemas individuales alternativos para el manejo adecuado de excretas en el sector rural</t>
  </si>
  <si>
    <t>Construir un (1) sistema de alcantarillado sanitario en el área rural del Departamento de Arauca</t>
  </si>
  <si>
    <t>Optimizar como mìnimo  cuatro (4) sistemas de alcantarillado sanitario en el área rural del Departamento de Arauca</t>
  </si>
  <si>
    <t>Construir 800 unidades de sistemas individuales alternativos de suministro y potabilización de agua en el sector rural</t>
  </si>
  <si>
    <t xml:space="preserve">Construir como mìnimo dos  (2) acueductos regionales </t>
  </si>
  <si>
    <t>Optimizar cuatro (4) acueductos veredales en el Departamento de Arauca</t>
  </si>
  <si>
    <t>Implementar 100 nuevas soluciones alternas de energía en las zonas no interconectadas del Departamento</t>
  </si>
  <si>
    <t xml:space="preserve">Incrementar en 1000 el número de usuarios atendidos con el servicio de energía en el área rural </t>
  </si>
  <si>
    <t>Mantener, pavimentar y/o rehabilitar 1000 kilómetros de vías veredales</t>
  </si>
  <si>
    <t>Construir  y/o mejorar minimo veinte  (20) puentes Hamacas que mejoren la integración rural</t>
  </si>
  <si>
    <t>Adquirir siete (7) bancos de maquinaria de obra pública municipal</t>
  </si>
  <si>
    <t xml:space="preserve">Apoyar el establecimiento de 10.000 ha nuevas de cultivos tradicionales y alternativos </t>
  </si>
  <si>
    <t>Apoyar el establecimiento de 500 ha con sistemas silvopastoriles</t>
  </si>
  <si>
    <t xml:space="preserve">Apoyar el establecimiento de 500 ha con banco de proteínas </t>
  </si>
  <si>
    <t xml:space="preserve">Apoyar el establecimiento de 400 ha con plantaciones forestales comerciales </t>
  </si>
  <si>
    <t>Apoyar la consolidación de la unidad departamental de maquinaria</t>
  </si>
  <si>
    <t>Apoyar 12 proyectos bajo el esquema de alianzas productivas</t>
  </si>
  <si>
    <t>Apoyar 2000 pequeños y medianos productores con ICR y/o FAG</t>
  </si>
  <si>
    <t>Ofrecer asistencia técnica a 10.000 productores para mejorar la productividad</t>
  </si>
  <si>
    <t>Apoyar la disminución de la prevalencia de la brucelosis mediante la certificación de 100 hatos libres de brúcela</t>
  </si>
  <si>
    <t>Implementar un (1) programa de mejoramiento genético bovino en el departamento de Arauca</t>
  </si>
  <si>
    <t>implementar una estrategia de comercialización de los productos araucanos que permita posicionarlos en el mercado nacional e internacional</t>
  </si>
  <si>
    <t xml:space="preserve">Apoyar a los productores para que participen en 40 eventos feriales del nivel local, regional y/o nacional </t>
  </si>
  <si>
    <t>Gestionar el mejoramiento y/o construcciòn  de infraestructura para el desarrollo agropecuario</t>
  </si>
  <si>
    <t>Fortalecer seis (6) empresas asociativas que comercialicen productos agropecuarios</t>
  </si>
  <si>
    <t xml:space="preserve">Promover cuatro (4) ruedas de negocios </t>
  </si>
  <si>
    <t xml:space="preserve">Apoyar el montaje y/o consolidar de seis plantas de producción agroindustrial </t>
  </si>
  <si>
    <t>Apoyar la construcción de dos  centros de desarrollo empresarial en el departamento de Arauca</t>
  </si>
  <si>
    <t xml:space="preserve">Apoyar el fortalecimiento de 1000 Mipymes </t>
  </si>
  <si>
    <t xml:space="preserve">Apoyar la creación de 200 empresas </t>
  </si>
  <si>
    <t xml:space="preserve">Incrementar en 100% (8.000) personas con capacidades en procesos de vocación y cultura de emprendimientos </t>
  </si>
  <si>
    <t>Apoyar la cofinanciación de tres (3) iniciativas empresariales que aporten a la conservación del medio ambiente y que tengan significativo impacto sobre las exportaciones con certificaciòn de origen (biocomercio, sellos verdes, entre otros)</t>
  </si>
  <si>
    <t xml:space="preserve">Apoyar 5 estrategias para la implementación del plan estratégico de emprendimiento regional articulados a la red de emprendimiento departamental </t>
  </si>
  <si>
    <t>Apoyar el proceso de formalización de 200 Mipymes</t>
  </si>
  <si>
    <t>Apoyar la realización de los estudios de factibilidad para la consolidación de una zona de desarrollo industrial</t>
  </si>
  <si>
    <t>Mejorar dos (2) sectores ecoturísticos en el departamento de Arauca</t>
  </si>
  <si>
    <t xml:space="preserve">Construir y/o adecuar un (1) sistema fluvial turístico en el Río Arauca
</t>
  </si>
  <si>
    <t xml:space="preserve">Apoyar la consolidación del programa de posadas turísticas </t>
  </si>
  <si>
    <t xml:space="preserve">Empaquetar en agencia de viajes nacionales 2 productos turístico de naturaleza </t>
  </si>
  <si>
    <t xml:space="preserve">Apoyar en la implementación de tres (3) rutas ecoturísticos </t>
  </si>
  <si>
    <t>Apoyar la formación de 25 expertos informadores turìsticos</t>
  </si>
  <si>
    <t>Apoyar el mejoramiento de las capacidades turísticas y de calidad de servicios al 50% de los prestadores de servicios turísticos y asociados (artesanías, hoteles, restaurantes, transporte, entre otros)</t>
  </si>
  <si>
    <t xml:space="preserve">Consolidar y poner en operación tres puntos de información turística PIT articulados a la red nacional </t>
  </si>
  <si>
    <t>Apoyar la implementación de un programa de marketing territorial</t>
  </si>
  <si>
    <t>Implementar 01 estrategias de promoción del producto "Arauca, tres alturas, un mundo de destinos"</t>
  </si>
  <si>
    <t>Disminuir en 10% el número de niños y adolescentes que participan en la actividad laboral</t>
  </si>
  <si>
    <t>Apoyar la formalización de 400 vendedores informales</t>
  </si>
  <si>
    <t>Beneficiar a 1.000 jóvenes con proyectos de cualificación y formación para el trabajo</t>
  </si>
  <si>
    <t>Mejorar y adecuar 20.000 m2 de áreas verdes, equipamientos y espacio público</t>
  </si>
  <si>
    <t>Beneficiar a 300 emprendedores con financiación de nuevas alternativas que generen empleo formal</t>
  </si>
  <si>
    <t>Apoyar tres (3) iniciativas de desarrollo local que promueva la generación de empleo e ingresos (actividades del programa GOBIERNO CON RESULTADOS, Autoconstrucción, entre otras)</t>
  </si>
  <si>
    <t>Establecer dos (2) alianzas públicos privadas para la generación de 1000 nuevos empleos y aplicabilidad de la ley de primer empleo</t>
  </si>
  <si>
    <t>Desarrollar 22 proyectos concursables en investigación experimental y/o aplicada, desarrollo e innovación para el mejoramiento del sector productivo, ambiental, tecnológico y sociocultural</t>
  </si>
  <si>
    <t xml:space="preserve">Apoyar 15 redes e iniciativas que generen capacidades para la gestión del conocimiento, desarrollo tecnológico, innovación y su transferencia </t>
  </si>
  <si>
    <t xml:space="preserve">Desarrollar un centro de I+D tecnológico orientado al desarrollo del conocimiento científico e innovación socioeconómica en el departamento de Arauca </t>
  </si>
  <si>
    <t xml:space="preserve">Desarrollar un programa de fortalecimiento del talento humano de maestrías y doctorados que beneficie 15 estudiantes en estas modalidades </t>
  </si>
  <si>
    <t>Desarrollar un programa de investigación y desarrollo para la conservación, protección y recuperación de los recursos hídricos y biodiversidad en el área de influencia del parque nacional natural del Cocuy</t>
  </si>
  <si>
    <t xml:space="preserve">Desarrollar un programa de investigación, desarrollo tecnológico e innovación en energías alternativas </t>
  </si>
  <si>
    <t xml:space="preserve">Desarrollar un programa de investigación, desarrollo tecnológico e innovación para el manejo y aprovechamiento sostenible del recurso hídrico pesquero y acuícola </t>
  </si>
  <si>
    <t>Desarrollar un programa de investigación, conservación y uso de sostenible de ecosistemas estratégicos (cuencas hidrográficas, sabanas inundables, morichales, lagunas y humedales)</t>
  </si>
  <si>
    <t>Desarrollar un programa de investigación, desarrollo tecnológico e innovación en cambio climático</t>
  </si>
  <si>
    <t xml:space="preserve">Desarrollar un programa de investigación, desarrollo tecnológico e innovación en ecosistemas forestales y agroforestales  </t>
  </si>
  <si>
    <t xml:space="preserve">Desarrollar un programa de investigación, desarrollo tecnológico e innovación sustentable en el recurso pecuario </t>
  </si>
  <si>
    <t xml:space="preserve">Desarrollar un programa de innovación e investigación social, cultural y eco turística </t>
  </si>
  <si>
    <t>Desarrollar un programa para la investigación, innovación y uso sostenible de la Biodiversidad (Caimán llanero, inventario de oferta de biodiversidad, inventario y caracterización de aves)</t>
  </si>
  <si>
    <t xml:space="preserve">Desarrollar un programa de investigación, desarrollo tecnológico e innovación en la extracción sostenible de minerales </t>
  </si>
  <si>
    <t xml:space="preserve">Desarrollar un programa para la vigilancia y control de la transmisión de la enfermedad del Chagas congénito rural </t>
  </si>
  <si>
    <t xml:space="preserve">Generar un espacio de apropiación de la CTI a través del diseño, construcción y operación de un (1) centro interactivo </t>
  </si>
  <si>
    <t>Implementar un (1) programa de habilidades y competencias científico tecnológicas en la población infantil y juvenil del departamento de Arauca (primera infancia, niños, niñas, adolescentes y jóvenes investigadores e innovadores y semilleros de investigación -emprendimiento y programa ondas)</t>
  </si>
  <si>
    <t>Ampliar y mejorar la cobertura de la Red Arauca en los siete municipios del departamento</t>
  </si>
  <si>
    <t>Formar y capacitar 10.000 personas, a través de las herramientas tecnológicas, para superar las barreras de oportunidad y conocimiento en el desarrollo económico y crecimiento sostenible.</t>
  </si>
  <si>
    <t>Gestionar la Ampliación de la cobertura de la señal de televisión de los canales nacionales privados e institucionales en 4 Municipios</t>
  </si>
  <si>
    <t>Gestionar la masificaciòn del acceso a internet por redes  de fibra òptica</t>
  </si>
  <si>
    <t>Formar 500 docentes y servidores públicos en el uso de TIC</t>
  </si>
  <si>
    <t>Desarrollar e implementar dos campañas de formación sobre el manejo y uso de equipos obsoletos</t>
  </si>
  <si>
    <t>Fortalecer 2 iniciativas que promuevan el desarrollo de tramites y servicios en línea</t>
  </si>
  <si>
    <t>Desarrollar e implementar mínimo seis (6) tramites o servicios en línea</t>
  </si>
  <si>
    <t>Generar dos espacios de información y participación que faciliten la relación de los ciudadanos con la Gobernación</t>
  </si>
  <si>
    <t xml:space="preserve">Articular la estrategia de Gobierno en línea con el Modelo Estándar de Control Interno </t>
  </si>
  <si>
    <t>Implementar sistemas electrónicos de gestión documental, siguiendo los lineamientos de la política antitrámites y cero papel del Gobierno en línea</t>
  </si>
  <si>
    <t>No. de productores apoyados</t>
  </si>
  <si>
    <t>No. de programas campesinos apoyados</t>
  </si>
  <si>
    <t>No. campesinos beneficiados con bancarización y asistencia técnica</t>
  </si>
  <si>
    <t>No. de proyectos soberanía alimentaria establecidos con el apoyo de la Gobernación</t>
  </si>
  <si>
    <t>No. de pequeños productores  beneficiados</t>
  </si>
  <si>
    <t>No. de programas apoyados y gestionados</t>
  </si>
  <si>
    <t>No. de viviendas nuevas</t>
  </si>
  <si>
    <t>No. de sistemas de alcantarillado sanitario en el área rural del Departamento de Arauca construido</t>
  </si>
  <si>
    <t>No. de sistemas de alcantarillado sanitarios optimizados</t>
  </si>
  <si>
    <t>No. de acueductos veredales construidos</t>
  </si>
  <si>
    <t>No. de Sistemas de acueductos veredales optimizados</t>
  </si>
  <si>
    <t>No. de nuevas soluciones alternas de energía implementadas</t>
  </si>
  <si>
    <t xml:space="preserve">No. de usuarios nuevos con el servicio de energía eléctrica en el área rural </t>
  </si>
  <si>
    <t>No. de Km. de vía mantenida y/o rehabilitada</t>
  </si>
  <si>
    <t>No. De puentes construidos y/o mejorados</t>
  </si>
  <si>
    <t>No. de bancos de maquinaria municipal adquiridos</t>
  </si>
  <si>
    <t xml:space="preserve">No. de hectáreas nuevas sembradas </t>
  </si>
  <si>
    <t>No. de hectáreas de sistemas silvopastoriles establecidas</t>
  </si>
  <si>
    <t>No. de hectáreas con bancos de proteína establecidas</t>
  </si>
  <si>
    <t>No. de hectáreas de plantaciones forestales establecidas</t>
  </si>
  <si>
    <t>No. de unidades Departamentales consolidadas</t>
  </si>
  <si>
    <t>No. de alianzas apoyadas por la Gobernación</t>
  </si>
  <si>
    <t xml:space="preserve">No. de productores beneficiadas con incentivos </t>
  </si>
  <si>
    <t>No. productores agropecuarios con asistencia técnica</t>
  </si>
  <si>
    <t>No. de hatos libres certificados</t>
  </si>
  <si>
    <t>No de programas implementado</t>
  </si>
  <si>
    <t>Índice de prevalencias para cada enfermedad</t>
  </si>
  <si>
    <t>No. de estrategias definidas e implementadas</t>
  </si>
  <si>
    <t>No. de eventos feriales a los que asisten los productores con apoyo de la Gobernación</t>
  </si>
  <si>
    <t>No. De infraestructura construida y/o mejorada</t>
  </si>
  <si>
    <t>No. de empresas asociativas fortalecidas</t>
  </si>
  <si>
    <t>No. de ruedas de negocio promovidas</t>
  </si>
  <si>
    <t>No. de Plantas de producción agroindustrial en operación</t>
  </si>
  <si>
    <t>No. de centros de desarrollo empresarial construidos</t>
  </si>
  <si>
    <t>No. de Mipymes fortalecidas</t>
  </si>
  <si>
    <t xml:space="preserve">No. de nuevas empresas </t>
  </si>
  <si>
    <t>Porcentaje de incremento de personas con capacidades</t>
  </si>
  <si>
    <t>Numero de Iniciativas apoyadas</t>
  </si>
  <si>
    <t>No. estrategias implementadas con el apoyo de la Gobernación</t>
  </si>
  <si>
    <t>No. de mipymes formalizadas</t>
  </si>
  <si>
    <t>No. de estudios de factibilidad realizados con el apoyo de la Gobernación</t>
  </si>
  <si>
    <t>No. de sectores ecoturísticos mejorados</t>
  </si>
  <si>
    <t>No. de sistemas fluviales turísticos en el río Arauca construidos y adecuados</t>
  </si>
  <si>
    <t xml:space="preserve">No. de posadas turísticas </t>
  </si>
  <si>
    <t>No. de producto turístico de naturaleza empaquetados</t>
  </si>
  <si>
    <t>No. de rutas implementadas</t>
  </si>
  <si>
    <t>No. de expertos informadores turisticos</t>
  </si>
  <si>
    <t>Porcentaje de prestadores de servicios con capacidades y competencias</t>
  </si>
  <si>
    <t>No. de puntos de información turística</t>
  </si>
  <si>
    <t>No. de programas de marketing implementados</t>
  </si>
  <si>
    <t>Porcentaje de niños, niñas y adolescentes entre 5 y 17 años, que participan en una actividad remunerada o no</t>
  </si>
  <si>
    <t>No. de vendedores ambulantes formalizados</t>
  </si>
  <si>
    <t>No. de jóvenes capacitados en competencias laborales</t>
  </si>
  <si>
    <t xml:space="preserve">m2 de áreas verdes y de espacio público mejorados </t>
  </si>
  <si>
    <t>No. de emprendedores beneficiados</t>
  </si>
  <si>
    <t>No de iniciativas de desarrollo local apoyadas</t>
  </si>
  <si>
    <t>No. de empleos generados</t>
  </si>
  <si>
    <t>No. de proyectos concursables desarrollados</t>
  </si>
  <si>
    <t>No. de redes e iniciativas desarrolladas</t>
  </si>
  <si>
    <t>Centro de I+D tecnológico creado</t>
  </si>
  <si>
    <t>No. de estudiantes inscritos en programas de doctorados y maestrías</t>
  </si>
  <si>
    <t>No. de programas Desarrollados</t>
  </si>
  <si>
    <t xml:space="preserve">Centro interactivo construido </t>
  </si>
  <si>
    <t>No. de municipios ampliados y mejorados</t>
  </si>
  <si>
    <t>No. de Personas capacitadas en herramientas tecnológicas</t>
  </si>
  <si>
    <t>Municipios con cobertura de señal de Televisiòn</t>
  </si>
  <si>
    <t>No. De hogares con acceso a internet</t>
  </si>
  <si>
    <t>No. docentes y funcionarios públicos formados en el uso profesional de las TIC</t>
  </si>
  <si>
    <t>No. de iniciativas fortalecidas</t>
  </si>
  <si>
    <t>No. de tramites o servicios en línea desarrollados e implementados</t>
  </si>
  <si>
    <t xml:space="preserve">Espacios de participación en línea habilitados </t>
  </si>
  <si>
    <t>Modelo estándar articulado con la estrategia de Gobierno en Línea</t>
  </si>
  <si>
    <t>Porcentaje de reducción del uso del papel en la entidad</t>
  </si>
  <si>
    <t>0% (Fiebre aftosa, TBC, Encefalitis Equina). Rabia Bovina (4 Focos)</t>
  </si>
  <si>
    <t>100% (4.000)</t>
  </si>
  <si>
    <t>100% (12.000)</t>
  </si>
  <si>
    <t>Agropecuario</t>
  </si>
  <si>
    <t>Producir y transformar con resultados</t>
  </si>
  <si>
    <t>Emprendimiento y promoción empresarial</t>
  </si>
  <si>
    <t>Turismo con resultados</t>
  </si>
  <si>
    <t>Generación de empleo e ingresos</t>
  </si>
  <si>
    <t>Ciencia, Tecnología e Innovación</t>
  </si>
  <si>
    <t>TICS</t>
  </si>
  <si>
    <t>Politico Institucional</t>
  </si>
  <si>
    <t>Generar Gobernanza Territorial para la Transformación económica y social</t>
  </si>
  <si>
    <t>Mantener el desempeño integral departamental a 70%</t>
  </si>
  <si>
    <t>Aumentar el Índice de Gobierno Abierto - IGA  al 100%</t>
  </si>
  <si>
    <t>Lograr que el índice de desempeño fiscal departamental sea superior al obtenido en 2010</t>
  </si>
  <si>
    <t xml:space="preserve">Involucrar al 50% de las organizaciones ciudadanas constituidas en procesos desarrollo comunitario territorial </t>
  </si>
  <si>
    <t>Incrementar en un 40% el número de ciudadanos que conocen y se interesan en la gestión pública y en sus resultados</t>
  </si>
  <si>
    <t>Mejorar  un 30% la percepcion de seguridad de la poblacion del departamento</t>
  </si>
  <si>
    <t>Reducir en un 30% la capacidad terrorista y armada de los Grupos Armados al Margen de la Ley</t>
  </si>
  <si>
    <t xml:space="preserve">Fortalecer el 100% del sistema Judicial y Penitenciario </t>
  </si>
  <si>
    <t>Aumentar el porcentaje de personas que afirma que se puede confiar en la mayoría de la gente de 31 a 50%</t>
  </si>
  <si>
    <t>Desempeño Territorial - Gestión gubernamental orientada a resultados</t>
  </si>
  <si>
    <t>Paz y seguridad ciudadana</t>
  </si>
  <si>
    <t>Índice de desempeño integral</t>
  </si>
  <si>
    <t>Índice de Gobierno Abierto - IGA</t>
  </si>
  <si>
    <t>Indicador de Desempeño Fiscal</t>
  </si>
  <si>
    <t>Porcentaje de organizaciones sociales que participan en los procesos de desarrollo comunitario / Organizaciones Sociales existentes</t>
  </si>
  <si>
    <t>Porcentaje de   veedurías ciudadanas conformadas</t>
  </si>
  <si>
    <t>Porcentaje  de percepcion de seguridad mejorado</t>
  </si>
  <si>
    <t>Inversiones en tecnología y otras pertinentes para sinergia ciudadana</t>
  </si>
  <si>
    <t>Sistema judicial y penitenciario fortalecido</t>
  </si>
  <si>
    <t>Numero de violaciones e infracciones reducidas</t>
  </si>
  <si>
    <t xml:space="preserve">Porcentaje de personas que afirma que se puede confiar en la mayoría de la gente
</t>
  </si>
  <si>
    <t>&gt;73,97%</t>
  </si>
  <si>
    <t>Nueva Gestión Pública Departamental</t>
  </si>
  <si>
    <t>Gestión financiera</t>
  </si>
  <si>
    <t>Ciudadanía activa</t>
  </si>
  <si>
    <t>Seguridad y convivencia ciudadana</t>
  </si>
  <si>
    <t>Justicia</t>
  </si>
  <si>
    <t>Derechos humanos, DIH y   justicia transicional</t>
  </si>
  <si>
    <t>Cultura ciudadana</t>
  </si>
  <si>
    <t>Desarrollar un (1) proceso de modernización de la administración departamental</t>
  </si>
  <si>
    <t xml:space="preserve">Formular e implementar un proyecto de modernización y fortalecimiento institucional de la Secretaría de Planeación Departamental con el objeto de prepararla para asumir las funciones de Secretaria Técnica del OCAD </t>
  </si>
  <si>
    <t>Implementar una (1) estrategia para el fortalecimiento institucional  de las entidades públicas del nivel departamental</t>
  </si>
  <si>
    <t xml:space="preserve">Diseñar y establecer un (1) sistema de control administrativo y financiero de las entidades descentralizadas del departamento de Arauca </t>
  </si>
  <si>
    <t xml:space="preserve">Implementar una estrategia de adquisición de equipos y remodelación de la red de datos </t>
  </si>
  <si>
    <t>Cuantificar y actualizar  el 100% del inventario de bienes muebles e inmuebles del departamento</t>
  </si>
  <si>
    <t>Desarrollar y ejecutar al 100% un (1) programa de reingeniería del modelo de operación por procesos para sistema de gestión de la calidad en armonía con el Sistema de control interno MECI 1000:2005</t>
  </si>
  <si>
    <t xml:space="preserve">Ejecutar un plan de acción para el fortalecimiento y continuidad del programa de gestión documental </t>
  </si>
  <si>
    <t>Desarrollar un programa que permita mejorar y posicionar la imagen del departamento de Arauca en el contexto Nacional, armonizando con las políticas, programas y proyecto que en este sentido contiene el Plan Nacional de Desarrollo.</t>
  </si>
  <si>
    <t>Remodelación y adecuación de seis (6) áreas de infraestructura física de la administración departamental</t>
  </si>
  <si>
    <t>Modernizar  y optimizar el sistema  contable, presupuestal, tributario y financiero</t>
  </si>
  <si>
    <t xml:space="preserve">Implementar los servicios y automatización para el control integral de los impuestos Departamentales </t>
  </si>
  <si>
    <t>Implementar una (1) campaña permanente de promoción de la cultura tributaria</t>
  </si>
  <si>
    <t>Desarrollar estrategias que permitan aumentar el recaudo de las rentas propias en un 3% anual</t>
  </si>
  <si>
    <t>Implementar dos (2) programas de formación de líderes y generación de capacidades comunitarias</t>
  </si>
  <si>
    <t>Apoyar el fortalecimiento de mínimo 10 organizaciones que participen activamente en las actividades de control social comunitario</t>
  </si>
  <si>
    <t xml:space="preserve">Fortalecer  al sector comunal de los (7) municipios con  programas de formación </t>
  </si>
  <si>
    <t>Implementar un (1) programa para la generación de desarrollo socioeconómico para las organizaciones comunales y sociales</t>
  </si>
  <si>
    <t>Promover cuatro (4) estrategias de promocion y  fortalecimiento a expresiones asociativas de la sociedad civil</t>
  </si>
  <si>
    <t>Desarrollar e implementar 20 campañas de formación y promoción de mecanismos de participación ciudadana</t>
  </si>
  <si>
    <t>Implementar un programa integral para el fortalecimiento de los consejos territoriales de planeación</t>
  </si>
  <si>
    <t>Desarrollar   e implementar dos   (2) programas de fortalecimiento de la participación ciudadana y el control social</t>
  </si>
  <si>
    <t>Desarrollar e implantar de 2 instancias anuales de dialogo de la administración territorial y la ciudadanía</t>
  </si>
  <si>
    <t>Desarrollar e implantar el proceso de rendición de cuentas</t>
  </si>
  <si>
    <t>Generar espacios de dialogo para la rendición de cuentas y el seguimiento de compromisos</t>
  </si>
  <si>
    <t xml:space="preserve">Implementar 4 foros sectoriales de discusión anuales </t>
  </si>
  <si>
    <t xml:space="preserve">Apoyar la garantìa al debido proceso al 100% de los menores infractores de la ley penal </t>
  </si>
  <si>
    <t>Apoyar la disminuciòn del número de   adolescentes infractores de la ley reincidentes</t>
  </si>
  <si>
    <t xml:space="preserve">Implementar un plan de acción  para la prevención del tráfico y la comercialización de sustancias psicoactivas </t>
  </si>
  <si>
    <t>Realizar una (1) campaña para facilitar la denuncia y fortalecer la vigilancia de casos de violencia sexual</t>
  </si>
  <si>
    <t>Implementar   con las autoridades competentes dos (2) acciones en el marco de los planes de desarme</t>
  </si>
  <si>
    <t>Apoyar diez (10) acciones del Plan de Seguridad y Convivencia Ciudadana, en coordinación con las entidades pertinentes</t>
  </si>
  <si>
    <t xml:space="preserve">Apoyar 01  programa del Fondo de Seguridad y Convivencia Ciudadana, a travès de la asistencia técnica </t>
  </si>
  <si>
    <t>Implementar  un (1) programa de recompensa  para la prevención de los delitos</t>
  </si>
  <si>
    <t xml:space="preserve">Implementar (3) estrategias para el Fortalecimiento a la socialización de acciones de la Fuerza Pública.  </t>
  </si>
  <si>
    <t>Fortalecer el Observatorio de la Convivencia Ciudadana y Derechos Humanos</t>
  </si>
  <si>
    <t>Implementar una (1) estrategia para la prevención de grupos delincuenciales y pandillas en adolescentes y jòvenes.</t>
  </si>
  <si>
    <t>Realizar   Un (1) programa para prevenir la trata de personas</t>
  </si>
  <si>
    <t>Implementar una (1) estrategia de protección a la vida, libertad e integridad de los servidores públicos del Departamento</t>
  </si>
  <si>
    <t>Realizar cinco (5) acciones para el fortalecimiento a la infraestructura tecnológica, operativa y física de la Fuerza Publica</t>
  </si>
  <si>
    <t>Diseñar e implementar cinco (5) estrategias para minimizar las acciones de los GAML, en coordinación con el Ejército Nacional y autoridades competentes</t>
  </si>
  <si>
    <t>Construir y dotar un (1) Centro de Atención Especializada (CAE) para el menor infractor</t>
  </si>
  <si>
    <t>Desarrollar tres (3) acciones   para el fortalecimiento de Sistema Judicial (Tribunales, Juzgados y Fiscalía)</t>
  </si>
  <si>
    <t>Fortalecer mediante tres (3) acciones al sistema carcelario y penitenciario departamental</t>
  </si>
  <si>
    <t xml:space="preserve">Implementar cinco (5) estrategias en acción integral y comportamientos seguros para la prevención de eventos por minas y artefactos explosivos en áreas urbanas y rurales </t>
  </si>
  <si>
    <t>Apoyar la disminucion del número   de niños, niñas, adolescentes entre 0 - 17 años que son victimas de minas</t>
  </si>
  <si>
    <t>Gestionar ante el Gobierno Nacional  un (1) programa  de desminado para el Departamento de Arauca</t>
  </si>
  <si>
    <t>Apoyar el fortalecimiento de las personerías en el 100% de los municipios</t>
  </si>
  <si>
    <t>Implementar una (1)  estrategia para la promocion de los DD.HH. Y DIH</t>
  </si>
  <si>
    <t>Implementar un (1) programa de capacitación en Derechos Humanos, a Funcionarios Públicos y miembros de la Fuerza Pública</t>
  </si>
  <si>
    <t>Implementar un (1) Plan de acción para el fortalecimiento de espacios e instancias departamentales  en prevención de violaciones en DD.HH e infracciones  al D.I.H</t>
  </si>
  <si>
    <t>Implementar una ruta de protección del reclutamiento forzado y utilización de violencias sexual en niños, niñas, jóvenes y adolescentes para el conflicto armado.</t>
  </si>
  <si>
    <t>Establecer un programa para la demarcaciòn de los bienes civiles y culturales que estan en riesgo de infracciòn al DIH</t>
  </si>
  <si>
    <t>Apoyar   una (1) estrategia para los defensores, lideres,  organizaciones sociales y comunitarias que promuevan los Derechos Humanos.</t>
  </si>
  <si>
    <t xml:space="preserve">Implementar un (1) programa intersectorial con enfoque poblacional y territorial de cultura ciudadana </t>
  </si>
  <si>
    <t>No. de proceso de modernización de la administración departamental implementado</t>
  </si>
  <si>
    <t>No. de proyectos de modernización y fortalecimiento institucional formulados e implementados</t>
  </si>
  <si>
    <t>No. de sistemas de control administrativo y financiero funcionando durante el cuatrienio</t>
  </si>
  <si>
    <t>Porcentaje de Inventario de bienes muebles e inmuebles del Departamento administrados</t>
  </si>
  <si>
    <t>No. de planes de acción ejecutados</t>
  </si>
  <si>
    <t>No. De programas desarrollados</t>
  </si>
  <si>
    <t>No. de áreas de infraestructura física remodeladas y adecuadas durante el cuatrienio</t>
  </si>
  <si>
    <t>Sistema contable, presupuestal,tributario y financiero  modernizado y optimizado</t>
  </si>
  <si>
    <t>Servicio Implementado</t>
  </si>
  <si>
    <t>Campaña Implementada</t>
  </si>
  <si>
    <t>Porcentaje de incremento del recaudo tributario</t>
  </si>
  <si>
    <t>No. de programas de implementados</t>
  </si>
  <si>
    <t>No. de organizaciones fortalecidas</t>
  </si>
  <si>
    <t>No. De municipios beneficiados</t>
  </si>
  <si>
    <t>No. De programas implementados</t>
  </si>
  <si>
    <t>No. de programas de fortalecimiento desarrollados</t>
  </si>
  <si>
    <t>No. de instancias de dialogo desarrollados e implantados</t>
  </si>
  <si>
    <t>No. de procesos de rendición de cuentas desarrollados e implantados</t>
  </si>
  <si>
    <t>No. de espacios de diálogos generados</t>
  </si>
  <si>
    <t>No. de foros de discusión implementados</t>
  </si>
  <si>
    <t>Porcentaje de adolescentes entre 14 y 17 años infractores de la ley con garantia al debido proceso</t>
  </si>
  <si>
    <t>No. de adolescentes entre 14 y 17 años infractores de la ley que reinciden</t>
  </si>
  <si>
    <t>No. Planes implementadas</t>
  </si>
  <si>
    <t>No. de acciones apoyadas</t>
  </si>
  <si>
    <t>No. de programas  apoyados</t>
  </si>
  <si>
    <t>No. de programa implementado</t>
  </si>
  <si>
    <t>No de estrategias implementadas</t>
  </si>
  <si>
    <t>Observatorio fortalecido</t>
  </si>
  <si>
    <t>No. de acciones ejecutadas</t>
  </si>
  <si>
    <t>No. de estrategias diseñadas e implementadas</t>
  </si>
  <si>
    <t>No. de CAE construidos y dotados</t>
  </si>
  <si>
    <t>No. de acciones desarrolladas</t>
  </si>
  <si>
    <t>No. de acciones adelantadas</t>
  </si>
  <si>
    <t>No. de municipios fortalecido</t>
  </si>
  <si>
    <t>No. de niños, niñas y adolescentes víctimas de MAP o MUSE</t>
  </si>
  <si>
    <t>No. De  programas gestionados</t>
  </si>
  <si>
    <t>Porcentajes de personerías fortalecidas</t>
  </si>
  <si>
    <t>Plan de acción Implementado</t>
  </si>
  <si>
    <t xml:space="preserve">No. de rutas implementadas </t>
  </si>
  <si>
    <t>Programa establecido</t>
  </si>
  <si>
    <t>Estrategia apoyada</t>
  </si>
  <si>
    <t>No. de programas intersectoriales con enfoque poblacional y territorial de cultura ciudadana implementado</t>
  </si>
  <si>
    <t>100% (62)</t>
  </si>
  <si>
    <t>14% (1)</t>
  </si>
  <si>
    <t>Desarrollo Comunitario</t>
  </si>
  <si>
    <t>Justicia Y Seguridad</t>
  </si>
  <si>
    <t>Centros De Reclusión</t>
  </si>
  <si>
    <t>Secretaria General y Desarrollo Institucional</t>
  </si>
  <si>
    <t>Secretaria de Hacienda Departamental</t>
  </si>
  <si>
    <t>Total PDD</t>
  </si>
  <si>
    <t>Deporte comunitario</t>
  </si>
  <si>
    <t>Realizar doce (12) programas integrales de deporte social y comunitario</t>
  </si>
  <si>
    <t>No. de programas integrales realizados</t>
  </si>
  <si>
    <t>28-3.125-165.500</t>
  </si>
  <si>
    <t>20-2.220-350.000</t>
  </si>
  <si>
    <t>TOTAL PROGRAMA</t>
  </si>
  <si>
    <t>TOTAL SUBPROGRAMA</t>
  </si>
  <si>
    <t>MR</t>
  </si>
  <si>
    <t>Incrementar en 200 mil toneladas la producción agropecuaria del departamento durante el periodo de Gobierno</t>
  </si>
  <si>
    <t xml:space="preserve">Toneladas de producción agropecuaria </t>
  </si>
  <si>
    <t xml:space="preserve">Generar valor agregado a cuatro productos agropecuarios del departamento de Arauca </t>
  </si>
  <si>
    <t>No. de productos agropecuarios con valor agregado</t>
  </si>
  <si>
    <t>Incrementar en un 20% el número de visitantes al departamento durante el periodo de Gobierno</t>
  </si>
  <si>
    <t>Porcentaje de incremento en el número de turistas que visitan el territorio araucano</t>
  </si>
  <si>
    <t>Generar  empleos a partir de las inversiones que adelante el sector público y las alianzas público-privadas</t>
  </si>
  <si>
    <t>Incrementar en 3 % la inversión en ACTI</t>
  </si>
  <si>
    <t>Porcentaje de inversión en ACTI</t>
  </si>
  <si>
    <t>Ampliar en un 30% la cobertura en los municipios para el acceso publico al servicio de internet, voz y datos en el cuatrienio</t>
  </si>
  <si>
    <t>Porcentaje de municipios conectados a internet</t>
  </si>
  <si>
    <t>70% (5)</t>
  </si>
  <si>
    <t>100%(7)</t>
  </si>
  <si>
    <t xml:space="preserve">Porcentaje de personas formadas y capacitadas en el uso de las TICS </t>
  </si>
  <si>
    <t>Inducir procesos de apropiación de TIC en docentes, estudiantes y servidores públicos</t>
  </si>
  <si>
    <t>Garantizar la gestión adecuada de residuos electrónicos</t>
  </si>
  <si>
    <t>Implementar como mìnimo el 70% de  la estrategia de Gobierno en Línea</t>
  </si>
  <si>
    <t xml:space="preserve">Proyectos en TIC Formulados y ejecutados </t>
  </si>
  <si>
    <t>No. de equipos de computo obsoletos dispuestos apropiadamente</t>
  </si>
  <si>
    <t>Nivel de avance en el índice de Gobierno en Línea</t>
  </si>
  <si>
    <t>porcentaje</t>
  </si>
  <si>
    <t>Numeros</t>
  </si>
  <si>
    <t xml:space="preserve">Fortalecer y/o crear 1400 mipymes durante el periodo de Gobierno </t>
  </si>
  <si>
    <t>No. de mipymes creadas y/o fortalecidas</t>
  </si>
  <si>
    <t>68.8</t>
  </si>
  <si>
    <t>71.5</t>
  </si>
  <si>
    <t>74.5</t>
  </si>
  <si>
    <t>0.65</t>
  </si>
  <si>
    <t>Disminuir en un 3% la prevalencia de desnutrición crónica en niños &lt; de 5 años.</t>
  </si>
  <si>
    <t>% de niños &lt; de 5 años con desnutrición crónica</t>
  </si>
  <si>
    <t xml:space="preserve">43 
</t>
  </si>
  <si>
    <t>Disminuir en 5%  (138) el número de heridos y el 10 % (5) muertos en accidentes de tránsito</t>
  </si>
  <si>
    <t>50/370</t>
  </si>
  <si>
    <t>48/280</t>
  </si>
  <si>
    <t>47/254</t>
  </si>
  <si>
    <t>46/244</t>
  </si>
  <si>
    <t>Disminuir en 15% (51) los accidentes de tránsito</t>
  </si>
  <si>
    <t>30% (4432)</t>
  </si>
  <si>
    <t>85%(6)</t>
  </si>
  <si>
    <t>Aumentar en un 2% (5000) el número de personas formadas y capacitadas en TICS en los 7 municipios del Departamento de Arauca</t>
  </si>
  <si>
    <t>2% (5000)</t>
  </si>
  <si>
    <t xml:space="preserve">Reducir en 50% (126) las violaciones a los DD. HH e infracciones a los DIH mediante la proteccion, educación y cultura en DD. HH. Y al  DIH </t>
  </si>
  <si>
    <t>Numero de obras construidas en relación con el plan de gestión</t>
  </si>
  <si>
    <t>Diseñar y construir  Diez (10) obras para la prevención y mitigación del riesgo urbano y rural, de conformidad con el plan de gestión del riesgo</t>
  </si>
  <si>
    <t xml:space="preserve">50% (4) </t>
  </si>
  <si>
    <t>Apoyar al 50%  (4) de los municipios para la adopción de instrumentos de planificación adecuados para la gestión del cambio climático</t>
  </si>
  <si>
    <t>Numero de Municipios apoyados</t>
  </si>
  <si>
    <t xml:space="preserve">Fortalecer el 100% de los Municipios del departamento de Arauca,  los programas de mediación, conciliación en equidad, justicia de paz amigable, composición y arbitraje </t>
  </si>
  <si>
    <t xml:space="preserve">100% (7) </t>
  </si>
  <si>
    <t>100% (7)</t>
  </si>
  <si>
    <t>14,28%(1)</t>
  </si>
  <si>
    <t>Fortalecer los sistemas propios de gobierno y juridiccion especial y su cordinaccion de los seis (6) pueblos indigenas del departamento</t>
  </si>
  <si>
    <t>Porcentaje de personas no aseguradas afiliadas</t>
  </si>
  <si>
    <t>Políticas Publicas: 4
Planes Estratégicos: 4</t>
  </si>
  <si>
    <t>Políticas Publicas: 7
Planes Estratégicos: 0</t>
  </si>
  <si>
    <t>No, de Km de vias mejoradas y/o rehabilitadas</t>
  </si>
  <si>
    <t>50% (4)</t>
  </si>
  <si>
    <t>Políticas Publicas: 0
Planes Estratégicos: 1</t>
  </si>
  <si>
    <t>700 predios legalizados</t>
  </si>
  <si>
    <t>420  Viviendas Sitio Propio y 800 predios legalizados</t>
  </si>
  <si>
    <t>320  Viviendas Urbana ,</t>
  </si>
  <si>
    <t xml:space="preserve">632 Viviendas  Nueva </t>
  </si>
  <si>
    <t>200 Vivienda Nuevas, 320 vivienda Usada</t>
  </si>
  <si>
    <t>196 iviendas  Nueva y 320 Vivienda Usada</t>
  </si>
  <si>
    <t>50% (4.320)</t>
  </si>
  <si>
    <t>25% (2.152)</t>
  </si>
  <si>
    <t>12.5% (1.075)</t>
  </si>
  <si>
    <t>30% (1.650)</t>
  </si>
  <si>
    <t>20%
(pob: 999)</t>
  </si>
  <si>
    <t>30%
(pob: 497)</t>
  </si>
  <si>
    <t>7 intersecciones semaforizadas/ 973 señales instaladas/ 140.000 ML demarcados</t>
  </si>
  <si>
    <t>2 intersecciones semaforizadas/ 287 señales instaladas/ 70.000 ML demarcados</t>
  </si>
  <si>
    <t>Apoyar la continuidad de los índices de prevalencias de las enfermedades de Fiebre Aftosa (0%), Rabia Bovina (4 focos), TBC (0%), Encefalitis Equina (0%) (Un programa de vacunacion)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</si>
</sst>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1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&quot;$&quot;\ #,##0;\-&quot;$&quot;\ #,##0"/>
    <numFmt numFmtId="165" formatCode="_-* #,##0.00_-;\-* #,##0.00_-;_-* &quot;-&quot;??_-;_-@_-"/>
    <numFmt numFmtId="166" formatCode="_-* #,##0\ &quot;€&quot;_-;\-* #,##0\ &quot;€&quot;_-;_-* &quot;-&quot;\ &quot;€&quot;_-;_-@_-"/>
    <numFmt numFmtId="167" formatCode="_-* #,##0.00\ _€_-;\-* #,##0.00\ _€_-;_-* &quot;-&quot;??\ _€_-;_-@_-"/>
    <numFmt numFmtId="168" formatCode="#,##0.000"/>
    <numFmt numFmtId="169" formatCode="\$#,##0.00\ ;\(\$#,##0.00\)"/>
    <numFmt numFmtId="170" formatCode="_([$€-2]* #,##0.00_);_([$€-2]* \(#,##0.00\);_([$€-2]* &quot;-&quot;??_)"/>
    <numFmt numFmtId="171" formatCode="#.##000"/>
    <numFmt numFmtId="172" formatCode="_-* #,##0\ _P_t_s_-;\-* #,##0\ _P_t_s_-;_-* &quot;-&quot;\ _P_t_s_-;_-@_-"/>
    <numFmt numFmtId="173" formatCode="0_)"/>
    <numFmt numFmtId="174" formatCode="\$#,#00"/>
    <numFmt numFmtId="175" formatCode="_-* #,##0\ &quot;Pts&quot;_-;\-* #,##0\ &quot;Pts&quot;_-;_-* &quot;-&quot;\ &quot;Pts&quot;_-;_-@_-"/>
    <numFmt numFmtId="176" formatCode="&quot;$&quot;#,##0;\-&quot;$&quot;#,##0"/>
    <numFmt numFmtId="177" formatCode="_ * #,##0.00_ ;_ * \-#,##0.00_ ;_ * &quot;-&quot;??_ ;_ @_ "/>
    <numFmt numFmtId="178" formatCode="#,##0."/>
    <numFmt numFmtId="179" formatCode="_(* #,##0.0000000_);_(* \(#,##0.0000000\);_(* &quot;-&quot;??_);_(@_)"/>
    <numFmt numFmtId="180" formatCode="_-* #,##0.00\ _P_t_s_-;\-* #,##0.00\ _P_t_s_-;_-* &quot;-&quot;??\ _P_t_s_-;_-@_-"/>
    <numFmt numFmtId="181" formatCode="_-* #,##0.000\ _p_t_a_-;\-* #,##0.000\ _p_t_a_-;_-* &quot;-&quot;??\ _p_t_a_-;_-@_-"/>
    <numFmt numFmtId="182" formatCode="_(* #,##0.000_);_(* \(#,##0.000\);_(* &quot;-&quot;??_);_(@_)"/>
    <numFmt numFmtId="183" formatCode="_(* #,##0.000000_);_(* \(#,##0.000000\);_(* &quot;-&quot;??_);_(@_)"/>
    <numFmt numFmtId="184" formatCode="#,##0.000;\-#,##0.000"/>
    <numFmt numFmtId="185" formatCode="%#,#00"/>
    <numFmt numFmtId="186" formatCode="General_)"/>
    <numFmt numFmtId="187" formatCode="#,##0;[Red]#,##0"/>
    <numFmt numFmtId="188" formatCode="_(* #,##0_);_(* \(#,##0\);_(* &quot;-&quot;??_);_(@_)"/>
    <numFmt numFmtId="189" formatCode="0.000%"/>
    <numFmt numFmtId="190" formatCode="&quot;$&quot;\ #,##0.00"/>
    <numFmt numFmtId="191" formatCode="0.0%"/>
    <numFmt numFmtId="192" formatCode="_-&quot;$&quot;* #,##0_-;\-&quot;$&quot;* #,##0_-;_-&quot;$&quot;* &quot;-&quot;??_-;_-@_-"/>
    <numFmt numFmtId="193" formatCode="0.0"/>
    <numFmt numFmtId="194" formatCode="_-&quot;$&quot;* #,##0.00_-;\-&quot;$&quot;* #,##0.00_-;_-&quot;$&quot;* &quot;-&quot;??_-;_-@_-"/>
    <numFmt numFmtId="195" formatCode="0.0000%"/>
    <numFmt numFmtId="196" formatCode="0.000"/>
    <numFmt numFmtId="197" formatCode="_([$$-240A]\ * #,##0.00_);_([$$-240A]\ * \(#,##0.00\);_([$$-240A]\ * &quot;-&quot;??_);_(@_)"/>
    <numFmt numFmtId="198" formatCode="#,##0.000;[Red]#,##0.000"/>
    <numFmt numFmtId="199" formatCode="_(* #,##0.0_);_(* \(#,##0.0\);_(* &quot;-&quot;??_);_(@_)"/>
    <numFmt numFmtId="200" formatCode="_(* #,##0.00_);_(* \(#,##0.00\);_(* &quot;-&quot;???_);_(@_)"/>
    <numFmt numFmtId="201" formatCode="#,##0.00;[Red]#,##0.00"/>
    <numFmt numFmtId="202" formatCode="_(&quot;$&quot;\ * #,##0_);_(&quot;$&quot;\ * \(#,##0\);_(&quot;$&quot;\ * &quot;-&quot;??_);_(@_)"/>
  </numFmts>
  <fonts count="42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2"/>
      <color indexed="9"/>
      <name val="Helvetica"/>
    </font>
    <font>
      <b/>
      <i/>
      <sz val="1"/>
      <color indexed="8"/>
      <name val="Courier"/>
      <family val="3"/>
    </font>
    <font>
      <sz val="10"/>
      <name val="BERNHARD"/>
    </font>
    <font>
      <sz val="10"/>
      <name val="MS Sans Serif"/>
      <family val="2"/>
    </font>
    <font>
      <sz val="8"/>
      <color indexed="10"/>
      <name val="BERNHARD"/>
    </font>
    <font>
      <sz val="12"/>
      <name val="Arial MT"/>
    </font>
    <font>
      <b/>
      <sz val="8"/>
      <color indexed="8"/>
      <name val="Arial"/>
      <family val="2"/>
    </font>
    <font>
      <b/>
      <sz val="9"/>
      <color indexed="8"/>
      <name val="Arial"/>
      <family val="2"/>
    </font>
    <font>
      <sz val="11"/>
      <color theme="1"/>
      <name val="Calibri"/>
      <family val="2"/>
      <scheme val="minor"/>
    </font>
    <font>
      <u/>
      <sz val="8"/>
      <color theme="10"/>
      <name val="Arial"/>
      <family val="2"/>
    </font>
    <font>
      <sz val="8"/>
      <color rgb="FF00000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9"/>
      <name val="Arial"/>
      <family val="2"/>
    </font>
    <font>
      <b/>
      <sz val="8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18">
    <xf numFmtId="0" fontId="0" fillId="0" borderId="0" applyNumberFormat="0" applyFont="0" applyFill="0" applyBorder="0" applyAlignment="0" applyProtection="0">
      <alignment vertical="top"/>
    </xf>
    <xf numFmtId="0" fontId="9" fillId="0" borderId="0" applyProtection="0"/>
    <xf numFmtId="0" fontId="9" fillId="0" borderId="0"/>
    <xf numFmtId="0" fontId="9" fillId="0" borderId="1" applyProtection="0"/>
    <xf numFmtId="2" fontId="9" fillId="0" borderId="0" applyProtection="0"/>
    <xf numFmtId="4" fontId="9" fillId="0" borderId="0" applyProtection="0"/>
    <xf numFmtId="0" fontId="10" fillId="0" borderId="0" applyProtection="0"/>
    <xf numFmtId="0" fontId="11" fillId="0" borderId="0" applyProtection="0"/>
    <xf numFmtId="169" fontId="9" fillId="0" borderId="0" applyProtection="0"/>
    <xf numFmtId="0" fontId="9" fillId="0" borderId="0"/>
    <xf numFmtId="0" fontId="7" fillId="0" borderId="0">
      <alignment vertical="top"/>
    </xf>
    <xf numFmtId="0" fontId="12" fillId="0" borderId="0">
      <protection locked="0"/>
    </xf>
    <xf numFmtId="0" fontId="12" fillId="0" borderId="0">
      <protection locked="0"/>
    </xf>
    <xf numFmtId="17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170" fontId="12" fillId="0" borderId="0">
      <protection locked="0"/>
    </xf>
    <xf numFmtId="0" fontId="12" fillId="0" borderId="0">
      <protection locked="0"/>
    </xf>
    <xf numFmtId="0" fontId="2" fillId="0" borderId="0" applyNumberFormat="0" applyFill="0" applyBorder="0" applyProtection="0">
      <alignment horizontal="left"/>
    </xf>
    <xf numFmtId="171" fontId="13" fillId="0" borderId="0">
      <protection locked="0"/>
    </xf>
    <xf numFmtId="172" fontId="4" fillId="0" borderId="0" applyFont="0" applyFill="0" applyBorder="0" applyAlignment="0" applyProtection="0"/>
    <xf numFmtId="171" fontId="13" fillId="0" borderId="0">
      <protection locked="0"/>
    </xf>
    <xf numFmtId="171" fontId="13" fillId="0" borderId="0">
      <protection locked="0"/>
    </xf>
    <xf numFmtId="0" fontId="2" fillId="0" borderId="0">
      <protection locked="0"/>
    </xf>
    <xf numFmtId="173" fontId="2" fillId="0" borderId="0">
      <protection locked="0"/>
    </xf>
    <xf numFmtId="173" fontId="2" fillId="0" borderId="0">
      <protection locked="0"/>
    </xf>
    <xf numFmtId="173" fontId="2" fillId="0" borderId="0">
      <protection locked="0"/>
    </xf>
    <xf numFmtId="173" fontId="2" fillId="0" borderId="0">
      <protection locked="0"/>
    </xf>
    <xf numFmtId="174" fontId="13" fillId="0" borderId="0">
      <protection locked="0"/>
    </xf>
    <xf numFmtId="175" fontId="4" fillId="0" borderId="0" applyFont="0" applyFill="0" applyBorder="0" applyAlignment="0" applyProtection="0"/>
    <xf numFmtId="174" fontId="13" fillId="0" borderId="0">
      <protection locked="0"/>
    </xf>
    <xf numFmtId="174" fontId="13" fillId="0" borderId="0">
      <protection locked="0"/>
    </xf>
    <xf numFmtId="0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170" fontId="13" fillId="0" borderId="0">
      <protection locked="0"/>
    </xf>
    <xf numFmtId="0" fontId="13" fillId="0" borderId="0">
      <protection locked="0"/>
    </xf>
    <xf numFmtId="0" fontId="14" fillId="0" borderId="0">
      <protection locked="0"/>
    </xf>
    <xf numFmtId="177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8" fontId="13" fillId="0" borderId="0">
      <protection locked="0"/>
    </xf>
    <xf numFmtId="178" fontId="13" fillId="0" borderId="0">
      <protection locked="0"/>
    </xf>
    <xf numFmtId="178" fontId="13" fillId="0" borderId="0">
      <protection locked="0"/>
    </xf>
    <xf numFmtId="178" fontId="12" fillId="0" borderId="0">
      <protection locked="0"/>
    </xf>
    <xf numFmtId="178" fontId="15" fillId="0" borderId="0">
      <protection locked="0"/>
    </xf>
    <xf numFmtId="178" fontId="12" fillId="0" borderId="0">
      <protection locked="0"/>
    </xf>
    <xf numFmtId="178" fontId="15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170" fontId="13" fillId="0" borderId="0">
      <protection locked="0"/>
    </xf>
    <xf numFmtId="0" fontId="13" fillId="0" borderId="0">
      <protection locked="0"/>
    </xf>
    <xf numFmtId="0" fontId="16" fillId="0" borderId="0"/>
    <xf numFmtId="170" fontId="16" fillId="0" borderId="0"/>
    <xf numFmtId="179" fontId="2" fillId="0" borderId="0">
      <protection locked="0"/>
    </xf>
    <xf numFmtId="179" fontId="2" fillId="0" borderId="0">
      <protection locked="0"/>
    </xf>
    <xf numFmtId="179" fontId="2" fillId="0" borderId="0">
      <protection locked="0"/>
    </xf>
    <xf numFmtId="179" fontId="2" fillId="0" borderId="0">
      <protection locked="0"/>
    </xf>
    <xf numFmtId="179" fontId="2" fillId="0" borderId="0">
      <protection locked="0"/>
    </xf>
    <xf numFmtId="179" fontId="2" fillId="0" borderId="0">
      <protection locked="0"/>
    </xf>
    <xf numFmtId="179" fontId="2" fillId="0" borderId="0">
      <protection locked="0"/>
    </xf>
    <xf numFmtId="179" fontId="2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170" fontId="13" fillId="0" borderId="0">
      <protection locked="0"/>
    </xf>
    <xf numFmtId="0" fontId="13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17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17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170" fontId="12" fillId="0" borderId="0">
      <protection locked="0"/>
    </xf>
    <xf numFmtId="0" fontId="12" fillId="0" borderId="0"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181" fontId="2" fillId="0" borderId="0" applyFont="0" applyFill="0" applyBorder="0" applyAlignment="0" applyProtection="0"/>
    <xf numFmtId="167" fontId="17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22" fillId="0" borderId="0" applyFont="0" applyFill="0" applyBorder="0" applyAlignment="0" applyProtection="0"/>
    <xf numFmtId="182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6" fillId="0" borderId="0"/>
    <xf numFmtId="170" fontId="16" fillId="0" borderId="0"/>
    <xf numFmtId="0" fontId="16" fillId="0" borderId="0"/>
    <xf numFmtId="170" fontId="16" fillId="0" borderId="0"/>
    <xf numFmtId="183" fontId="2" fillId="0" borderId="0">
      <protection locked="0"/>
    </xf>
    <xf numFmtId="183" fontId="2" fillId="0" borderId="0">
      <protection locked="0"/>
    </xf>
    <xf numFmtId="183" fontId="2" fillId="0" borderId="0">
      <protection locked="0"/>
    </xf>
    <xf numFmtId="183" fontId="2" fillId="0" borderId="0">
      <protection locked="0"/>
    </xf>
    <xf numFmtId="184" fontId="2" fillId="0" borderId="0">
      <protection locked="0"/>
    </xf>
    <xf numFmtId="184" fontId="2" fillId="0" borderId="0">
      <protection locked="0"/>
    </xf>
    <xf numFmtId="184" fontId="2" fillId="0" borderId="0">
      <protection locked="0"/>
    </xf>
    <xf numFmtId="184" fontId="2" fillId="0" borderId="0"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  <xf numFmtId="0" fontId="8" fillId="0" borderId="0"/>
    <xf numFmtId="0" fontId="22" fillId="0" borderId="0"/>
    <xf numFmtId="0" fontId="22" fillId="0" borderId="0"/>
    <xf numFmtId="0" fontId="17" fillId="0" borderId="0"/>
    <xf numFmtId="0" fontId="2" fillId="0" borderId="0"/>
    <xf numFmtId="185" fontId="13" fillId="0" borderId="0">
      <protection locked="0"/>
    </xf>
    <xf numFmtId="185" fontId="13" fillId="0" borderId="0">
      <protection locked="0"/>
    </xf>
    <xf numFmtId="185" fontId="13" fillId="0" borderId="0">
      <protection locked="0"/>
    </xf>
    <xf numFmtId="185" fontId="13" fillId="0" borderId="0">
      <protection locked="0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Alignment="0" applyProtection="0"/>
    <xf numFmtId="0" fontId="18" fillId="0" borderId="2"/>
    <xf numFmtId="170" fontId="18" fillId="0" borderId="2"/>
    <xf numFmtId="9" fontId="2" fillId="0" borderId="0" applyFont="0" applyFill="0" applyBorder="0" applyAlignment="0" applyProtection="0"/>
    <xf numFmtId="186" fontId="2" fillId="0" borderId="0">
      <protection locked="0"/>
    </xf>
    <xf numFmtId="9" fontId="2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3" fillId="0" borderId="0">
      <protection locked="0"/>
    </xf>
    <xf numFmtId="0" fontId="13" fillId="0" borderId="0">
      <protection locked="0"/>
    </xf>
    <xf numFmtId="170" fontId="13" fillId="0" borderId="0">
      <protection locked="0"/>
    </xf>
    <xf numFmtId="0" fontId="13" fillId="0" borderId="0">
      <protection locked="0"/>
    </xf>
    <xf numFmtId="164" fontId="19" fillId="0" borderId="0">
      <protection locked="0"/>
    </xf>
    <xf numFmtId="0" fontId="16" fillId="0" borderId="0"/>
    <xf numFmtId="170" fontId="16" fillId="0" borderId="0"/>
    <xf numFmtId="39" fontId="4" fillId="0" borderId="3" applyFill="0">
      <alignment horizontal="left"/>
    </xf>
    <xf numFmtId="39" fontId="4" fillId="0" borderId="3" applyFill="0">
      <alignment horizontal="left"/>
    </xf>
    <xf numFmtId="39" fontId="4" fillId="0" borderId="3" applyFill="0">
      <alignment horizontal="left"/>
    </xf>
    <xf numFmtId="39" fontId="4" fillId="0" borderId="3" applyFill="0">
      <alignment horizontal="left"/>
    </xf>
    <xf numFmtId="0" fontId="20" fillId="2" borderId="0">
      <alignment horizontal="left" vertical="top"/>
    </xf>
    <xf numFmtId="0" fontId="20" fillId="3" borderId="0">
      <alignment horizontal="left" vertical="top"/>
    </xf>
    <xf numFmtId="0" fontId="20" fillId="3" borderId="0">
      <alignment horizontal="left" vertical="top"/>
    </xf>
    <xf numFmtId="0" fontId="21" fillId="2" borderId="0">
      <alignment horizontal="center" vertical="center"/>
    </xf>
    <xf numFmtId="0" fontId="20" fillId="3" borderId="0">
      <alignment horizontal="left" vertical="center"/>
    </xf>
    <xf numFmtId="0" fontId="20" fillId="3" borderId="0">
      <alignment horizontal="left" vertical="center"/>
    </xf>
    <xf numFmtId="0" fontId="20" fillId="2" borderId="0">
      <alignment horizontal="right" vertical="top"/>
    </xf>
    <xf numFmtId="0" fontId="20" fillId="3" borderId="0">
      <alignment horizontal="right" vertical="center"/>
    </xf>
    <xf numFmtId="0" fontId="20" fillId="3" borderId="0">
      <alignment horizontal="right" vertical="center"/>
    </xf>
    <xf numFmtId="0" fontId="20" fillId="2" borderId="0">
      <alignment horizontal="left" vertical="center"/>
    </xf>
    <xf numFmtId="0" fontId="20" fillId="3" borderId="0">
      <alignment horizontal="right" vertical="top"/>
    </xf>
    <xf numFmtId="0" fontId="20" fillId="3" borderId="0">
      <alignment horizontal="right" vertical="top"/>
    </xf>
    <xf numFmtId="0" fontId="20" fillId="2" borderId="0">
      <alignment horizontal="right" vertical="center"/>
    </xf>
    <xf numFmtId="0" fontId="24" fillId="4" borderId="0">
      <alignment horizontal="right" vertical="top"/>
    </xf>
    <xf numFmtId="0" fontId="24" fillId="4" borderId="0">
      <alignment horizontal="left" vertical="top"/>
    </xf>
    <xf numFmtId="0" fontId="6" fillId="2" borderId="0">
      <alignment horizontal="right" vertical="top"/>
    </xf>
    <xf numFmtId="0" fontId="24" fillId="4" borderId="0">
      <alignment horizontal="left" vertical="top"/>
    </xf>
    <xf numFmtId="0" fontId="24" fillId="4" borderId="0">
      <alignment horizontal="right" vertical="top"/>
    </xf>
    <xf numFmtId="0" fontId="6" fillId="2" borderId="0">
      <alignment horizontal="left" vertical="top"/>
    </xf>
    <xf numFmtId="0" fontId="20" fillId="2" borderId="0">
      <alignment horizontal="right"/>
    </xf>
    <xf numFmtId="0" fontId="21" fillId="2" borderId="0">
      <alignment horizontal="right"/>
    </xf>
    <xf numFmtId="0" fontId="20" fillId="2" borderId="0">
      <alignment horizontal="right" vertical="top"/>
    </xf>
    <xf numFmtId="0" fontId="2" fillId="0" borderId="0" applyNumberFormat="0"/>
    <xf numFmtId="0" fontId="2" fillId="0" borderId="0" applyNumberFormat="0"/>
    <xf numFmtId="170" fontId="2" fillId="0" borderId="0" applyNumberFormat="0"/>
    <xf numFmtId="0" fontId="2" fillId="0" borderId="0" applyNumberFormat="0"/>
    <xf numFmtId="0" fontId="13" fillId="0" borderId="4">
      <protection locked="0"/>
    </xf>
    <xf numFmtId="170" fontId="13" fillId="0" borderId="4">
      <protection locked="0"/>
    </xf>
    <xf numFmtId="0" fontId="9" fillId="0" borderId="0" applyProtection="0"/>
    <xf numFmtId="0" fontId="9" fillId="0" borderId="0" applyProtection="0"/>
    <xf numFmtId="170" fontId="9" fillId="0" borderId="0" applyProtection="0"/>
    <xf numFmtId="0" fontId="9" fillId="0" borderId="0" applyProtection="0"/>
    <xf numFmtId="169" fontId="9" fillId="0" borderId="0" applyProtection="0"/>
    <xf numFmtId="0" fontId="10" fillId="0" borderId="0" applyProtection="0"/>
    <xf numFmtId="0" fontId="10" fillId="0" borderId="0" applyProtection="0"/>
    <xf numFmtId="170" fontId="10" fillId="0" borderId="0" applyProtection="0"/>
    <xf numFmtId="0" fontId="10" fillId="0" borderId="0" applyProtection="0"/>
    <xf numFmtId="0" fontId="11" fillId="0" borderId="0" applyProtection="0"/>
    <xf numFmtId="0" fontId="11" fillId="0" borderId="0" applyProtection="0"/>
    <xf numFmtId="170" fontId="11" fillId="0" borderId="0" applyProtection="0"/>
    <xf numFmtId="0" fontId="11" fillId="0" borderId="0" applyProtection="0"/>
    <xf numFmtId="0" fontId="9" fillId="0" borderId="1" applyProtection="0"/>
    <xf numFmtId="0" fontId="9" fillId="0" borderId="1" applyProtection="0"/>
    <xf numFmtId="170" fontId="9" fillId="0" borderId="1" applyProtection="0"/>
    <xf numFmtId="0" fontId="9" fillId="0" borderId="1" applyProtection="0"/>
    <xf numFmtId="0" fontId="9" fillId="0" borderId="0"/>
    <xf numFmtId="10" fontId="9" fillId="0" borderId="0" applyProtection="0"/>
    <xf numFmtId="0" fontId="9" fillId="0" borderId="0"/>
    <xf numFmtId="0" fontId="9" fillId="0" borderId="0"/>
    <xf numFmtId="170" fontId="9" fillId="0" borderId="0"/>
    <xf numFmtId="0" fontId="9" fillId="0" borderId="0"/>
    <xf numFmtId="2" fontId="9" fillId="0" borderId="0" applyProtection="0"/>
    <xf numFmtId="2" fontId="9" fillId="0" borderId="0" applyProtection="0"/>
    <xf numFmtId="2" fontId="9" fillId="0" borderId="0" applyProtection="0"/>
    <xf numFmtId="2" fontId="9" fillId="0" borderId="0" applyProtection="0"/>
    <xf numFmtId="4" fontId="9" fillId="0" borderId="0" applyProtection="0"/>
    <xf numFmtId="9" fontId="26" fillId="0" borderId="0" applyFont="0" applyFill="0" applyBorder="0" applyAlignment="0" applyProtection="0"/>
    <xf numFmtId="44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7" fillId="0" borderId="0" applyFont="0" applyFill="0" applyBorder="0" applyAlignment="0" applyProtection="0"/>
  </cellStyleXfs>
  <cellXfs count="781">
    <xf numFmtId="0" fontId="0" fillId="0" borderId="0" xfId="0" applyNumberFormat="1" applyFont="1" applyFill="1" applyBorder="1" applyAlignment="1" applyProtection="1">
      <alignment vertical="top"/>
    </xf>
    <xf numFmtId="10" fontId="4" fillId="6" borderId="6" xfId="223" applyNumberFormat="1" applyFont="1" applyFill="1" applyBorder="1" applyAlignment="1" applyProtection="1">
      <alignment vertical="center" wrapText="1"/>
    </xf>
    <xf numFmtId="0" fontId="4" fillId="7" borderId="5" xfId="223" applyNumberFormat="1" applyFont="1" applyFill="1" applyBorder="1" applyAlignment="1" applyProtection="1">
      <alignment vertical="center" wrapText="1"/>
    </xf>
    <xf numFmtId="10" fontId="4" fillId="7" borderId="6" xfId="223" applyNumberFormat="1" applyFont="1" applyFill="1" applyBorder="1" applyAlignment="1" applyProtection="1">
      <alignment vertical="center" wrapText="1"/>
    </xf>
    <xf numFmtId="0" fontId="4" fillId="7" borderId="10" xfId="223" applyNumberFormat="1" applyFont="1" applyFill="1" applyBorder="1" applyAlignment="1" applyProtection="1">
      <alignment vertical="center" wrapText="1"/>
    </xf>
    <xf numFmtId="0" fontId="4" fillId="7" borderId="6" xfId="223" applyNumberFormat="1" applyFont="1" applyFill="1" applyBorder="1" applyAlignment="1" applyProtection="1">
      <alignment vertical="center" wrapText="1"/>
    </xf>
    <xf numFmtId="0" fontId="4" fillId="7" borderId="10" xfId="0" applyNumberFormat="1" applyFont="1" applyFill="1" applyBorder="1" applyAlignment="1" applyProtection="1">
      <alignment vertical="center" wrapText="1"/>
    </xf>
    <xf numFmtId="0" fontId="4" fillId="7" borderId="6" xfId="0" applyNumberFormat="1" applyFont="1" applyFill="1" applyBorder="1" applyAlignment="1" applyProtection="1">
      <alignment vertical="center" wrapText="1"/>
    </xf>
    <xf numFmtId="9" fontId="4" fillId="7" borderId="5" xfId="223" applyNumberFormat="1" applyFont="1" applyFill="1" applyBorder="1" applyAlignment="1" applyProtection="1">
      <alignment horizontal="center" vertical="center" wrapText="1"/>
    </xf>
    <xf numFmtId="9" fontId="4" fillId="6" borderId="10" xfId="314" applyFont="1" applyFill="1" applyBorder="1" applyAlignment="1" applyProtection="1">
      <alignment vertical="center" wrapText="1"/>
    </xf>
    <xf numFmtId="10" fontId="4" fillId="6" borderId="10" xfId="223" applyNumberFormat="1" applyFont="1" applyFill="1" applyBorder="1" applyAlignment="1" applyProtection="1">
      <alignment vertical="center" wrapText="1"/>
    </xf>
    <xf numFmtId="0" fontId="4" fillId="8" borderId="10" xfId="223" applyNumberFormat="1" applyFont="1" applyFill="1" applyBorder="1" applyAlignment="1" applyProtection="1">
      <alignment vertical="center" wrapText="1"/>
    </xf>
    <xf numFmtId="0" fontId="4" fillId="8" borderId="6" xfId="223" applyNumberFormat="1" applyFont="1" applyFill="1" applyBorder="1" applyAlignment="1" applyProtection="1">
      <alignment vertical="center" wrapText="1"/>
    </xf>
    <xf numFmtId="0" fontId="0" fillId="9" borderId="5" xfId="0" applyNumberFormat="1" applyFont="1" applyFill="1" applyBorder="1" applyAlignment="1" applyProtection="1">
      <alignment vertical="top"/>
    </xf>
    <xf numFmtId="10" fontId="27" fillId="9" borderId="5" xfId="0" applyNumberFormat="1" applyFont="1" applyFill="1" applyBorder="1" applyAlignment="1" applyProtection="1">
      <alignment vertical="top"/>
    </xf>
    <xf numFmtId="44" fontId="27" fillId="9" borderId="5" xfId="315" applyFont="1" applyFill="1" applyBorder="1" applyAlignment="1" applyProtection="1">
      <alignment vertical="top"/>
    </xf>
    <xf numFmtId="44" fontId="4" fillId="7" borderId="5" xfId="165" applyFont="1" applyFill="1" applyBorder="1" applyAlignment="1" applyProtection="1">
      <alignment vertical="center" wrapText="1"/>
    </xf>
    <xf numFmtId="3" fontId="4" fillId="6" borderId="5" xfId="199" applyNumberFormat="1" applyFont="1" applyFill="1" applyBorder="1" applyAlignment="1" applyProtection="1">
      <alignment horizontal="center" vertical="center" wrapText="1"/>
    </xf>
    <xf numFmtId="3" fontId="4" fillId="6" borderId="5" xfId="223" applyNumberFormat="1" applyFont="1" applyFill="1" applyBorder="1" applyAlignment="1" applyProtection="1">
      <alignment horizontal="center" vertical="center" wrapText="1"/>
    </xf>
    <xf numFmtId="0" fontId="27" fillId="9" borderId="5" xfId="223" applyNumberFormat="1" applyFont="1" applyFill="1" applyBorder="1" applyAlignment="1" applyProtection="1">
      <alignment vertical="center" wrapText="1"/>
    </xf>
    <xf numFmtId="0" fontId="4" fillId="6" borderId="10" xfId="223" applyNumberFormat="1" applyFont="1" applyFill="1" applyBorder="1" applyAlignment="1" applyProtection="1">
      <alignment vertical="center" wrapText="1"/>
    </xf>
    <xf numFmtId="0" fontId="4" fillId="6" borderId="6" xfId="223" applyNumberFormat="1" applyFont="1" applyFill="1" applyBorder="1" applyAlignment="1" applyProtection="1">
      <alignment vertical="center" wrapText="1"/>
    </xf>
    <xf numFmtId="0" fontId="4" fillId="10" borderId="5" xfId="0" applyNumberFormat="1" applyFont="1" applyFill="1" applyBorder="1" applyAlignment="1" applyProtection="1">
      <alignment horizontal="center" vertical="center" wrapText="1"/>
    </xf>
    <xf numFmtId="9" fontId="4" fillId="6" borderId="5" xfId="314" applyFont="1" applyFill="1" applyBorder="1" applyAlignment="1" applyProtection="1">
      <alignment horizontal="center" vertical="center" wrapText="1"/>
    </xf>
    <xf numFmtId="3" fontId="4" fillId="6" borderId="8" xfId="223" applyNumberFormat="1" applyFont="1" applyFill="1" applyBorder="1" applyAlignment="1" applyProtection="1">
      <alignment horizontal="center" vertical="center" wrapText="1"/>
    </xf>
    <xf numFmtId="10" fontId="4" fillId="7" borderId="5" xfId="223" applyNumberFormat="1" applyFont="1" applyFill="1" applyBorder="1" applyAlignment="1" applyProtection="1">
      <alignment horizontal="center" vertical="center" wrapText="1"/>
    </xf>
    <xf numFmtId="0" fontId="27" fillId="5" borderId="5" xfId="213" applyNumberFormat="1" applyFont="1" applyFill="1" applyBorder="1" applyAlignment="1" applyProtection="1">
      <alignment horizontal="center" vertical="center" wrapText="1"/>
      <protection locked="0"/>
    </xf>
    <xf numFmtId="0" fontId="27" fillId="5" borderId="8" xfId="213" applyNumberFormat="1" applyFont="1" applyFill="1" applyBorder="1" applyAlignment="1" applyProtection="1">
      <alignment horizontal="center" vertical="center" wrapText="1"/>
      <protection locked="0"/>
    </xf>
    <xf numFmtId="0" fontId="4" fillId="6" borderId="5" xfId="0" applyNumberFormat="1" applyFont="1" applyFill="1" applyBorder="1" applyAlignment="1" applyProtection="1">
      <alignment horizontal="center" vertical="center" wrapText="1"/>
    </xf>
    <xf numFmtId="0" fontId="4" fillId="6" borderId="5" xfId="223" applyNumberFormat="1" applyFont="1" applyFill="1" applyBorder="1" applyAlignment="1" applyProtection="1">
      <alignment horizontal="center" vertical="center" wrapText="1"/>
    </xf>
    <xf numFmtId="44" fontId="4" fillId="6" borderId="5" xfId="165" applyFont="1" applyFill="1" applyBorder="1" applyAlignment="1" applyProtection="1">
      <alignment horizontal="center" vertical="center" wrapText="1"/>
    </xf>
    <xf numFmtId="4" fontId="4" fillId="6" borderId="5" xfId="223" applyNumberFormat="1" applyFont="1" applyFill="1" applyBorder="1" applyAlignment="1" applyProtection="1">
      <alignment horizontal="center" vertical="center" wrapText="1"/>
    </xf>
    <xf numFmtId="0" fontId="27" fillId="5" borderId="5" xfId="213" applyNumberFormat="1" applyFont="1" applyFill="1" applyBorder="1" applyAlignment="1" applyProtection="1">
      <alignment horizontal="center" vertical="center" wrapText="1"/>
      <protection locked="0"/>
    </xf>
    <xf numFmtId="0" fontId="4" fillId="6" borderId="6" xfId="0" applyNumberFormat="1" applyFont="1" applyFill="1" applyBorder="1" applyAlignment="1" applyProtection="1">
      <alignment horizontal="center" vertical="center" wrapText="1"/>
    </xf>
    <xf numFmtId="0" fontId="4" fillId="6" borderId="5" xfId="199" applyNumberFormat="1" applyFont="1" applyFill="1" applyBorder="1" applyAlignment="1" applyProtection="1">
      <alignment horizontal="center" vertical="center" wrapText="1"/>
    </xf>
    <xf numFmtId="44" fontId="4" fillId="6" borderId="5" xfId="165" applyFont="1" applyFill="1" applyBorder="1" applyAlignment="1" applyProtection="1">
      <alignment horizontal="center" vertical="center" wrapText="1"/>
    </xf>
    <xf numFmtId="0" fontId="27" fillId="5" borderId="15" xfId="213" applyNumberFormat="1" applyFont="1" applyFill="1" applyBorder="1" applyAlignment="1" applyProtection="1">
      <alignment horizontal="center" vertical="center" wrapText="1"/>
      <protection locked="0"/>
    </xf>
    <xf numFmtId="187" fontId="4" fillId="6" borderId="10" xfId="0" applyNumberFormat="1" applyFont="1" applyFill="1" applyBorder="1" applyAlignment="1" applyProtection="1">
      <alignment vertical="center" wrapText="1"/>
    </xf>
    <xf numFmtId="9" fontId="4" fillId="7" borderId="6" xfId="223" applyNumberFormat="1" applyFont="1" applyFill="1" applyBorder="1" applyAlignment="1" applyProtection="1">
      <alignment horizontal="center" vertical="center" wrapText="1"/>
    </xf>
    <xf numFmtId="187" fontId="4" fillId="11" borderId="15" xfId="0" applyNumberFormat="1" applyFont="1" applyFill="1" applyBorder="1" applyAlignment="1" applyProtection="1">
      <alignment vertical="center" wrapText="1"/>
    </xf>
    <xf numFmtId="0" fontId="4" fillId="11" borderId="15" xfId="0" applyFont="1" applyFill="1" applyBorder="1" applyAlignment="1">
      <alignment vertical="center" wrapText="1"/>
    </xf>
    <xf numFmtId="0" fontId="4" fillId="11" borderId="15" xfId="223" applyNumberFormat="1" applyFont="1" applyFill="1" applyBorder="1" applyAlignment="1" applyProtection="1">
      <alignment vertical="center" wrapText="1"/>
    </xf>
    <xf numFmtId="10" fontId="4" fillId="11" borderId="15" xfId="314" applyNumberFormat="1" applyFont="1" applyFill="1" applyBorder="1" applyAlignment="1">
      <alignment vertical="center" wrapText="1"/>
    </xf>
    <xf numFmtId="9" fontId="4" fillId="11" borderId="15" xfId="223" applyNumberFormat="1" applyFont="1" applyFill="1" applyBorder="1" applyAlignment="1" applyProtection="1">
      <alignment vertical="center" wrapText="1"/>
    </xf>
    <xf numFmtId="0" fontId="4" fillId="11" borderId="15" xfId="223" applyNumberFormat="1" applyFont="1" applyFill="1" applyBorder="1" applyAlignment="1" applyProtection="1">
      <alignment horizontal="center" vertical="center" wrapText="1"/>
    </xf>
    <xf numFmtId="0" fontId="4" fillId="11" borderId="15" xfId="0" applyNumberFormat="1" applyFont="1" applyFill="1" applyBorder="1" applyAlignment="1">
      <alignment horizontal="center" vertical="center" wrapText="1"/>
    </xf>
    <xf numFmtId="9" fontId="4" fillId="11" borderId="15" xfId="223" applyNumberFormat="1" applyFont="1" applyFill="1" applyBorder="1" applyAlignment="1" applyProtection="1">
      <alignment horizontal="center" vertical="center" wrapText="1"/>
    </xf>
    <xf numFmtId="1" fontId="4" fillId="11" borderId="15" xfId="0" applyNumberFormat="1" applyFont="1" applyFill="1" applyBorder="1" applyAlignment="1">
      <alignment horizontal="center" vertical="center" wrapText="1"/>
    </xf>
    <xf numFmtId="1" fontId="4" fillId="11" borderId="15" xfId="314" applyNumberFormat="1" applyFont="1" applyFill="1" applyBorder="1" applyAlignment="1">
      <alignment horizontal="center" vertical="center" wrapText="1"/>
    </xf>
    <xf numFmtId="0" fontId="4" fillId="11" borderId="15" xfId="0" applyNumberFormat="1" applyFont="1" applyFill="1" applyBorder="1" applyAlignment="1" applyProtection="1">
      <alignment horizontal="center" vertical="center" wrapText="1"/>
    </xf>
    <xf numFmtId="0" fontId="27" fillId="11" borderId="5" xfId="223" applyNumberFormat="1" applyFont="1" applyFill="1" applyBorder="1" applyAlignment="1" applyProtection="1">
      <alignment vertical="center" wrapText="1"/>
    </xf>
    <xf numFmtId="10" fontId="27" fillId="11" borderId="5" xfId="223" applyNumberFormat="1" applyFont="1" applyFill="1" applyBorder="1" applyAlignment="1" applyProtection="1">
      <alignment vertical="top"/>
    </xf>
    <xf numFmtId="0" fontId="4" fillId="11" borderId="5" xfId="223" applyNumberFormat="1" applyFont="1" applyFill="1" applyBorder="1" applyAlignment="1" applyProtection="1">
      <alignment vertical="center" wrapText="1"/>
    </xf>
    <xf numFmtId="10" fontId="27" fillId="11" borderId="5" xfId="240" applyNumberFormat="1" applyFont="1" applyFill="1" applyBorder="1" applyAlignment="1" applyProtection="1">
      <alignment vertical="center" wrapText="1"/>
    </xf>
    <xf numFmtId="10" fontId="27" fillId="11" borderId="5" xfId="223" applyNumberFormat="1" applyFont="1" applyFill="1" applyBorder="1" applyAlignment="1" applyProtection="1">
      <alignment horizontal="center" vertical="center" wrapText="1"/>
    </xf>
    <xf numFmtId="0" fontId="4" fillId="11" borderId="5" xfId="223" applyNumberFormat="1" applyFont="1" applyFill="1" applyBorder="1" applyAlignment="1" applyProtection="1">
      <alignment horizontal="center" vertical="center" wrapText="1"/>
    </xf>
    <xf numFmtId="187" fontId="27" fillId="11" borderId="15" xfId="0" applyNumberFormat="1" applyFont="1" applyFill="1" applyBorder="1" applyAlignment="1" applyProtection="1">
      <alignment vertical="center" wrapText="1"/>
    </xf>
    <xf numFmtId="43" fontId="27" fillId="9" borderId="5" xfId="317" applyFont="1" applyFill="1" applyBorder="1" applyAlignment="1" applyProtection="1">
      <alignment vertical="top"/>
    </xf>
    <xf numFmtId="43" fontId="27" fillId="5" borderId="5" xfId="213" applyNumberFormat="1" applyFont="1" applyFill="1" applyBorder="1" applyAlignment="1" applyProtection="1">
      <alignment horizontal="center" vertical="center" wrapText="1"/>
      <protection locked="0"/>
    </xf>
    <xf numFmtId="0" fontId="27" fillId="5" borderId="5" xfId="223" applyNumberFormat="1" applyFont="1" applyFill="1" applyBorder="1" applyAlignment="1" applyProtection="1">
      <alignment vertical="center" wrapText="1"/>
    </xf>
    <xf numFmtId="197" fontId="27" fillId="11" borderId="15" xfId="0" applyNumberFormat="1" applyFont="1" applyFill="1" applyBorder="1" applyAlignment="1">
      <alignment horizontal="justify" vertical="center"/>
    </xf>
    <xf numFmtId="44" fontId="27" fillId="11" borderId="5" xfId="315" applyFont="1" applyFill="1" applyBorder="1" applyAlignment="1" applyProtection="1">
      <alignment vertical="center" wrapText="1"/>
    </xf>
    <xf numFmtId="44" fontId="27" fillId="5" borderId="15" xfId="213" applyNumberFormat="1" applyFont="1" applyFill="1" applyBorder="1" applyAlignment="1" applyProtection="1">
      <alignment vertical="center" wrapText="1"/>
      <protection locked="0"/>
    </xf>
    <xf numFmtId="0" fontId="4" fillId="8" borderId="10" xfId="223" applyNumberFormat="1" applyFont="1" applyFill="1" applyBorder="1" applyAlignment="1" applyProtection="1">
      <alignment horizontal="center" vertical="center" wrapText="1"/>
    </xf>
    <xf numFmtId="0" fontId="4" fillId="8" borderId="6" xfId="223" applyNumberFormat="1" applyFont="1" applyFill="1" applyBorder="1" applyAlignment="1" applyProtection="1">
      <alignment horizontal="center" vertical="center" wrapText="1"/>
    </xf>
    <xf numFmtId="0" fontId="4" fillId="6" borderId="10" xfId="223" applyNumberFormat="1" applyFont="1" applyFill="1" applyBorder="1" applyAlignment="1" applyProtection="1">
      <alignment horizontal="center" vertical="center" wrapText="1"/>
    </xf>
    <xf numFmtId="0" fontId="4" fillId="6" borderId="6" xfId="223" applyNumberFormat="1" applyFont="1" applyFill="1" applyBorder="1" applyAlignment="1" applyProtection="1">
      <alignment horizontal="center" vertical="center" wrapText="1"/>
    </xf>
    <xf numFmtId="0" fontId="4" fillId="6" borderId="5" xfId="223" applyNumberFormat="1" applyFont="1" applyFill="1" applyBorder="1" applyAlignment="1" applyProtection="1">
      <alignment horizontal="center" vertical="center" wrapText="1"/>
    </xf>
    <xf numFmtId="9" fontId="4" fillId="6" borderId="5" xfId="223" applyNumberFormat="1" applyFont="1" applyFill="1" applyBorder="1" applyAlignment="1" applyProtection="1">
      <alignment horizontal="center" vertical="center" wrapText="1"/>
    </xf>
    <xf numFmtId="10" fontId="4" fillId="7" borderId="6" xfId="223" applyNumberFormat="1" applyFont="1" applyFill="1" applyBorder="1" applyAlignment="1" applyProtection="1">
      <alignment horizontal="center" vertical="center" wrapText="1"/>
    </xf>
    <xf numFmtId="44" fontId="4" fillId="7" borderId="6" xfId="315" applyFont="1" applyFill="1" applyBorder="1" applyAlignment="1" applyProtection="1">
      <alignment vertical="center" wrapText="1"/>
    </xf>
    <xf numFmtId="10" fontId="4" fillId="11" borderId="6" xfId="223" applyNumberFormat="1" applyFont="1" applyFill="1" applyBorder="1" applyAlignment="1" applyProtection="1">
      <alignment vertical="center" wrapText="1"/>
    </xf>
    <xf numFmtId="0" fontId="4" fillId="11" borderId="5" xfId="0" applyNumberFormat="1" applyFont="1" applyFill="1" applyBorder="1" applyAlignment="1" applyProtection="1">
      <alignment horizontal="left" vertical="center" wrapText="1"/>
    </xf>
    <xf numFmtId="0" fontId="4" fillId="11" borderId="14" xfId="223" applyNumberFormat="1" applyFont="1" applyFill="1" applyBorder="1" applyAlignment="1" applyProtection="1">
      <alignment vertical="center" wrapText="1"/>
    </xf>
    <xf numFmtId="44" fontId="27" fillId="11" borderId="14" xfId="223" applyNumberFormat="1" applyFont="1" applyFill="1" applyBorder="1" applyAlignment="1" applyProtection="1">
      <alignment vertical="center" wrapText="1"/>
    </xf>
    <xf numFmtId="10" fontId="4" fillId="11" borderId="8" xfId="240" applyNumberFormat="1" applyFont="1" applyFill="1" applyBorder="1" applyAlignment="1" applyProtection="1">
      <alignment vertical="center" wrapText="1"/>
    </xf>
    <xf numFmtId="0" fontId="4" fillId="11" borderId="5" xfId="0" applyNumberFormat="1" applyFont="1" applyFill="1" applyBorder="1" applyAlignment="1" applyProtection="1">
      <alignment vertical="center" wrapText="1"/>
    </xf>
    <xf numFmtId="1" fontId="4" fillId="11" borderId="5" xfId="0" applyNumberFormat="1" applyFont="1" applyFill="1" applyBorder="1" applyAlignment="1" applyProtection="1">
      <alignment horizontal="center" vertical="center" wrapText="1"/>
    </xf>
    <xf numFmtId="1" fontId="4" fillId="11" borderId="5" xfId="223" applyNumberFormat="1" applyFont="1" applyFill="1" applyBorder="1" applyAlignment="1" applyProtection="1">
      <alignment horizontal="center" vertical="center" wrapText="1"/>
    </xf>
    <xf numFmtId="0" fontId="4" fillId="11" borderId="5" xfId="223" applyNumberFormat="1" applyFont="1" applyFill="1" applyBorder="1" applyAlignment="1" applyProtection="1">
      <alignment horizontal="justify" vertical="center" wrapText="1"/>
    </xf>
    <xf numFmtId="0" fontId="4" fillId="11" borderId="17" xfId="223" applyNumberFormat="1" applyFont="1" applyFill="1" applyBorder="1" applyAlignment="1" applyProtection="1">
      <alignment vertical="center" wrapText="1"/>
    </xf>
    <xf numFmtId="10" fontId="4" fillId="11" borderId="17" xfId="223" applyNumberFormat="1" applyFont="1" applyFill="1" applyBorder="1" applyAlignment="1" applyProtection="1">
      <alignment vertical="center" wrapText="1"/>
    </xf>
    <xf numFmtId="10" fontId="4" fillId="11" borderId="17" xfId="240" applyNumberFormat="1" applyFont="1" applyFill="1" applyBorder="1" applyAlignment="1" applyProtection="1">
      <alignment vertical="center" wrapText="1"/>
    </xf>
    <xf numFmtId="0" fontId="4" fillId="11" borderId="17" xfId="0" applyFont="1" applyFill="1" applyBorder="1" applyAlignment="1">
      <alignment vertical="center" wrapText="1"/>
    </xf>
    <xf numFmtId="0" fontId="4" fillId="11" borderId="17" xfId="0" applyNumberFormat="1" applyFont="1" applyFill="1" applyBorder="1" applyAlignment="1" applyProtection="1">
      <alignment vertical="center" wrapText="1"/>
    </xf>
    <xf numFmtId="10" fontId="4" fillId="11" borderId="17" xfId="223" applyNumberFormat="1" applyFont="1" applyFill="1" applyBorder="1" applyAlignment="1" applyProtection="1">
      <alignment vertical="center"/>
    </xf>
    <xf numFmtId="187" fontId="4" fillId="11" borderId="17" xfId="223" applyNumberFormat="1" applyFont="1" applyFill="1" applyBorder="1" applyAlignment="1" applyProtection="1">
      <alignment vertical="center" wrapText="1"/>
    </xf>
    <xf numFmtId="0" fontId="27" fillId="11" borderId="17" xfId="223" applyNumberFormat="1" applyFont="1" applyFill="1" applyBorder="1" applyAlignment="1" applyProtection="1">
      <alignment vertical="center" wrapText="1"/>
    </xf>
    <xf numFmtId="10" fontId="4" fillId="10" borderId="8" xfId="240" applyNumberFormat="1" applyFont="1" applyFill="1" applyBorder="1" applyAlignment="1" applyProtection="1">
      <alignment vertical="center" wrapText="1"/>
    </xf>
    <xf numFmtId="0" fontId="4" fillId="10" borderId="5" xfId="223" applyNumberFormat="1" applyFont="1" applyFill="1" applyBorder="1" applyAlignment="1" applyProtection="1">
      <alignment horizontal="center" vertical="center" wrapText="1"/>
    </xf>
    <xf numFmtId="1" fontId="4" fillId="10" borderId="5" xfId="0" applyNumberFormat="1" applyFont="1" applyFill="1" applyBorder="1" applyAlignment="1" applyProtection="1">
      <alignment horizontal="center" vertical="center" wrapText="1"/>
    </xf>
    <xf numFmtId="0" fontId="27" fillId="10" borderId="17" xfId="223" applyNumberFormat="1" applyFont="1" applyFill="1" applyBorder="1" applyAlignment="1" applyProtection="1">
      <alignment vertical="center" wrapText="1"/>
    </xf>
    <xf numFmtId="10" fontId="4" fillId="10" borderId="17" xfId="223" applyNumberFormat="1" applyFont="1" applyFill="1" applyBorder="1" applyAlignment="1" applyProtection="1">
      <alignment vertical="center" wrapText="1"/>
    </xf>
    <xf numFmtId="10" fontId="4" fillId="10" borderId="17" xfId="240" applyNumberFormat="1" applyFont="1" applyFill="1" applyBorder="1" applyAlignment="1" applyProtection="1">
      <alignment vertical="center" wrapText="1"/>
    </xf>
    <xf numFmtId="0" fontId="4" fillId="10" borderId="17" xfId="0" applyNumberFormat="1" applyFont="1" applyFill="1" applyBorder="1" applyAlignment="1" applyProtection="1">
      <alignment vertical="center" wrapText="1"/>
    </xf>
    <xf numFmtId="187" fontId="4" fillId="10" borderId="17" xfId="223" applyNumberFormat="1" applyFont="1" applyFill="1" applyBorder="1" applyAlignment="1" applyProtection="1">
      <alignment vertical="center" wrapText="1"/>
    </xf>
    <xf numFmtId="10" fontId="4" fillId="10" borderId="17" xfId="0" applyNumberFormat="1" applyFont="1" applyFill="1" applyBorder="1" applyAlignment="1" applyProtection="1">
      <alignment vertical="center" wrapText="1"/>
    </xf>
    <xf numFmtId="0" fontId="4" fillId="10" borderId="17" xfId="0" applyNumberFormat="1" applyFont="1" applyFill="1" applyBorder="1" applyAlignment="1" applyProtection="1">
      <alignment horizontal="left" vertical="center" wrapText="1"/>
    </xf>
    <xf numFmtId="0" fontId="4" fillId="10" borderId="17" xfId="223" applyNumberFormat="1" applyFont="1" applyFill="1" applyBorder="1" applyAlignment="1" applyProtection="1">
      <alignment horizontal="center" vertical="center" wrapText="1"/>
    </xf>
    <xf numFmtId="0" fontId="4" fillId="10" borderId="17" xfId="0" applyNumberFormat="1" applyFont="1" applyFill="1" applyBorder="1" applyAlignment="1" applyProtection="1">
      <alignment horizontal="center" vertical="center" wrapText="1"/>
    </xf>
    <xf numFmtId="1" fontId="4" fillId="10" borderId="17" xfId="0" applyNumberFormat="1" applyFont="1" applyFill="1" applyBorder="1" applyAlignment="1" applyProtection="1">
      <alignment horizontal="center" vertical="center" wrapText="1"/>
    </xf>
    <xf numFmtId="0" fontId="4" fillId="10" borderId="17" xfId="223" applyNumberFormat="1" applyFont="1" applyFill="1" applyBorder="1" applyAlignment="1" applyProtection="1">
      <alignment horizontal="justify" vertical="center" wrapText="1"/>
    </xf>
    <xf numFmtId="187" fontId="4" fillId="11" borderId="17" xfId="0" applyNumberFormat="1" applyFont="1" applyFill="1" applyBorder="1" applyAlignment="1" applyProtection="1">
      <alignment vertical="center" wrapText="1"/>
    </xf>
    <xf numFmtId="187" fontId="4" fillId="11" borderId="17" xfId="240" applyNumberFormat="1" applyFont="1" applyFill="1" applyBorder="1" applyAlignment="1">
      <alignment vertical="center" wrapText="1"/>
    </xf>
    <xf numFmtId="44" fontId="27" fillId="11" borderId="5" xfId="165" applyFont="1" applyFill="1" applyBorder="1" applyAlignment="1" applyProtection="1">
      <alignment horizontal="center" vertical="center" wrapText="1"/>
    </xf>
    <xf numFmtId="43" fontId="27" fillId="10" borderId="17" xfId="317" applyFont="1" applyFill="1" applyBorder="1" applyAlignment="1" applyProtection="1">
      <alignment horizontal="left" vertical="center" wrapText="1"/>
    </xf>
    <xf numFmtId="44" fontId="27" fillId="10" borderId="17" xfId="165" applyFont="1" applyFill="1" applyBorder="1" applyAlignment="1" applyProtection="1">
      <alignment horizontal="center" vertical="center" wrapText="1"/>
    </xf>
    <xf numFmtId="0" fontId="4" fillId="6" borderId="16" xfId="223" applyNumberFormat="1" applyFont="1" applyFill="1" applyBorder="1" applyAlignment="1" applyProtection="1">
      <alignment horizontal="center" vertical="center" wrapText="1"/>
    </xf>
    <xf numFmtId="0" fontId="4" fillId="6" borderId="16" xfId="223" applyNumberFormat="1" applyFont="1" applyFill="1" applyBorder="1" applyAlignment="1" applyProtection="1">
      <alignment vertical="center" wrapText="1"/>
    </xf>
    <xf numFmtId="0" fontId="4" fillId="11" borderId="5" xfId="199" applyNumberFormat="1" applyFont="1" applyFill="1" applyBorder="1" applyAlignment="1" applyProtection="1">
      <alignment horizontal="center" vertical="center" wrapText="1"/>
    </xf>
    <xf numFmtId="10" fontId="4" fillId="11" borderId="5" xfId="223" applyNumberFormat="1" applyFont="1" applyFill="1" applyBorder="1" applyAlignment="1" applyProtection="1">
      <alignment horizontal="center" vertical="center" wrapText="1"/>
    </xf>
    <xf numFmtId="188" fontId="4" fillId="11" borderId="5" xfId="141" applyNumberFormat="1" applyFont="1" applyFill="1" applyBorder="1" applyAlignment="1" applyProtection="1">
      <alignment horizontal="center" vertical="center" wrapText="1"/>
    </xf>
    <xf numFmtId="187" fontId="4" fillId="6" borderId="16" xfId="223" applyNumberFormat="1" applyFont="1" applyFill="1" applyBorder="1" applyAlignment="1" applyProtection="1">
      <alignment vertical="center" wrapText="1"/>
    </xf>
    <xf numFmtId="187" fontId="4" fillId="6" borderId="10" xfId="223" applyNumberFormat="1" applyFont="1" applyFill="1" applyBorder="1" applyAlignment="1" applyProtection="1">
      <alignment vertical="center" wrapText="1"/>
    </xf>
    <xf numFmtId="187" fontId="4" fillId="6" borderId="6" xfId="223" applyNumberFormat="1" applyFont="1" applyFill="1" applyBorder="1" applyAlignment="1" applyProtection="1">
      <alignment vertical="center" wrapText="1"/>
    </xf>
    <xf numFmtId="0" fontId="4" fillId="11" borderId="17" xfId="199" applyNumberFormat="1" applyFont="1" applyFill="1" applyBorder="1" applyAlignment="1" applyProtection="1">
      <alignment horizontal="center" vertical="center" wrapText="1"/>
    </xf>
    <xf numFmtId="0" fontId="4" fillId="6" borderId="17" xfId="223" applyNumberFormat="1" applyFont="1" applyFill="1" applyBorder="1" applyAlignment="1" applyProtection="1">
      <alignment vertical="center" wrapText="1"/>
    </xf>
    <xf numFmtId="187" fontId="4" fillId="6" borderId="17" xfId="223" applyNumberFormat="1" applyFont="1" applyFill="1" applyBorder="1" applyAlignment="1" applyProtection="1">
      <alignment vertical="center" wrapText="1"/>
    </xf>
    <xf numFmtId="44" fontId="27" fillId="11" borderId="5" xfId="165" applyFont="1" applyFill="1" applyBorder="1" applyAlignment="1">
      <alignment horizontal="center" vertical="center" wrapText="1"/>
    </xf>
    <xf numFmtId="10" fontId="4" fillId="6" borderId="17" xfId="314" applyNumberFormat="1" applyFont="1" applyFill="1" applyBorder="1" applyAlignment="1" applyProtection="1">
      <alignment horizontal="center" vertical="center" wrapText="1"/>
    </xf>
    <xf numFmtId="44" fontId="27" fillId="11" borderId="17" xfId="223" applyNumberFormat="1" applyFont="1" applyFill="1" applyBorder="1" applyAlignment="1" applyProtection="1">
      <alignment vertical="center" wrapText="1"/>
    </xf>
    <xf numFmtId="0" fontId="4" fillId="10" borderId="17" xfId="223" applyNumberFormat="1" applyFont="1" applyFill="1" applyBorder="1" applyAlignment="1" applyProtection="1">
      <alignment vertical="center" wrapText="1"/>
    </xf>
    <xf numFmtId="43" fontId="27" fillId="10" borderId="17" xfId="223" applyNumberFormat="1" applyFont="1" applyFill="1" applyBorder="1" applyAlignment="1" applyProtection="1">
      <alignment vertical="center" wrapText="1"/>
    </xf>
    <xf numFmtId="44" fontId="27" fillId="10" borderId="17" xfId="223" applyNumberFormat="1" applyFont="1" applyFill="1" applyBorder="1" applyAlignment="1" applyProtection="1">
      <alignment vertical="center" wrapText="1"/>
    </xf>
    <xf numFmtId="0" fontId="4" fillId="12" borderId="17" xfId="0" applyNumberFormat="1" applyFont="1" applyFill="1" applyBorder="1" applyAlignment="1" applyProtection="1">
      <alignment horizontal="justify" vertical="center" wrapText="1"/>
      <protection locked="0"/>
    </xf>
    <xf numFmtId="0" fontId="4" fillId="11" borderId="17" xfId="0" applyNumberFormat="1" applyFont="1" applyFill="1" applyBorder="1" applyAlignment="1" applyProtection="1">
      <alignment horizontal="justify" vertical="center" wrapText="1"/>
      <protection locked="0"/>
    </xf>
    <xf numFmtId="0" fontId="4" fillId="11" borderId="5" xfId="0" applyNumberFormat="1" applyFont="1" applyFill="1" applyBorder="1" applyAlignment="1" applyProtection="1">
      <alignment horizontal="center" vertical="center" wrapText="1"/>
    </xf>
    <xf numFmtId="3" fontId="4" fillId="11" borderId="5" xfId="223" applyNumberFormat="1" applyFont="1" applyFill="1" applyBorder="1" applyAlignment="1" applyProtection="1">
      <alignment horizontal="center" vertical="center" wrapText="1"/>
    </xf>
    <xf numFmtId="44" fontId="4" fillId="6" borderId="17" xfId="165" applyFont="1" applyFill="1" applyBorder="1" applyAlignment="1" applyProtection="1">
      <alignment vertical="center" wrapText="1"/>
    </xf>
    <xf numFmtId="10" fontId="4" fillId="11" borderId="8" xfId="223" applyNumberFormat="1" applyFont="1" applyFill="1" applyBorder="1" applyAlignment="1" applyProtection="1">
      <alignment vertical="center" wrapText="1"/>
    </xf>
    <xf numFmtId="9" fontId="4" fillId="11" borderId="5" xfId="0" applyNumberFormat="1" applyFont="1" applyFill="1" applyBorder="1" applyAlignment="1" applyProtection="1">
      <alignment horizontal="center" vertical="center" wrapText="1"/>
    </xf>
    <xf numFmtId="10" fontId="4" fillId="11" borderId="5" xfId="0" applyNumberFormat="1" applyFont="1" applyFill="1" applyBorder="1" applyAlignment="1" applyProtection="1">
      <alignment horizontal="center" vertical="center" wrapText="1"/>
    </xf>
    <xf numFmtId="195" fontId="4" fillId="11" borderId="5" xfId="223" applyNumberFormat="1" applyFont="1" applyFill="1" applyBorder="1" applyAlignment="1" applyProtection="1">
      <alignment horizontal="center" vertical="center" wrapText="1"/>
    </xf>
    <xf numFmtId="0" fontId="4" fillId="10" borderId="6" xfId="0" applyNumberFormat="1" applyFont="1" applyFill="1" applyBorder="1" applyAlignment="1" applyProtection="1">
      <alignment vertical="center" wrapText="1"/>
    </xf>
    <xf numFmtId="10" fontId="4" fillId="10" borderId="8" xfId="223" applyNumberFormat="1" applyFont="1" applyFill="1" applyBorder="1" applyAlignment="1" applyProtection="1">
      <alignment vertical="center" wrapText="1"/>
    </xf>
    <xf numFmtId="191" fontId="4" fillId="10" borderId="5" xfId="0" applyNumberFormat="1" applyFont="1" applyFill="1" applyBorder="1" applyAlignment="1" applyProtection="1">
      <alignment horizontal="center" vertical="center" wrapText="1"/>
    </xf>
    <xf numFmtId="10" fontId="4" fillId="10" borderId="5" xfId="223" applyNumberFormat="1" applyFont="1" applyFill="1" applyBorder="1" applyAlignment="1" applyProtection="1">
      <alignment horizontal="center" vertical="center" wrapText="1"/>
    </xf>
    <xf numFmtId="1" fontId="4" fillId="10" borderId="5" xfId="223" applyNumberFormat="1" applyFont="1" applyFill="1" applyBorder="1" applyAlignment="1" applyProtection="1">
      <alignment horizontal="center" vertical="center" wrapText="1"/>
    </xf>
    <xf numFmtId="0" fontId="4" fillId="13" borderId="17" xfId="0" applyNumberFormat="1" applyFont="1" applyFill="1" applyBorder="1" applyAlignment="1" applyProtection="1">
      <alignment vertical="center" wrapText="1"/>
    </xf>
    <xf numFmtId="0" fontId="4" fillId="13" borderId="17" xfId="0" applyNumberFormat="1" applyFont="1" applyFill="1" applyBorder="1" applyAlignment="1" applyProtection="1">
      <alignment horizontal="center" vertical="center" wrapText="1"/>
    </xf>
    <xf numFmtId="10" fontId="4" fillId="13" borderId="17" xfId="223" applyNumberFormat="1" applyFont="1" applyFill="1" applyBorder="1" applyAlignment="1" applyProtection="1">
      <alignment vertical="center" wrapText="1"/>
    </xf>
    <xf numFmtId="10" fontId="4" fillId="13" borderId="17" xfId="240" applyNumberFormat="1" applyFont="1" applyFill="1" applyBorder="1" applyAlignment="1" applyProtection="1">
      <alignment vertical="center" wrapText="1"/>
    </xf>
    <xf numFmtId="0" fontId="4" fillId="13" borderId="17" xfId="223" applyNumberFormat="1" applyFont="1" applyFill="1" applyBorder="1" applyAlignment="1" applyProtection="1">
      <alignment horizontal="center" vertical="center" wrapText="1"/>
    </xf>
    <xf numFmtId="187" fontId="4" fillId="13" borderId="17" xfId="223" applyNumberFormat="1" applyFont="1" applyFill="1" applyBorder="1" applyAlignment="1" applyProtection="1">
      <alignment horizontal="center" vertical="center" wrapText="1"/>
    </xf>
    <xf numFmtId="1" fontId="4" fillId="13" borderId="17" xfId="223" applyNumberFormat="1" applyFont="1" applyFill="1" applyBorder="1" applyAlignment="1" applyProtection="1">
      <alignment horizontal="center" vertical="center" wrapText="1"/>
    </xf>
    <xf numFmtId="0" fontId="27" fillId="13" borderId="17" xfId="223" applyNumberFormat="1" applyFont="1" applyFill="1" applyBorder="1" applyAlignment="1" applyProtection="1">
      <alignment vertical="center" wrapText="1"/>
    </xf>
    <xf numFmtId="0" fontId="4" fillId="7" borderId="5" xfId="223" applyNumberFormat="1" applyFont="1" applyFill="1" applyBorder="1" applyAlignment="1" applyProtection="1">
      <alignment horizontal="center" vertical="center" wrapText="1"/>
    </xf>
    <xf numFmtId="0" fontId="4" fillId="7" borderId="5" xfId="0" applyNumberFormat="1" applyFont="1" applyFill="1" applyBorder="1" applyAlignment="1" applyProtection="1">
      <alignment horizontal="center" vertical="center" wrapText="1"/>
    </xf>
    <xf numFmtId="0" fontId="4" fillId="6" borderId="18" xfId="223" applyNumberFormat="1" applyFont="1" applyFill="1" applyBorder="1" applyAlignment="1" applyProtection="1">
      <alignment vertical="center" wrapText="1"/>
    </xf>
    <xf numFmtId="0" fontId="4" fillId="6" borderId="18" xfId="199" applyNumberFormat="1" applyFont="1" applyFill="1" applyBorder="1" applyAlignment="1" applyProtection="1">
      <alignment horizontal="center" vertical="center" wrapText="1"/>
    </xf>
    <xf numFmtId="0" fontId="4" fillId="6" borderId="18" xfId="0" applyNumberFormat="1" applyFont="1" applyFill="1" applyBorder="1" applyAlignment="1" applyProtection="1">
      <alignment horizontal="center" vertical="center" wrapText="1"/>
    </xf>
    <xf numFmtId="0" fontId="4" fillId="6" borderId="18" xfId="223" applyNumberFormat="1" applyFont="1" applyFill="1" applyBorder="1" applyAlignment="1" applyProtection="1">
      <alignment horizontal="center" vertical="center" wrapText="1"/>
    </xf>
    <xf numFmtId="3" fontId="4" fillId="6" borderId="18" xfId="223" applyNumberFormat="1" applyFont="1" applyFill="1" applyBorder="1" applyAlignment="1" applyProtection="1">
      <alignment horizontal="center" vertical="center" wrapText="1"/>
    </xf>
    <xf numFmtId="44" fontId="4" fillId="6" borderId="18" xfId="223" applyNumberFormat="1" applyFont="1" applyFill="1" applyBorder="1" applyAlignment="1" applyProtection="1">
      <alignment vertical="center" wrapText="1"/>
    </xf>
    <xf numFmtId="44" fontId="27" fillId="11" borderId="17" xfId="165" applyFont="1" applyFill="1" applyBorder="1" applyAlignment="1" applyProtection="1">
      <alignment vertical="center" wrapText="1"/>
    </xf>
    <xf numFmtId="0" fontId="4" fillId="8" borderId="19" xfId="223" applyNumberFormat="1" applyFont="1" applyFill="1" applyBorder="1" applyAlignment="1" applyProtection="1">
      <alignment vertical="center" wrapText="1"/>
    </xf>
    <xf numFmtId="192" fontId="27" fillId="11" borderId="5" xfId="165" applyNumberFormat="1" applyFont="1" applyFill="1" applyBorder="1" applyAlignment="1" applyProtection="1">
      <alignment vertical="center" wrapText="1"/>
    </xf>
    <xf numFmtId="0" fontId="4" fillId="7" borderId="19" xfId="223" applyNumberFormat="1" applyFont="1" applyFill="1" applyBorder="1" applyAlignment="1" applyProtection="1">
      <alignment vertical="center" wrapText="1"/>
    </xf>
    <xf numFmtId="43" fontId="4" fillId="7" borderId="19" xfId="317" applyFont="1" applyFill="1" applyBorder="1" applyAlignment="1" applyProtection="1">
      <alignment horizontal="center" vertical="center" wrapText="1"/>
    </xf>
    <xf numFmtId="0" fontId="4" fillId="6" borderId="19" xfId="223" applyNumberFormat="1" applyFont="1" applyFill="1" applyBorder="1" applyAlignment="1" applyProtection="1">
      <alignment horizontal="center" vertical="center" wrapText="1"/>
    </xf>
    <xf numFmtId="0" fontId="4" fillId="6" borderId="19" xfId="223" applyNumberFormat="1" applyFont="1" applyFill="1" applyBorder="1" applyAlignment="1" applyProtection="1">
      <alignment vertical="center" wrapText="1"/>
    </xf>
    <xf numFmtId="9" fontId="4" fillId="8" borderId="19" xfId="314" applyFont="1" applyFill="1" applyBorder="1" applyAlignment="1" applyProtection="1">
      <alignment horizontal="center" vertical="center" wrapText="1"/>
    </xf>
    <xf numFmtId="0" fontId="4" fillId="8" borderId="19" xfId="223" applyNumberFormat="1" applyFont="1" applyFill="1" applyBorder="1" applyAlignment="1" applyProtection="1">
      <alignment horizontal="center" vertical="center" wrapText="1"/>
    </xf>
    <xf numFmtId="192" fontId="27" fillId="10" borderId="5" xfId="165" applyNumberFormat="1" applyFont="1" applyFill="1" applyBorder="1" applyAlignment="1" applyProtection="1">
      <alignment horizontal="center" vertical="center" wrapText="1"/>
    </xf>
    <xf numFmtId="44" fontId="27" fillId="13" borderId="17" xfId="315" applyFont="1" applyFill="1" applyBorder="1" applyAlignment="1" applyProtection="1">
      <alignment vertical="center" wrapText="1"/>
    </xf>
    <xf numFmtId="10" fontId="4" fillId="11" borderId="18" xfId="223" applyNumberFormat="1" applyFont="1" applyFill="1" applyBorder="1" applyAlignment="1" applyProtection="1">
      <alignment vertical="center" wrapText="1"/>
    </xf>
    <xf numFmtId="0" fontId="4" fillId="11" borderId="18" xfId="0" applyNumberFormat="1" applyFont="1" applyFill="1" applyBorder="1" applyAlignment="1" applyProtection="1">
      <alignment horizontal="left" vertical="center" wrapText="1"/>
    </xf>
    <xf numFmtId="10" fontId="4" fillId="6" borderId="19" xfId="223" applyNumberFormat="1" applyFont="1" applyFill="1" applyBorder="1" applyAlignment="1" applyProtection="1">
      <alignment vertical="center" wrapText="1"/>
    </xf>
    <xf numFmtId="9" fontId="4" fillId="6" borderId="19" xfId="314" applyFont="1" applyFill="1" applyBorder="1" applyAlignment="1" applyProtection="1">
      <alignment horizontal="center" vertical="center" wrapText="1"/>
    </xf>
    <xf numFmtId="9" fontId="4" fillId="6" borderId="10" xfId="314" applyFont="1" applyFill="1" applyBorder="1" applyAlignment="1" applyProtection="1">
      <alignment horizontal="center" vertical="center" wrapText="1"/>
    </xf>
    <xf numFmtId="9" fontId="4" fillId="6" borderId="6" xfId="314" applyFont="1" applyFill="1" applyBorder="1" applyAlignment="1" applyProtection="1">
      <alignment horizontal="center" vertical="center" wrapText="1"/>
    </xf>
    <xf numFmtId="9" fontId="4" fillId="6" borderId="16" xfId="314" applyFont="1" applyFill="1" applyBorder="1" applyAlignment="1" applyProtection="1">
      <alignment horizontal="center" vertical="center" wrapText="1"/>
    </xf>
    <xf numFmtId="9" fontId="4" fillId="6" borderId="17" xfId="314" applyFont="1" applyFill="1" applyBorder="1" applyAlignment="1" applyProtection="1">
      <alignment horizontal="center" vertical="center" wrapText="1"/>
    </xf>
    <xf numFmtId="10" fontId="4" fillId="6" borderId="16" xfId="314" applyNumberFormat="1" applyFont="1" applyFill="1" applyBorder="1" applyAlignment="1" applyProtection="1">
      <alignment horizontal="center" vertical="center" wrapText="1"/>
    </xf>
    <xf numFmtId="0" fontId="4" fillId="11" borderId="18" xfId="223" applyNumberFormat="1" applyFont="1" applyFill="1" applyBorder="1" applyAlignment="1" applyProtection="1">
      <alignment vertical="center" wrapText="1"/>
    </xf>
    <xf numFmtId="9" fontId="4" fillId="11" borderId="18" xfId="223" applyNumberFormat="1" applyFont="1" applyFill="1" applyBorder="1" applyAlignment="1" applyProtection="1">
      <alignment vertical="center" wrapText="1"/>
    </xf>
    <xf numFmtId="194" fontId="27" fillId="11" borderId="18" xfId="315" applyNumberFormat="1" applyFont="1" applyFill="1" applyBorder="1" applyAlignment="1" applyProtection="1">
      <alignment vertical="center" wrapText="1"/>
    </xf>
    <xf numFmtId="43" fontId="27" fillId="11" borderId="18" xfId="223" applyNumberFormat="1" applyFont="1" applyFill="1" applyBorder="1" applyAlignment="1" applyProtection="1">
      <alignment vertical="center" wrapText="1"/>
    </xf>
    <xf numFmtId="44" fontId="4" fillId="6" borderId="6" xfId="315" applyFont="1" applyFill="1" applyBorder="1" applyAlignment="1" applyProtection="1">
      <alignment vertical="center" wrapText="1"/>
    </xf>
    <xf numFmtId="1" fontId="4" fillId="11" borderId="5" xfId="240" applyNumberFormat="1" applyFont="1" applyFill="1" applyBorder="1" applyAlignment="1" applyProtection="1">
      <alignment horizontal="center" vertical="center" wrapText="1"/>
    </xf>
    <xf numFmtId="187" fontId="4" fillId="11" borderId="5" xfId="223" applyNumberFormat="1" applyFont="1" applyFill="1" applyBorder="1" applyAlignment="1" applyProtection="1">
      <alignment horizontal="center" vertical="center" wrapText="1"/>
    </xf>
    <xf numFmtId="44" fontId="4" fillId="11" borderId="5" xfId="165" applyFont="1" applyFill="1" applyBorder="1" applyAlignment="1" applyProtection="1">
      <alignment horizontal="center" vertical="center" wrapText="1"/>
    </xf>
    <xf numFmtId="187" fontId="4" fillId="7" borderId="6" xfId="0" applyNumberFormat="1" applyFont="1" applyFill="1" applyBorder="1" applyAlignment="1" applyProtection="1">
      <alignment vertical="center" wrapText="1"/>
    </xf>
    <xf numFmtId="187" fontId="4" fillId="11" borderId="18" xfId="223" applyNumberFormat="1" applyFont="1" applyFill="1" applyBorder="1" applyAlignment="1" applyProtection="1">
      <alignment horizontal="center" vertical="center" wrapText="1"/>
    </xf>
    <xf numFmtId="187" fontId="4" fillId="11" borderId="18" xfId="0" applyNumberFormat="1" applyFont="1" applyFill="1" applyBorder="1" applyAlignment="1" applyProtection="1">
      <alignment vertical="center" wrapText="1"/>
    </xf>
    <xf numFmtId="0" fontId="4" fillId="11" borderId="18" xfId="0" applyFont="1" applyFill="1" applyBorder="1" applyAlignment="1">
      <alignment vertical="center" wrapText="1"/>
    </xf>
    <xf numFmtId="0" fontId="4" fillId="11" borderId="18" xfId="223" applyNumberFormat="1" applyFont="1" applyFill="1" applyBorder="1" applyAlignment="1" applyProtection="1">
      <alignment horizontal="center" vertical="center" wrapText="1"/>
    </xf>
    <xf numFmtId="187" fontId="4" fillId="11" borderId="18" xfId="0" applyNumberFormat="1" applyFont="1" applyFill="1" applyBorder="1" applyAlignment="1">
      <alignment horizontal="center" vertical="center" wrapText="1"/>
    </xf>
    <xf numFmtId="43" fontId="4" fillId="7" borderId="5" xfId="317" applyFont="1" applyFill="1" applyBorder="1" applyAlignment="1" applyProtection="1">
      <alignment horizontal="center" vertical="center" wrapText="1"/>
    </xf>
    <xf numFmtId="10" fontId="4" fillId="7" borderId="19" xfId="223" applyNumberFormat="1" applyFont="1" applyFill="1" applyBorder="1" applyAlignment="1" applyProtection="1">
      <alignment vertical="center" wrapText="1"/>
    </xf>
    <xf numFmtId="10" fontId="4" fillId="7" borderId="19" xfId="223" applyNumberFormat="1" applyFont="1" applyFill="1" applyBorder="1" applyAlignment="1" applyProtection="1">
      <alignment horizontal="center" vertical="center" wrapText="1"/>
    </xf>
    <xf numFmtId="0" fontId="6" fillId="11" borderId="5" xfId="199" applyFont="1" applyFill="1" applyBorder="1" applyAlignment="1" applyProtection="1">
      <alignment horizontal="center" vertical="center" wrapText="1"/>
      <protection locked="0"/>
    </xf>
    <xf numFmtId="0" fontId="4" fillId="7" borderId="10" xfId="223" applyNumberFormat="1" applyFont="1" applyFill="1" applyBorder="1" applyAlignment="1" applyProtection="1">
      <alignment horizontal="center" vertical="center" wrapText="1"/>
    </xf>
    <xf numFmtId="0" fontId="4" fillId="7" borderId="6" xfId="223" applyNumberFormat="1" applyFont="1" applyFill="1" applyBorder="1" applyAlignment="1" applyProtection="1">
      <alignment horizontal="center" vertical="center" wrapText="1"/>
    </xf>
    <xf numFmtId="0" fontId="4" fillId="7" borderId="19" xfId="0" applyNumberFormat="1" applyFont="1" applyFill="1" applyBorder="1" applyAlignment="1" applyProtection="1">
      <alignment vertical="center" wrapText="1"/>
    </xf>
    <xf numFmtId="44" fontId="4" fillId="7" borderId="19" xfId="165" applyFont="1" applyFill="1" applyBorder="1" applyAlignment="1" applyProtection="1">
      <alignment vertical="center" wrapText="1"/>
    </xf>
    <xf numFmtId="44" fontId="4" fillId="7" borderId="10" xfId="165" applyFont="1" applyFill="1" applyBorder="1" applyAlignment="1" applyProtection="1">
      <alignment vertical="center" wrapText="1"/>
    </xf>
    <xf numFmtId="44" fontId="4" fillId="7" borderId="6" xfId="165" applyFont="1" applyFill="1" applyBorder="1" applyAlignment="1" applyProtection="1">
      <alignment vertical="center" wrapText="1"/>
    </xf>
    <xf numFmtId="0" fontId="4" fillId="7" borderId="19" xfId="223" applyNumberFormat="1" applyFont="1" applyFill="1" applyBorder="1" applyAlignment="1" applyProtection="1">
      <alignment horizontal="center" vertical="center" wrapText="1"/>
    </xf>
    <xf numFmtId="187" fontId="4" fillId="7" borderId="19" xfId="0" applyNumberFormat="1" applyFont="1" applyFill="1" applyBorder="1" applyAlignment="1" applyProtection="1">
      <alignment vertical="center" wrapText="1"/>
    </xf>
    <xf numFmtId="187" fontId="4" fillId="7" borderId="10" xfId="0" applyNumberFormat="1" applyFont="1" applyFill="1" applyBorder="1" applyAlignment="1" applyProtection="1">
      <alignment vertical="center" wrapText="1"/>
    </xf>
    <xf numFmtId="187" fontId="4" fillId="7" borderId="18" xfId="0" applyNumberFormat="1" applyFont="1" applyFill="1" applyBorder="1" applyAlignment="1" applyProtection="1">
      <alignment vertical="center" wrapText="1"/>
    </xf>
    <xf numFmtId="43" fontId="4" fillId="7" borderId="10" xfId="317" applyFont="1" applyFill="1" applyBorder="1" applyAlignment="1" applyProtection="1">
      <alignment vertical="center" wrapText="1"/>
    </xf>
    <xf numFmtId="43" fontId="4" fillId="7" borderId="6" xfId="317" applyFont="1" applyFill="1" applyBorder="1" applyAlignment="1" applyProtection="1">
      <alignment vertical="center" wrapText="1"/>
    </xf>
    <xf numFmtId="0" fontId="4" fillId="11" borderId="19" xfId="223" applyNumberFormat="1" applyFont="1" applyFill="1" applyBorder="1" applyAlignment="1" applyProtection="1">
      <alignment vertical="center" wrapText="1"/>
    </xf>
    <xf numFmtId="0" fontId="4" fillId="11" borderId="19" xfId="223" applyNumberFormat="1" applyFont="1" applyFill="1" applyBorder="1" applyAlignment="1" applyProtection="1">
      <alignment horizontal="center" vertical="center" wrapText="1"/>
    </xf>
    <xf numFmtId="44" fontId="27" fillId="11" borderId="19" xfId="223" applyNumberFormat="1" applyFont="1" applyFill="1" applyBorder="1" applyAlignment="1" applyProtection="1">
      <alignment horizontal="center" vertical="center" wrapText="1"/>
    </xf>
    <xf numFmtId="0" fontId="27" fillId="11" borderId="19" xfId="223" applyNumberFormat="1" applyFont="1" applyFill="1" applyBorder="1" applyAlignment="1" applyProtection="1">
      <alignment horizontal="center" vertical="center" wrapText="1"/>
    </xf>
    <xf numFmtId="0" fontId="4" fillId="11" borderId="6" xfId="223" applyNumberFormat="1" applyFont="1" applyFill="1" applyBorder="1" applyAlignment="1" applyProtection="1">
      <alignment horizontal="center" vertical="center" wrapText="1"/>
    </xf>
    <xf numFmtId="10" fontId="4" fillId="11" borderId="18" xfId="240" applyNumberFormat="1" applyFont="1" applyFill="1" applyBorder="1" applyAlignment="1" applyProtection="1">
      <alignment vertical="center" wrapText="1"/>
    </xf>
    <xf numFmtId="189" fontId="4" fillId="11" borderId="18" xfId="223" applyNumberFormat="1" applyFont="1" applyFill="1" applyBorder="1" applyAlignment="1" applyProtection="1">
      <alignment vertical="center" wrapText="1"/>
    </xf>
    <xf numFmtId="10" fontId="4" fillId="11" borderId="18" xfId="223" applyNumberFormat="1" applyFont="1" applyFill="1" applyBorder="1" applyAlignment="1" applyProtection="1">
      <alignment horizontal="center" vertical="center" wrapText="1"/>
    </xf>
    <xf numFmtId="0" fontId="4" fillId="11" borderId="18" xfId="199" applyNumberFormat="1" applyFont="1" applyFill="1" applyBorder="1" applyAlignment="1" applyProtection="1">
      <alignment horizontal="center" vertical="center" wrapText="1"/>
    </xf>
    <xf numFmtId="44" fontId="27" fillId="11" borderId="18" xfId="315" applyFont="1" applyFill="1" applyBorder="1" applyAlignment="1" applyProtection="1">
      <alignment horizontal="center" vertical="center" wrapText="1"/>
    </xf>
    <xf numFmtId="0" fontId="4" fillId="11" borderId="6" xfId="199" applyNumberFormat="1" applyFont="1" applyFill="1" applyBorder="1" applyAlignment="1" applyProtection="1">
      <alignment horizontal="center" vertical="center" wrapText="1"/>
    </xf>
    <xf numFmtId="189" fontId="4" fillId="11" borderId="18" xfId="223" applyNumberFormat="1" applyFont="1" applyFill="1" applyBorder="1" applyAlignment="1" applyProtection="1">
      <alignment horizontal="center" vertical="center" wrapText="1"/>
    </xf>
    <xf numFmtId="44" fontId="27" fillId="11" borderId="6" xfId="165" applyFont="1" applyFill="1" applyBorder="1" applyAlignment="1" applyProtection="1">
      <alignment horizontal="center" vertical="center" wrapText="1"/>
    </xf>
    <xf numFmtId="43" fontId="27" fillId="11" borderId="18" xfId="317" applyFont="1" applyFill="1" applyBorder="1" applyAlignment="1" applyProtection="1">
      <alignment vertical="center" wrapText="1"/>
    </xf>
    <xf numFmtId="0" fontId="36" fillId="10" borderId="18" xfId="223" applyNumberFormat="1" applyFont="1" applyFill="1" applyBorder="1" applyAlignment="1" applyProtection="1">
      <alignment vertical="center" wrapText="1"/>
    </xf>
    <xf numFmtId="10" fontId="36" fillId="10" borderId="18" xfId="223" applyNumberFormat="1" applyFont="1" applyFill="1" applyBorder="1" applyAlignment="1" applyProtection="1">
      <alignment vertical="center" wrapText="1"/>
    </xf>
    <xf numFmtId="189" fontId="36" fillId="10" borderId="18" xfId="223" applyNumberFormat="1" applyFont="1" applyFill="1" applyBorder="1" applyAlignment="1" applyProtection="1">
      <alignment vertical="center" wrapText="1"/>
    </xf>
    <xf numFmtId="0" fontId="36" fillId="10" borderId="18" xfId="223" applyNumberFormat="1" applyFont="1" applyFill="1" applyBorder="1" applyAlignment="1" applyProtection="1">
      <alignment horizontal="center" vertical="center" wrapText="1"/>
    </xf>
    <xf numFmtId="0" fontId="27" fillId="11" borderId="18" xfId="223" applyNumberFormat="1" applyFont="1" applyFill="1" applyBorder="1" applyAlignment="1" applyProtection="1">
      <alignment vertical="center" wrapText="1"/>
    </xf>
    <xf numFmtId="0" fontId="27" fillId="10" borderId="18" xfId="223" applyNumberFormat="1" applyFont="1" applyFill="1" applyBorder="1" applyAlignment="1" applyProtection="1">
      <alignment vertical="center" wrapText="1"/>
    </xf>
    <xf numFmtId="43" fontId="27" fillId="10" borderId="18" xfId="223" applyNumberFormat="1" applyFont="1" applyFill="1" applyBorder="1" applyAlignment="1" applyProtection="1">
      <alignment vertical="center" wrapText="1"/>
    </xf>
    <xf numFmtId="0" fontId="24" fillId="11" borderId="18" xfId="0" applyNumberFormat="1" applyFont="1" applyFill="1" applyBorder="1" applyAlignment="1" applyProtection="1">
      <alignment horizontal="center" vertical="center" wrapText="1"/>
    </xf>
    <xf numFmtId="10" fontId="4" fillId="11" borderId="18" xfId="240" applyNumberFormat="1" applyFont="1" applyFill="1" applyBorder="1" applyAlignment="1" applyProtection="1">
      <alignment horizontal="center" vertical="center" wrapText="1"/>
    </xf>
    <xf numFmtId="10" fontId="4" fillId="11" borderId="18" xfId="0" applyNumberFormat="1" applyFont="1" applyFill="1" applyBorder="1" applyAlignment="1" applyProtection="1">
      <alignment horizontal="center" vertical="center" wrapText="1"/>
    </xf>
    <xf numFmtId="0" fontId="4" fillId="11" borderId="18" xfId="0" applyNumberFormat="1" applyFont="1" applyFill="1" applyBorder="1" applyAlignment="1" applyProtection="1">
      <alignment horizontal="center" vertical="center" wrapText="1"/>
    </xf>
    <xf numFmtId="0" fontId="4" fillId="11" borderId="18" xfId="0" applyNumberFormat="1" applyFont="1" applyFill="1" applyBorder="1" applyAlignment="1" applyProtection="1">
      <alignment vertical="center" wrapText="1"/>
    </xf>
    <xf numFmtId="44" fontId="27" fillId="11" borderId="18" xfId="165" applyFont="1" applyFill="1" applyBorder="1" applyAlignment="1" applyProtection="1">
      <alignment vertical="center" wrapText="1"/>
    </xf>
    <xf numFmtId="10" fontId="4" fillId="11" borderId="18" xfId="0" applyNumberFormat="1" applyFont="1" applyFill="1" applyBorder="1" applyAlignment="1" applyProtection="1">
      <alignment vertical="center" wrapText="1"/>
    </xf>
    <xf numFmtId="44" fontId="27" fillId="11" borderId="18" xfId="0" applyNumberFormat="1" applyFont="1" applyFill="1" applyBorder="1" applyAlignment="1" applyProtection="1">
      <alignment horizontal="center" vertical="center" wrapText="1"/>
    </xf>
    <xf numFmtId="0" fontId="27" fillId="11" borderId="6" xfId="223" applyNumberFormat="1" applyFont="1" applyFill="1" applyBorder="1" applyAlignment="1" applyProtection="1">
      <alignment vertical="center" wrapText="1"/>
    </xf>
    <xf numFmtId="44" fontId="27" fillId="11" borderId="18" xfId="223" applyNumberFormat="1" applyFont="1" applyFill="1" applyBorder="1" applyAlignment="1" applyProtection="1">
      <alignment vertical="center" wrapText="1"/>
    </xf>
    <xf numFmtId="3" fontId="27" fillId="11" borderId="18" xfId="223" applyNumberFormat="1" applyFont="1" applyFill="1" applyBorder="1" applyAlignment="1" applyProtection="1">
      <alignment vertical="center" wrapText="1"/>
    </xf>
    <xf numFmtId="43" fontId="27" fillId="11" borderId="18" xfId="0" applyNumberFormat="1" applyFont="1" applyFill="1" applyBorder="1" applyAlignment="1" applyProtection="1">
      <alignment horizontal="center" vertical="center" wrapText="1"/>
    </xf>
    <xf numFmtId="43" fontId="27" fillId="10" borderId="18" xfId="223" applyNumberFormat="1" applyFont="1" applyFill="1" applyBorder="1" applyAlignment="1" applyProtection="1">
      <alignment horizontal="center" vertical="center" wrapText="1"/>
    </xf>
    <xf numFmtId="43" fontId="27" fillId="10" borderId="18" xfId="317" applyNumberFormat="1" applyFont="1" applyFill="1" applyBorder="1" applyAlignment="1" applyProtection="1">
      <alignment vertical="center" wrapText="1"/>
    </xf>
    <xf numFmtId="43" fontId="27" fillId="10" borderId="18" xfId="317" applyNumberFormat="1" applyFont="1" applyFill="1" applyBorder="1" applyAlignment="1" applyProtection="1">
      <alignment horizontal="center" vertical="center" wrapText="1"/>
    </xf>
    <xf numFmtId="44" fontId="27" fillId="10" borderId="18" xfId="315" applyFont="1" applyFill="1" applyBorder="1" applyAlignment="1" applyProtection="1">
      <alignment horizontal="center" vertical="center" wrapText="1"/>
    </xf>
    <xf numFmtId="196" fontId="27" fillId="10" borderId="18" xfId="223" applyNumberFormat="1" applyFont="1" applyFill="1" applyBorder="1" applyAlignment="1" applyProtection="1">
      <alignment horizontal="center" vertical="center" wrapText="1"/>
    </xf>
    <xf numFmtId="44" fontId="27" fillId="10" borderId="18" xfId="223" applyNumberFormat="1" applyFont="1" applyFill="1" applyBorder="1" applyAlignment="1" applyProtection="1">
      <alignment vertical="center" wrapText="1"/>
    </xf>
    <xf numFmtId="193" fontId="27" fillId="10" borderId="18" xfId="223" applyNumberFormat="1" applyFont="1" applyFill="1" applyBorder="1" applyAlignment="1" applyProtection="1">
      <alignment vertical="center" wrapText="1"/>
    </xf>
    <xf numFmtId="44" fontId="27" fillId="10" borderId="18" xfId="315" applyFont="1" applyFill="1" applyBorder="1" applyAlignment="1" applyProtection="1">
      <alignment vertical="center" wrapText="1"/>
    </xf>
    <xf numFmtId="0" fontId="35" fillId="11" borderId="5" xfId="0" applyFont="1" applyFill="1" applyBorder="1" applyAlignment="1">
      <alignment horizontal="center" vertical="center" wrapText="1"/>
    </xf>
    <xf numFmtId="44" fontId="4" fillId="11" borderId="18" xfId="165" applyFont="1" applyFill="1" applyBorder="1" applyAlignment="1" applyProtection="1">
      <alignment vertical="center" wrapText="1"/>
    </xf>
    <xf numFmtId="43" fontId="4" fillId="11" borderId="18" xfId="317" applyFont="1" applyFill="1" applyBorder="1" applyAlignment="1" applyProtection="1">
      <alignment vertical="center" wrapText="1"/>
    </xf>
    <xf numFmtId="0" fontId="35" fillId="11" borderId="18" xfId="0" applyFont="1" applyFill="1" applyBorder="1" applyAlignment="1">
      <alignment horizontal="center" vertical="center" wrapText="1"/>
    </xf>
    <xf numFmtId="1" fontId="35" fillId="11" borderId="18" xfId="0" applyNumberFormat="1" applyFont="1" applyFill="1" applyBorder="1" applyAlignment="1">
      <alignment horizontal="center" vertical="center" wrapText="1"/>
    </xf>
    <xf numFmtId="1" fontId="4" fillId="11" borderId="18" xfId="223" applyNumberFormat="1" applyFont="1" applyFill="1" applyBorder="1" applyAlignment="1" applyProtection="1">
      <alignment horizontal="center" vertical="center" wrapText="1"/>
    </xf>
    <xf numFmtId="9" fontId="35" fillId="11" borderId="18" xfId="240" applyFont="1" applyFill="1" applyBorder="1" applyAlignment="1">
      <alignment vertical="center" wrapText="1"/>
    </xf>
    <xf numFmtId="10" fontId="27" fillId="11" borderId="5" xfId="240" applyNumberFormat="1" applyFont="1" applyFill="1" applyBorder="1" applyAlignment="1" applyProtection="1">
      <alignment horizontal="center" vertical="center" wrapText="1"/>
    </xf>
    <xf numFmtId="44" fontId="27" fillId="11" borderId="5" xfId="223" applyNumberFormat="1" applyFont="1" applyFill="1" applyBorder="1" applyAlignment="1" applyProtection="1">
      <alignment horizontal="center" vertical="center" wrapText="1"/>
    </xf>
    <xf numFmtId="0" fontId="4" fillId="11" borderId="6" xfId="223" applyNumberFormat="1" applyFont="1" applyFill="1" applyBorder="1" applyAlignment="1" applyProtection="1">
      <alignment vertical="center" wrapText="1"/>
    </xf>
    <xf numFmtId="0" fontId="4" fillId="12" borderId="18" xfId="0" applyFont="1" applyFill="1" applyBorder="1" applyAlignment="1">
      <alignment horizontal="justify" vertical="center" wrapText="1"/>
    </xf>
    <xf numFmtId="0" fontId="4" fillId="12" borderId="18" xfId="0" applyNumberFormat="1" applyFont="1" applyFill="1" applyBorder="1" applyAlignment="1" applyProtection="1">
      <alignment horizontal="justify" vertical="center" wrapText="1"/>
      <protection locked="0"/>
    </xf>
    <xf numFmtId="44" fontId="27" fillId="11" borderId="6" xfId="315" applyFont="1" applyFill="1" applyBorder="1" applyAlignment="1" applyProtection="1">
      <alignment vertical="center" wrapText="1"/>
    </xf>
    <xf numFmtId="44" fontId="27" fillId="11" borderId="18" xfId="315" applyFont="1" applyFill="1" applyBorder="1" applyAlignment="1" applyProtection="1">
      <alignment vertical="center" wrapText="1"/>
    </xf>
    <xf numFmtId="9" fontId="4" fillId="11" borderId="18" xfId="240" applyFont="1" applyFill="1" applyBorder="1" applyAlignment="1" applyProtection="1">
      <alignment vertical="center" wrapText="1"/>
    </xf>
    <xf numFmtId="0" fontId="4" fillId="10" borderId="6" xfId="223" applyNumberFormat="1" applyFont="1" applyFill="1" applyBorder="1" applyAlignment="1" applyProtection="1">
      <alignment vertical="center" wrapText="1"/>
    </xf>
    <xf numFmtId="10" fontId="4" fillId="10" borderId="18" xfId="223" applyNumberFormat="1" applyFont="1" applyFill="1" applyBorder="1" applyAlignment="1" applyProtection="1">
      <alignment vertical="center" wrapText="1"/>
    </xf>
    <xf numFmtId="0" fontId="4" fillId="10" borderId="18" xfId="223" applyNumberFormat="1" applyFont="1" applyFill="1" applyBorder="1" applyAlignment="1" applyProtection="1">
      <alignment vertical="center" wrapText="1"/>
    </xf>
    <xf numFmtId="200" fontId="27" fillId="10" borderId="6" xfId="223" applyNumberFormat="1" applyFont="1" applyFill="1" applyBorder="1" applyAlignment="1" applyProtection="1">
      <alignment horizontal="center" vertical="center" wrapText="1"/>
    </xf>
    <xf numFmtId="44" fontId="27" fillId="10" borderId="6" xfId="315" applyFont="1" applyFill="1" applyBorder="1" applyAlignment="1" applyProtection="1">
      <alignment horizontal="center" vertical="center" wrapText="1"/>
    </xf>
    <xf numFmtId="9" fontId="4" fillId="7" borderId="6" xfId="314" applyFont="1" applyFill="1" applyBorder="1" applyAlignment="1" applyProtection="1">
      <alignment horizontal="center" vertical="center" wrapText="1"/>
    </xf>
    <xf numFmtId="44" fontId="4" fillId="7" borderId="6" xfId="223" applyNumberFormat="1" applyFont="1" applyFill="1" applyBorder="1" applyAlignment="1" applyProtection="1">
      <alignment vertical="center" wrapText="1"/>
    </xf>
    <xf numFmtId="0" fontId="4" fillId="7" borderId="18" xfId="223" applyNumberFormat="1" applyFont="1" applyFill="1" applyBorder="1" applyAlignment="1" applyProtection="1">
      <alignment vertical="center" wrapText="1"/>
    </xf>
    <xf numFmtId="0" fontId="4" fillId="7" borderId="18" xfId="223" applyNumberFormat="1" applyFont="1" applyFill="1" applyBorder="1" applyAlignment="1" applyProtection="1">
      <alignment horizontal="center" vertical="center" wrapText="1"/>
    </xf>
    <xf numFmtId="9" fontId="4" fillId="7" borderId="18" xfId="314" applyFont="1" applyFill="1" applyBorder="1" applyAlignment="1" applyProtection="1">
      <alignment horizontal="center" vertical="center" wrapText="1"/>
    </xf>
    <xf numFmtId="9" fontId="4" fillId="7" borderId="18" xfId="223" applyNumberFormat="1" applyFont="1" applyFill="1" applyBorder="1" applyAlignment="1" applyProtection="1">
      <alignment horizontal="center" vertical="center" wrapText="1"/>
    </xf>
    <xf numFmtId="44" fontId="4" fillId="7" borderId="10" xfId="315" applyFont="1" applyFill="1" applyBorder="1" applyAlignment="1" applyProtection="1">
      <alignment vertical="center" wrapText="1"/>
    </xf>
    <xf numFmtId="44" fontId="4" fillId="7" borderId="18" xfId="315" applyFont="1" applyFill="1" applyBorder="1" applyAlignment="1" applyProtection="1">
      <alignment vertical="center" wrapText="1"/>
    </xf>
    <xf numFmtId="44" fontId="27" fillId="11" borderId="6" xfId="223" applyNumberFormat="1" applyFont="1" applyFill="1" applyBorder="1" applyAlignment="1" applyProtection="1">
      <alignment vertical="center" wrapText="1"/>
    </xf>
    <xf numFmtId="0" fontId="4" fillId="8" borderId="18" xfId="223" applyNumberFormat="1" applyFont="1" applyFill="1" applyBorder="1" applyAlignment="1" applyProtection="1">
      <alignment vertical="center" wrapText="1"/>
    </xf>
    <xf numFmtId="9" fontId="4" fillId="11" borderId="18" xfId="240" applyFont="1" applyFill="1" applyBorder="1" applyAlignment="1">
      <alignment vertical="center" wrapText="1"/>
    </xf>
    <xf numFmtId="44" fontId="27" fillId="11" borderId="5" xfId="165" applyFont="1" applyFill="1" applyBorder="1" applyAlignment="1" applyProtection="1">
      <alignment vertical="center" wrapText="1"/>
    </xf>
    <xf numFmtId="1" fontId="4" fillId="11" borderId="19" xfId="240" applyNumberFormat="1" applyFont="1" applyFill="1" applyBorder="1" applyAlignment="1">
      <alignment vertical="center" wrapText="1"/>
    </xf>
    <xf numFmtId="1" fontId="4" fillId="11" borderId="19" xfId="223" applyNumberFormat="1" applyFont="1" applyFill="1" applyBorder="1" applyAlignment="1" applyProtection="1">
      <alignment vertical="center" wrapText="1"/>
    </xf>
    <xf numFmtId="9" fontId="4" fillId="11" borderId="5" xfId="223" applyNumberFormat="1" applyFont="1" applyFill="1" applyBorder="1" applyAlignment="1" applyProtection="1">
      <alignment horizontal="center" vertical="center" wrapText="1"/>
    </xf>
    <xf numFmtId="9" fontId="35" fillId="11" borderId="18" xfId="0" applyNumberFormat="1" applyFont="1" applyFill="1" applyBorder="1" applyAlignment="1">
      <alignment horizontal="center" vertical="center" wrapText="1"/>
    </xf>
    <xf numFmtId="9" fontId="4" fillId="11" borderId="18" xfId="223" applyNumberFormat="1" applyFont="1" applyFill="1" applyBorder="1" applyAlignment="1" applyProtection="1">
      <alignment horizontal="center" vertical="center" wrapText="1"/>
    </xf>
    <xf numFmtId="0" fontId="4" fillId="11" borderId="5" xfId="0" applyNumberFormat="1" applyFont="1" applyFill="1" applyBorder="1" applyAlignment="1" applyProtection="1">
      <alignment vertical="top"/>
    </xf>
    <xf numFmtId="10" fontId="27" fillId="11" borderId="5" xfId="0" applyNumberFormat="1" applyFont="1" applyFill="1" applyBorder="1" applyAlignment="1" applyProtection="1">
      <alignment horizontal="center" vertical="center" wrapText="1"/>
    </xf>
    <xf numFmtId="0" fontId="27" fillId="11" borderId="5" xfId="223" applyNumberFormat="1" applyFont="1" applyFill="1" applyBorder="1" applyAlignment="1" applyProtection="1">
      <alignment horizontal="justify" vertical="center" wrapText="1"/>
    </xf>
    <xf numFmtId="0" fontId="35" fillId="11" borderId="18" xfId="0" applyFont="1" applyFill="1" applyBorder="1" applyAlignment="1">
      <alignment vertical="center" wrapText="1"/>
    </xf>
    <xf numFmtId="0" fontId="35" fillId="11" borderId="19" xfId="0" applyFont="1" applyFill="1" applyBorder="1" applyAlignment="1">
      <alignment vertical="center" wrapText="1"/>
    </xf>
    <xf numFmtId="0" fontId="35" fillId="11" borderId="19" xfId="0" applyFont="1" applyFill="1" applyBorder="1" applyAlignment="1">
      <alignment horizontal="center" vertical="center" wrapText="1"/>
    </xf>
    <xf numFmtId="9" fontId="35" fillId="11" borderId="5" xfId="240" applyFont="1" applyFill="1" applyBorder="1" applyAlignment="1">
      <alignment horizontal="center" vertical="center" wrapText="1"/>
    </xf>
    <xf numFmtId="44" fontId="4" fillId="8" borderId="19" xfId="315" applyFont="1" applyFill="1" applyBorder="1" applyAlignment="1" applyProtection="1">
      <alignment vertical="center" wrapText="1"/>
    </xf>
    <xf numFmtId="0" fontId="0" fillId="11" borderId="18" xfId="0" applyNumberFormat="1" applyFont="1" applyFill="1" applyBorder="1" applyAlignment="1" applyProtection="1">
      <alignment vertical="top"/>
    </xf>
    <xf numFmtId="44" fontId="27" fillId="11" borderId="18" xfId="315" applyFont="1" applyFill="1" applyBorder="1" applyAlignment="1" applyProtection="1">
      <alignment vertical="top"/>
    </xf>
    <xf numFmtId="44" fontId="32" fillId="11" borderId="19" xfId="315" applyFont="1" applyFill="1" applyBorder="1" applyAlignment="1">
      <alignment vertical="center" wrapText="1"/>
    </xf>
    <xf numFmtId="44" fontId="27" fillId="11" borderId="18" xfId="0" applyNumberFormat="1" applyFont="1" applyFill="1" applyBorder="1" applyAlignment="1" applyProtection="1">
      <alignment vertical="top"/>
    </xf>
    <xf numFmtId="0" fontId="0" fillId="5" borderId="18" xfId="0" applyNumberFormat="1" applyFont="1" applyFill="1" applyBorder="1" applyAlignment="1" applyProtection="1">
      <alignment vertical="top"/>
    </xf>
    <xf numFmtId="200" fontId="27" fillId="5" borderId="18" xfId="0" applyNumberFormat="1" applyFont="1" applyFill="1" applyBorder="1" applyAlignment="1" applyProtection="1">
      <alignment vertical="center"/>
    </xf>
    <xf numFmtId="44" fontId="27" fillId="5" borderId="18" xfId="315" applyFont="1" applyFill="1" applyBorder="1" applyAlignment="1" applyProtection="1">
      <alignment vertical="center"/>
    </xf>
    <xf numFmtId="0" fontId="27" fillId="5" borderId="18" xfId="0" applyNumberFormat="1" applyFont="1" applyFill="1" applyBorder="1" applyAlignment="1" applyProtection="1">
      <alignment vertical="top"/>
    </xf>
    <xf numFmtId="9" fontId="4" fillId="7" borderId="19" xfId="314" applyFont="1" applyFill="1" applyBorder="1" applyAlignment="1" applyProtection="1">
      <alignment horizontal="center" vertical="center" wrapText="1"/>
    </xf>
    <xf numFmtId="0" fontId="0" fillId="11" borderId="18" xfId="0" applyNumberFormat="1" applyFont="1" applyFill="1" applyBorder="1" applyAlignment="1" applyProtection="1">
      <alignment horizontal="center" vertical="top"/>
    </xf>
    <xf numFmtId="0" fontId="4" fillId="11" borderId="21" xfId="223" applyNumberFormat="1" applyFont="1" applyFill="1" applyBorder="1" applyAlignment="1" applyProtection="1">
      <alignment horizontal="center" vertical="center" wrapText="1"/>
    </xf>
    <xf numFmtId="1" fontId="4" fillId="7" borderId="19" xfId="223" applyNumberFormat="1" applyFont="1" applyFill="1" applyBorder="1" applyAlignment="1" applyProtection="1">
      <alignment horizontal="center" vertical="center" wrapText="1"/>
    </xf>
    <xf numFmtId="10" fontId="4" fillId="7" borderId="19" xfId="314" applyNumberFormat="1" applyFont="1" applyFill="1" applyBorder="1" applyAlignment="1" applyProtection="1">
      <alignment horizontal="center" vertical="center" wrapText="1"/>
    </xf>
    <xf numFmtId="44" fontId="4" fillId="7" borderId="19" xfId="315" applyFont="1" applyFill="1" applyBorder="1" applyAlignment="1" applyProtection="1">
      <alignment vertical="center" wrapText="1"/>
    </xf>
    <xf numFmtId="44" fontId="27" fillId="11" borderId="19" xfId="315" applyFont="1" applyFill="1" applyBorder="1" applyAlignment="1" applyProtection="1">
      <alignment vertical="center" wrapText="1"/>
    </xf>
    <xf numFmtId="44" fontId="4" fillId="7" borderId="19" xfId="223" applyNumberFormat="1" applyFont="1" applyFill="1" applyBorder="1" applyAlignment="1" applyProtection="1">
      <alignment vertical="center" wrapText="1"/>
    </xf>
    <xf numFmtId="2" fontId="4" fillId="7" borderId="10" xfId="223" applyNumberFormat="1" applyFont="1" applyFill="1" applyBorder="1" applyAlignment="1" applyProtection="1">
      <alignment horizontal="center" vertical="center" wrapText="1"/>
    </xf>
    <xf numFmtId="2" fontId="4" fillId="7" borderId="6" xfId="223" applyNumberFormat="1" applyFont="1" applyFill="1" applyBorder="1" applyAlignment="1" applyProtection="1">
      <alignment horizontal="center" vertical="center" wrapText="1"/>
    </xf>
    <xf numFmtId="2" fontId="27" fillId="10" borderId="17" xfId="223" applyNumberFormat="1" applyFont="1" applyFill="1" applyBorder="1" applyAlignment="1" applyProtection="1">
      <alignment horizontal="center" vertical="center" wrapText="1"/>
    </xf>
    <xf numFmtId="2" fontId="27" fillId="5" borderId="18" xfId="0" applyNumberFormat="1" applyFont="1" applyFill="1" applyBorder="1" applyAlignment="1" applyProtection="1">
      <alignment horizontal="center" vertical="top"/>
    </xf>
    <xf numFmtId="44" fontId="27" fillId="10" borderId="17" xfId="315" applyFont="1" applyFill="1" applyBorder="1" applyAlignment="1" applyProtection="1">
      <alignment horizontal="center" vertical="center" wrapText="1"/>
    </xf>
    <xf numFmtId="44" fontId="27" fillId="5" borderId="18" xfId="0" applyNumberFormat="1" applyFont="1" applyFill="1" applyBorder="1" applyAlignment="1" applyProtection="1">
      <alignment vertical="top"/>
    </xf>
    <xf numFmtId="0" fontId="4" fillId="11" borderId="18" xfId="223" applyNumberFormat="1" applyFont="1" applyFill="1" applyBorder="1" applyAlignment="1" applyProtection="1">
      <alignment vertical="center" textRotation="255" wrapText="1"/>
    </xf>
    <xf numFmtId="0" fontId="0" fillId="11" borderId="18" xfId="0" applyNumberFormat="1" applyFont="1" applyFill="1" applyBorder="1" applyAlignment="1" applyProtection="1">
      <alignment vertical="top" wrapText="1"/>
    </xf>
    <xf numFmtId="0" fontId="4" fillId="12" borderId="18" xfId="223" applyFont="1" applyFill="1" applyBorder="1" applyAlignment="1">
      <alignment horizontal="justify" vertical="center" wrapText="1"/>
    </xf>
    <xf numFmtId="2" fontId="4" fillId="12" borderId="18" xfId="223" applyNumberFormat="1" applyFont="1" applyFill="1" applyBorder="1" applyAlignment="1">
      <alignment horizontal="center" vertical="center" wrapText="1"/>
    </xf>
    <xf numFmtId="2" fontId="4" fillId="12" borderId="18" xfId="223" applyNumberFormat="1" applyFont="1" applyFill="1" applyBorder="1" applyAlignment="1">
      <alignment horizontal="center" vertical="center"/>
    </xf>
    <xf numFmtId="0" fontId="4" fillId="12" borderId="18" xfId="223" applyFont="1" applyFill="1" applyBorder="1" applyAlignment="1">
      <alignment horizontal="center" wrapText="1"/>
    </xf>
    <xf numFmtId="0" fontId="4" fillId="11" borderId="18" xfId="223" applyNumberFormat="1" applyFont="1" applyFill="1" applyBorder="1" applyAlignment="1" applyProtection="1">
      <alignment horizontal="center" wrapText="1"/>
    </xf>
    <xf numFmtId="43" fontId="4" fillId="6" borderId="18" xfId="317" applyFont="1" applyFill="1" applyBorder="1" applyAlignment="1" applyProtection="1">
      <alignment horizontal="center" vertical="center" wrapText="1"/>
    </xf>
    <xf numFmtId="0" fontId="4" fillId="12" borderId="18" xfId="223" applyFont="1" applyFill="1" applyBorder="1" applyAlignment="1">
      <alignment horizontal="center" vertical="center" wrapText="1"/>
    </xf>
    <xf numFmtId="44" fontId="4" fillId="11" borderId="18" xfId="223" applyNumberFormat="1" applyFont="1" applyFill="1" applyBorder="1" applyAlignment="1" applyProtection="1">
      <alignment vertical="center" wrapText="1"/>
    </xf>
    <xf numFmtId="44" fontId="27" fillId="11" borderId="18" xfId="315" applyFont="1" applyFill="1" applyBorder="1" applyAlignment="1">
      <alignment horizontal="justify" vertical="center" wrapText="1"/>
    </xf>
    <xf numFmtId="44" fontId="27" fillId="12" borderId="18" xfId="315" applyFont="1" applyFill="1" applyBorder="1" applyAlignment="1">
      <alignment horizontal="justify" vertical="center" wrapText="1"/>
    </xf>
    <xf numFmtId="0" fontId="4" fillId="14" borderId="18" xfId="223" applyNumberFormat="1" applyFont="1" applyFill="1" applyBorder="1" applyAlignment="1" applyProtection="1">
      <alignment vertical="center" textRotation="255" wrapText="1"/>
    </xf>
    <xf numFmtId="0" fontId="0" fillId="14" borderId="18" xfId="0" applyNumberFormat="1" applyFont="1" applyFill="1" applyBorder="1" applyAlignment="1" applyProtection="1">
      <alignment vertical="top"/>
    </xf>
    <xf numFmtId="0" fontId="4" fillId="14" borderId="18" xfId="223" applyNumberFormat="1" applyFont="1" applyFill="1" applyBorder="1" applyAlignment="1" applyProtection="1">
      <alignment vertical="center" wrapText="1"/>
    </xf>
    <xf numFmtId="0" fontId="27" fillId="14" borderId="18" xfId="0" applyNumberFormat="1" applyFont="1" applyFill="1" applyBorder="1" applyAlignment="1" applyProtection="1">
      <alignment vertical="top"/>
    </xf>
    <xf numFmtId="44" fontId="27" fillId="14" borderId="18" xfId="315" applyFont="1" applyFill="1" applyBorder="1" applyAlignment="1" applyProtection="1">
      <alignment horizontal="center" vertical="center" wrapText="1"/>
    </xf>
    <xf numFmtId="0" fontId="4" fillId="10" borderId="18" xfId="223" applyFont="1" applyFill="1" applyBorder="1" applyAlignment="1">
      <alignment horizontal="justify" vertical="center" wrapText="1"/>
    </xf>
    <xf numFmtId="196" fontId="27" fillId="10" borderId="18" xfId="223" applyNumberFormat="1" applyFont="1" applyFill="1" applyBorder="1" applyAlignment="1">
      <alignment horizontal="center" vertical="center" wrapText="1"/>
    </xf>
    <xf numFmtId="0" fontId="4" fillId="10" borderId="18" xfId="223" applyNumberFormat="1" applyFont="1" applyFill="1" applyBorder="1" applyAlignment="1" applyProtection="1">
      <alignment vertical="center" textRotation="255" wrapText="1"/>
    </xf>
    <xf numFmtId="0" fontId="4" fillId="10" borderId="18" xfId="223" applyNumberFormat="1" applyFont="1" applyFill="1" applyBorder="1" applyAlignment="1" applyProtection="1">
      <alignment horizontal="center" vertical="center" wrapText="1"/>
    </xf>
    <xf numFmtId="44" fontId="4" fillId="10" borderId="18" xfId="223" applyNumberFormat="1" applyFont="1" applyFill="1" applyBorder="1" applyAlignment="1" applyProtection="1">
      <alignment vertical="center" wrapText="1"/>
    </xf>
    <xf numFmtId="0" fontId="4" fillId="10" borderId="18" xfId="223" applyFont="1" applyFill="1" applyBorder="1" applyAlignment="1">
      <alignment horizontal="justify" vertical="center"/>
    </xf>
    <xf numFmtId="2" fontId="4" fillId="10" borderId="18" xfId="223" applyNumberFormat="1" applyFont="1" applyFill="1" applyBorder="1" applyAlignment="1">
      <alignment horizontal="center" vertical="center"/>
    </xf>
    <xf numFmtId="44" fontId="27" fillId="10" borderId="18" xfId="315" applyFont="1" applyFill="1" applyBorder="1" applyAlignment="1">
      <alignment horizontal="center" vertical="center" wrapText="1"/>
    </xf>
    <xf numFmtId="43" fontId="4" fillId="11" borderId="18" xfId="0" applyNumberFormat="1" applyFont="1" applyFill="1" applyBorder="1" applyAlignment="1" applyProtection="1">
      <alignment horizontal="center" vertical="center" wrapText="1"/>
    </xf>
    <xf numFmtId="0" fontId="4" fillId="11" borderId="19" xfId="0" applyNumberFormat="1" applyFont="1" applyFill="1" applyBorder="1" applyAlignment="1" applyProtection="1">
      <alignment horizontal="center" vertical="center" wrapText="1"/>
    </xf>
    <xf numFmtId="44" fontId="27" fillId="11" borderId="19" xfId="0" applyNumberFormat="1" applyFont="1" applyFill="1" applyBorder="1" applyAlignment="1" applyProtection="1">
      <alignment horizontal="center" vertical="center" wrapText="1"/>
    </xf>
    <xf numFmtId="9" fontId="4" fillId="11" borderId="6" xfId="314" applyFont="1" applyFill="1" applyBorder="1" applyAlignment="1" applyProtection="1">
      <alignment vertical="center" wrapText="1"/>
    </xf>
    <xf numFmtId="9" fontId="4" fillId="7" borderId="19" xfId="223" applyNumberFormat="1" applyFont="1" applyFill="1" applyBorder="1" applyAlignment="1" applyProtection="1">
      <alignment horizontal="center" vertical="center" wrapText="1"/>
    </xf>
    <xf numFmtId="43" fontId="27" fillId="11" borderId="5" xfId="317" applyFont="1" applyFill="1" applyBorder="1" applyAlignment="1" applyProtection="1">
      <alignment vertical="top"/>
    </xf>
    <xf numFmtId="43" fontId="27" fillId="5" borderId="5" xfId="317" applyFont="1" applyFill="1" applyBorder="1" applyAlignment="1" applyProtection="1">
      <alignment vertical="top"/>
    </xf>
    <xf numFmtId="43" fontId="27" fillId="13" borderId="17" xfId="223" applyNumberFormat="1" applyFont="1" applyFill="1" applyBorder="1" applyAlignment="1" applyProtection="1">
      <alignment vertical="center" wrapText="1"/>
    </xf>
    <xf numFmtId="43" fontId="27" fillId="14" borderId="18" xfId="317" applyFont="1" applyFill="1" applyBorder="1" applyAlignment="1" applyProtection="1">
      <alignment vertical="center" wrapText="1"/>
    </xf>
    <xf numFmtId="43" fontId="0" fillId="5" borderId="18" xfId="0" applyNumberFormat="1" applyFont="1" applyFill="1" applyBorder="1" applyAlignment="1" applyProtection="1">
      <alignment vertical="top"/>
    </xf>
    <xf numFmtId="43" fontId="27" fillId="11" borderId="8" xfId="317" applyFont="1" applyFill="1" applyBorder="1" applyAlignment="1" applyProtection="1">
      <alignment vertical="center" wrapText="1"/>
    </xf>
    <xf numFmtId="0" fontId="27" fillId="10" borderId="17" xfId="0" applyNumberFormat="1" applyFont="1" applyFill="1" applyBorder="1" applyAlignment="1" applyProtection="1">
      <alignment vertical="center" wrapText="1"/>
    </xf>
    <xf numFmtId="0" fontId="27" fillId="11" borderId="15" xfId="199" applyNumberFormat="1" applyFont="1" applyFill="1" applyBorder="1" applyAlignment="1" applyProtection="1">
      <alignment vertical="center" wrapText="1"/>
    </xf>
    <xf numFmtId="43" fontId="4" fillId="11" borderId="17" xfId="317" applyFont="1" applyFill="1" applyBorder="1" applyAlignment="1" applyProtection="1">
      <alignment vertical="center" wrapText="1"/>
    </xf>
    <xf numFmtId="0" fontId="27" fillId="10" borderId="18" xfId="223" applyNumberFormat="1" applyFont="1" applyFill="1" applyBorder="1" applyAlignment="1" applyProtection="1">
      <alignment horizontal="center" vertical="center" wrapText="1"/>
    </xf>
    <xf numFmtId="0" fontId="0" fillId="5" borderId="18" xfId="0" applyNumberFormat="1" applyFont="1" applyFill="1" applyBorder="1" applyAlignment="1" applyProtection="1">
      <alignment horizontal="center" vertical="top"/>
    </xf>
    <xf numFmtId="0" fontId="4" fillId="7" borderId="20" xfId="223" applyNumberFormat="1" applyFont="1" applyFill="1" applyBorder="1" applyAlignment="1" applyProtection="1">
      <alignment horizontal="center" vertical="center" wrapText="1"/>
    </xf>
    <xf numFmtId="0" fontId="4" fillId="11" borderId="20" xfId="223" applyNumberFormat="1" applyFont="1" applyFill="1" applyBorder="1" applyAlignment="1" applyProtection="1">
      <alignment horizontal="center" vertical="center" wrapText="1"/>
    </xf>
    <xf numFmtId="0" fontId="27" fillId="10" borderId="17" xfId="223" applyNumberFormat="1" applyFont="1" applyFill="1" applyBorder="1" applyAlignment="1" applyProtection="1">
      <alignment horizontal="center" vertical="center" wrapText="1"/>
    </xf>
    <xf numFmtId="0" fontId="27" fillId="5" borderId="18" xfId="0" applyNumberFormat="1" applyFont="1" applyFill="1" applyBorder="1" applyAlignment="1" applyProtection="1">
      <alignment horizontal="center" vertical="top"/>
    </xf>
    <xf numFmtId="0" fontId="4" fillId="11" borderId="18" xfId="223" applyNumberFormat="1" applyFont="1" applyFill="1" applyBorder="1" applyAlignment="1" applyProtection="1">
      <alignment horizontal="center" vertical="center" textRotation="255" wrapText="1"/>
    </xf>
    <xf numFmtId="0" fontId="4" fillId="10" borderId="18" xfId="223" applyNumberFormat="1" applyFont="1" applyFill="1" applyBorder="1" applyAlignment="1" applyProtection="1">
      <alignment horizontal="center" vertical="center" textRotation="255" wrapText="1"/>
    </xf>
    <xf numFmtId="0" fontId="4" fillId="11" borderId="17" xfId="223" applyNumberFormat="1" applyFont="1" applyFill="1" applyBorder="1" applyAlignment="1" applyProtection="1">
      <alignment horizontal="center" vertical="center" wrapText="1"/>
    </xf>
    <xf numFmtId="10" fontId="36" fillId="10" borderId="18" xfId="223" applyNumberFormat="1" applyFont="1" applyFill="1" applyBorder="1" applyAlignment="1" applyProtection="1">
      <alignment horizontal="center" vertical="center" wrapText="1"/>
    </xf>
    <xf numFmtId="0" fontId="4" fillId="10" borderId="6" xfId="223" applyNumberFormat="1" applyFont="1" applyFill="1" applyBorder="1" applyAlignment="1" applyProtection="1">
      <alignment horizontal="center" vertical="center" wrapText="1"/>
    </xf>
    <xf numFmtId="198" fontId="4" fillId="7" borderId="10" xfId="0" applyNumberFormat="1" applyFont="1" applyFill="1" applyBorder="1" applyAlignment="1" applyProtection="1">
      <alignment horizontal="center" vertical="center" wrapText="1"/>
    </xf>
    <xf numFmtId="0" fontId="27" fillId="11" borderId="18" xfId="199" applyNumberFormat="1" applyFont="1" applyFill="1" applyBorder="1" applyAlignment="1" applyProtection="1">
      <alignment vertical="center" wrapText="1"/>
    </xf>
    <xf numFmtId="187" fontId="4" fillId="11" borderId="19" xfId="223" applyNumberFormat="1" applyFont="1" applyFill="1" applyBorder="1" applyAlignment="1" applyProtection="1">
      <alignment vertical="center" wrapText="1"/>
    </xf>
    <xf numFmtId="9" fontId="4" fillId="8" borderId="10" xfId="314" applyFont="1" applyFill="1" applyBorder="1" applyAlignment="1" applyProtection="1">
      <alignment horizontal="center" vertical="center" wrapText="1"/>
    </xf>
    <xf numFmtId="9" fontId="4" fillId="7" borderId="5" xfId="314" applyFont="1" applyFill="1" applyBorder="1" applyAlignment="1" applyProtection="1">
      <alignment horizontal="center" vertical="center" wrapText="1"/>
    </xf>
    <xf numFmtId="9" fontId="4" fillId="7" borderId="10" xfId="314" applyFont="1" applyFill="1" applyBorder="1" applyAlignment="1" applyProtection="1">
      <alignment horizontal="center" vertical="center" wrapText="1"/>
    </xf>
    <xf numFmtId="10" fontId="4" fillId="8" borderId="10" xfId="314" applyNumberFormat="1" applyFont="1" applyFill="1" applyBorder="1" applyAlignment="1" applyProtection="1">
      <alignment horizontal="center" vertical="center" wrapText="1"/>
    </xf>
    <xf numFmtId="9" fontId="27" fillId="10" borderId="6" xfId="314" applyFont="1" applyFill="1" applyBorder="1" applyAlignment="1" applyProtection="1">
      <alignment vertical="center" wrapText="1"/>
    </xf>
    <xf numFmtId="10" fontId="27" fillId="10" borderId="17" xfId="314" applyNumberFormat="1" applyFont="1" applyFill="1" applyBorder="1" applyAlignment="1" applyProtection="1">
      <alignment vertical="center"/>
    </xf>
    <xf numFmtId="10" fontId="27" fillId="10" borderId="17" xfId="314" applyNumberFormat="1" applyFont="1" applyFill="1" applyBorder="1" applyAlignment="1" applyProtection="1">
      <alignment horizontal="center" vertical="center" wrapText="1"/>
    </xf>
    <xf numFmtId="10" fontId="27" fillId="11" borderId="17" xfId="0" applyNumberFormat="1" applyFont="1" applyFill="1" applyBorder="1" applyAlignment="1" applyProtection="1">
      <alignment vertical="center" wrapText="1"/>
    </xf>
    <xf numFmtId="9" fontId="27" fillId="10" borderId="8" xfId="314" applyFont="1" applyFill="1" applyBorder="1" applyAlignment="1" applyProtection="1">
      <alignment vertical="center" wrapText="1"/>
    </xf>
    <xf numFmtId="9" fontId="27" fillId="13" borderId="17" xfId="314" applyFont="1" applyFill="1" applyBorder="1" applyAlignment="1" applyProtection="1">
      <alignment vertical="center" wrapText="1"/>
    </xf>
    <xf numFmtId="10" fontId="4" fillId="7" borderId="10" xfId="314" applyNumberFormat="1" applyFont="1" applyFill="1" applyBorder="1" applyAlignment="1" applyProtection="1">
      <alignment vertical="center" wrapText="1"/>
    </xf>
    <xf numFmtId="10" fontId="4" fillId="7" borderId="10" xfId="314" applyNumberFormat="1" applyFont="1" applyFill="1" applyBorder="1" applyAlignment="1" applyProtection="1">
      <alignment horizontal="center" vertical="center" wrapText="1"/>
    </xf>
    <xf numFmtId="10" fontId="4" fillId="7" borderId="6" xfId="314" applyNumberFormat="1" applyFont="1" applyFill="1" applyBorder="1" applyAlignment="1" applyProtection="1">
      <alignment horizontal="center" vertical="center" wrapText="1"/>
    </xf>
    <xf numFmtId="10" fontId="27" fillId="10" borderId="18" xfId="314" applyNumberFormat="1" applyFont="1" applyFill="1" applyBorder="1" applyAlignment="1" applyProtection="1">
      <alignment vertical="center" wrapText="1"/>
    </xf>
    <xf numFmtId="9" fontId="27" fillId="5" borderId="18" xfId="314" applyNumberFormat="1" applyFont="1" applyFill="1" applyBorder="1" applyAlignment="1" applyProtection="1">
      <alignment horizontal="center" vertical="top"/>
    </xf>
    <xf numFmtId="10" fontId="27" fillId="11" borderId="18" xfId="314" applyNumberFormat="1" applyFont="1" applyFill="1" applyBorder="1" applyAlignment="1" applyProtection="1">
      <alignment horizontal="center" vertical="center" wrapText="1"/>
    </xf>
    <xf numFmtId="191" fontId="27" fillId="11" borderId="18" xfId="314" applyNumberFormat="1" applyFont="1" applyFill="1" applyBorder="1" applyAlignment="1" applyProtection="1">
      <alignment horizontal="center" vertical="center" wrapText="1"/>
    </xf>
    <xf numFmtId="10" fontId="27" fillId="11" borderId="18" xfId="314" applyNumberFormat="1" applyFont="1" applyFill="1" applyBorder="1" applyAlignment="1" applyProtection="1">
      <alignment vertical="center" wrapText="1"/>
    </xf>
    <xf numFmtId="10" fontId="27" fillId="11" borderId="6" xfId="314" applyNumberFormat="1" applyFont="1" applyFill="1" applyBorder="1" applyAlignment="1" applyProtection="1">
      <alignment horizontal="center" vertical="center" wrapText="1"/>
    </xf>
    <xf numFmtId="9" fontId="27" fillId="10" borderId="18" xfId="223" applyNumberFormat="1" applyFont="1" applyFill="1" applyBorder="1" applyAlignment="1" applyProtection="1">
      <alignment horizontal="center" vertical="center" wrapText="1"/>
    </xf>
    <xf numFmtId="2" fontId="4" fillId="11" borderId="18" xfId="223" applyNumberFormat="1" applyFont="1" applyFill="1" applyBorder="1" applyAlignment="1" applyProtection="1">
      <alignment vertical="center" wrapText="1"/>
    </xf>
    <xf numFmtId="0" fontId="4" fillId="11" borderId="22" xfId="223" applyNumberFormat="1" applyFont="1" applyFill="1" applyBorder="1" applyAlignment="1" applyProtection="1">
      <alignment vertical="center" wrapText="1"/>
    </xf>
    <xf numFmtId="9" fontId="27" fillId="10" borderId="17" xfId="314" applyFont="1" applyFill="1" applyBorder="1" applyAlignment="1" applyProtection="1">
      <alignment vertical="center" wrapText="1"/>
    </xf>
    <xf numFmtId="10" fontId="4" fillId="6" borderId="10" xfId="314" applyNumberFormat="1" applyFont="1" applyFill="1" applyBorder="1" applyAlignment="1" applyProtection="1">
      <alignment vertical="center" wrapText="1"/>
    </xf>
    <xf numFmtId="198" fontId="4" fillId="7" borderId="6" xfId="0" applyNumberFormat="1" applyFont="1" applyFill="1" applyBorder="1" applyAlignment="1" applyProtection="1">
      <alignment horizontal="center" vertical="center" wrapText="1"/>
    </xf>
    <xf numFmtId="0" fontId="39" fillId="0" borderId="0" xfId="0" applyFont="1" applyFill="1" applyAlignment="1">
      <alignment horizontal="center" vertical="center"/>
    </xf>
    <xf numFmtId="0" fontId="27" fillId="15" borderId="5" xfId="213" applyNumberFormat="1" applyFont="1" applyFill="1" applyBorder="1" applyAlignment="1" applyProtection="1">
      <alignment horizontal="center" vertical="center" wrapText="1"/>
      <protection locked="0"/>
    </xf>
    <xf numFmtId="0" fontId="27" fillId="15" borderId="8" xfId="213" applyNumberFormat="1" applyFont="1" applyFill="1" applyBorder="1" applyAlignment="1" applyProtection="1">
      <alignment horizontal="center" vertical="center" wrapText="1"/>
      <protection locked="0"/>
    </xf>
    <xf numFmtId="10" fontId="4" fillId="6" borderId="6" xfId="314" applyNumberFormat="1" applyFont="1" applyFill="1" applyBorder="1" applyAlignment="1" applyProtection="1">
      <alignment vertical="center" wrapText="1"/>
    </xf>
    <xf numFmtId="10" fontId="27" fillId="10" borderId="17" xfId="223" applyNumberFormat="1" applyFont="1" applyFill="1" applyBorder="1" applyAlignment="1" applyProtection="1">
      <alignment vertical="center" wrapText="1"/>
    </xf>
    <xf numFmtId="10" fontId="27" fillId="10" borderId="18" xfId="223" applyNumberFormat="1" applyFont="1" applyFill="1" applyBorder="1" applyAlignment="1" applyProtection="1">
      <alignment vertical="center" wrapText="1"/>
    </xf>
    <xf numFmtId="188" fontId="27" fillId="14" borderId="18" xfId="317" applyNumberFormat="1" applyFont="1" applyFill="1" applyBorder="1" applyAlignment="1" applyProtection="1">
      <alignment horizontal="center" vertical="center" wrapText="1"/>
    </xf>
    <xf numFmtId="0" fontId="27" fillId="5" borderId="18" xfId="0" applyNumberFormat="1" applyFont="1" applyFill="1" applyBorder="1" applyAlignment="1" applyProtection="1">
      <alignment horizontal="center" vertical="center"/>
    </xf>
    <xf numFmtId="9" fontId="27" fillId="9" borderId="5" xfId="314" applyFont="1" applyFill="1" applyBorder="1" applyAlignment="1" applyProtection="1">
      <alignment vertical="top"/>
    </xf>
    <xf numFmtId="191" fontId="27" fillId="10" borderId="18" xfId="314" applyNumberFormat="1" applyFont="1" applyFill="1" applyBorder="1" applyAlignment="1" applyProtection="1">
      <alignment vertical="center" wrapText="1"/>
    </xf>
    <xf numFmtId="10" fontId="4" fillId="11" borderId="18" xfId="314" applyNumberFormat="1" applyFont="1" applyFill="1" applyBorder="1" applyAlignment="1" applyProtection="1">
      <alignment vertical="center" wrapText="1"/>
    </xf>
    <xf numFmtId="44" fontId="4" fillId="7" borderId="19" xfId="165" applyFont="1" applyFill="1" applyBorder="1" applyAlignment="1" applyProtection="1">
      <alignment horizontal="center" vertical="center" wrapText="1"/>
    </xf>
    <xf numFmtId="10" fontId="4" fillId="7" borderId="19" xfId="223" applyNumberFormat="1" applyFont="1" applyFill="1" applyBorder="1" applyAlignment="1" applyProtection="1">
      <alignment horizontal="right" vertical="center" wrapText="1"/>
    </xf>
    <xf numFmtId="10" fontId="4" fillId="7" borderId="6" xfId="223" applyNumberFormat="1" applyFont="1" applyFill="1" applyBorder="1" applyAlignment="1" applyProtection="1">
      <alignment horizontal="right" vertical="center" wrapText="1"/>
    </xf>
    <xf numFmtId="43" fontId="4" fillId="7" borderId="10" xfId="317" applyFont="1" applyFill="1" applyBorder="1" applyAlignment="1" applyProtection="1">
      <alignment horizontal="center" vertical="center" wrapText="1"/>
    </xf>
    <xf numFmtId="43" fontId="4" fillId="8" borderId="10" xfId="317" applyFont="1" applyFill="1" applyBorder="1" applyAlignment="1" applyProtection="1">
      <alignment horizontal="center" vertical="center" wrapText="1"/>
    </xf>
    <xf numFmtId="43" fontId="4" fillId="6" borderId="10" xfId="317" applyFont="1" applyFill="1" applyBorder="1" applyAlignment="1" applyProtection="1">
      <alignment horizontal="center" vertical="center" wrapText="1"/>
    </xf>
    <xf numFmtId="43" fontId="4" fillId="6" borderId="16" xfId="317" applyFont="1" applyFill="1" applyBorder="1" applyAlignment="1" applyProtection="1">
      <alignment horizontal="center" vertical="center" wrapText="1"/>
    </xf>
    <xf numFmtId="43" fontId="4" fillId="6" borderId="19" xfId="317" applyFont="1" applyFill="1" applyBorder="1" applyAlignment="1" applyProtection="1">
      <alignment horizontal="center" vertical="center" wrapText="1"/>
    </xf>
    <xf numFmtId="43" fontId="4" fillId="8" borderId="19" xfId="317" applyFont="1" applyFill="1" applyBorder="1" applyAlignment="1" applyProtection="1">
      <alignment horizontal="center" vertical="center" wrapText="1"/>
    </xf>
    <xf numFmtId="43" fontId="4" fillId="6" borderId="17" xfId="317" applyFont="1" applyFill="1" applyBorder="1" applyAlignment="1" applyProtection="1">
      <alignment horizontal="center" vertical="center" wrapText="1"/>
    </xf>
    <xf numFmtId="43" fontId="4" fillId="6" borderId="6" xfId="317" applyFont="1" applyFill="1" applyBorder="1" applyAlignment="1" applyProtection="1">
      <alignment horizontal="center" vertical="center" wrapText="1"/>
    </xf>
    <xf numFmtId="188" fontId="27" fillId="10" borderId="8" xfId="317" applyNumberFormat="1" applyFont="1" applyFill="1" applyBorder="1" applyAlignment="1" applyProtection="1">
      <alignment horizontal="center" vertical="center" wrapText="1"/>
    </xf>
    <xf numFmtId="43" fontId="27" fillId="10" borderId="17" xfId="317" applyFont="1" applyFill="1" applyBorder="1" applyAlignment="1" applyProtection="1">
      <alignment vertical="center" wrapText="1"/>
    </xf>
    <xf numFmtId="43" fontId="27" fillId="10" borderId="17" xfId="317" applyFont="1" applyFill="1" applyBorder="1" applyAlignment="1" applyProtection="1">
      <alignment horizontal="center" vertical="center" wrapText="1"/>
    </xf>
    <xf numFmtId="43" fontId="4" fillId="7" borderId="18" xfId="317" applyFont="1" applyFill="1" applyBorder="1" applyAlignment="1" applyProtection="1">
      <alignment horizontal="center" vertical="center" wrapText="1"/>
    </xf>
    <xf numFmtId="43" fontId="27" fillId="10" borderId="18" xfId="317" applyFont="1" applyFill="1" applyBorder="1" applyAlignment="1" applyProtection="1">
      <alignment horizontal="center" vertical="center" wrapText="1"/>
    </xf>
    <xf numFmtId="43" fontId="27" fillId="11" borderId="15" xfId="317" applyFont="1" applyFill="1" applyBorder="1" applyAlignment="1" applyProtection="1">
      <alignment vertical="center" wrapText="1"/>
    </xf>
    <xf numFmtId="43" fontId="27" fillId="11" borderId="5" xfId="317" applyFont="1" applyFill="1" applyBorder="1" applyAlignment="1" applyProtection="1">
      <alignment vertical="center" wrapText="1"/>
    </xf>
    <xf numFmtId="43" fontId="27" fillId="11" borderId="6" xfId="317" applyFont="1" applyFill="1" applyBorder="1" applyAlignment="1" applyProtection="1">
      <alignment horizontal="center" vertical="center" wrapText="1"/>
    </xf>
    <xf numFmtId="43" fontId="27" fillId="11" borderId="18" xfId="317" applyFont="1" applyFill="1" applyBorder="1" applyAlignment="1" applyProtection="1">
      <alignment horizontal="center" vertical="center" wrapText="1"/>
    </xf>
    <xf numFmtId="43" fontId="27" fillId="11" borderId="5" xfId="317" applyFont="1" applyFill="1" applyBorder="1" applyAlignment="1" applyProtection="1">
      <alignment horizontal="center" vertical="center" wrapText="1"/>
    </xf>
    <xf numFmtId="43" fontId="27" fillId="10" borderId="18" xfId="317" applyFont="1" applyFill="1" applyBorder="1" applyAlignment="1" applyProtection="1">
      <alignment vertical="center" wrapText="1"/>
    </xf>
    <xf numFmtId="43" fontId="4" fillId="11" borderId="18" xfId="317" applyFont="1" applyFill="1" applyBorder="1" applyAlignment="1" applyProtection="1">
      <alignment horizontal="center" vertical="center" wrapText="1"/>
    </xf>
    <xf numFmtId="43" fontId="4" fillId="10" borderId="18" xfId="317" applyFont="1" applyFill="1" applyBorder="1" applyAlignment="1" applyProtection="1">
      <alignment vertical="center" wrapText="1"/>
    </xf>
    <xf numFmtId="43" fontId="38" fillId="11" borderId="18" xfId="317" applyFont="1" applyFill="1" applyBorder="1" applyAlignment="1" applyProtection="1">
      <alignment horizontal="center" vertical="top"/>
    </xf>
    <xf numFmtId="43" fontId="32" fillId="11" borderId="19" xfId="317" applyFont="1" applyFill="1" applyBorder="1" applyAlignment="1">
      <alignment horizontal="center" vertical="center" wrapText="1"/>
    </xf>
    <xf numFmtId="43" fontId="32" fillId="11" borderId="18" xfId="317" applyFont="1" applyFill="1" applyBorder="1" applyAlignment="1">
      <alignment horizontal="center" vertical="center" wrapText="1"/>
    </xf>
    <xf numFmtId="43" fontId="27" fillId="10" borderId="18" xfId="317" applyFont="1" applyFill="1" applyBorder="1" applyAlignment="1">
      <alignment horizontal="center" vertical="center"/>
    </xf>
    <xf numFmtId="43" fontId="27" fillId="11" borderId="15" xfId="317" applyFont="1" applyFill="1" applyBorder="1" applyAlignment="1">
      <alignment horizontal="center" vertical="center" wrapText="1"/>
    </xf>
    <xf numFmtId="199" fontId="27" fillId="11" borderId="15" xfId="317" applyNumberFormat="1" applyFont="1" applyFill="1" applyBorder="1" applyAlignment="1">
      <alignment horizontal="center" vertical="center" wrapText="1"/>
    </xf>
    <xf numFmtId="199" fontId="27" fillId="11" borderId="5" xfId="317" applyNumberFormat="1" applyFont="1" applyFill="1" applyBorder="1" applyAlignment="1" applyProtection="1">
      <alignment horizontal="center" vertical="center" wrapText="1"/>
    </xf>
    <xf numFmtId="43" fontId="27" fillId="11" borderId="14" xfId="317" applyFont="1" applyFill="1" applyBorder="1" applyAlignment="1" applyProtection="1">
      <alignment horizontal="center" vertical="center" wrapText="1"/>
    </xf>
    <xf numFmtId="188" fontId="27" fillId="11" borderId="5" xfId="317" applyNumberFormat="1" applyFont="1" applyFill="1" applyBorder="1" applyAlignment="1" applyProtection="1">
      <alignment horizontal="center" vertical="center" wrapText="1"/>
    </xf>
    <xf numFmtId="43" fontId="27" fillId="11" borderId="17" xfId="317" applyFont="1" applyFill="1" applyBorder="1" applyAlignment="1" applyProtection="1">
      <alignment horizontal="center" vertical="center" wrapText="1"/>
    </xf>
    <xf numFmtId="199" fontId="27" fillId="11" borderId="17" xfId="317" applyNumberFormat="1" applyFont="1" applyFill="1" applyBorder="1" applyAlignment="1" applyProtection="1">
      <alignment horizontal="center" vertical="center" wrapText="1"/>
    </xf>
    <xf numFmtId="188" fontId="27" fillId="11" borderId="8" xfId="317" applyNumberFormat="1" applyFont="1" applyFill="1" applyBorder="1" applyAlignment="1" applyProtection="1">
      <alignment vertical="center" wrapText="1"/>
    </xf>
    <xf numFmtId="188" fontId="27" fillId="11" borderId="18" xfId="317" applyNumberFormat="1" applyFont="1" applyFill="1" applyBorder="1" applyAlignment="1" applyProtection="1">
      <alignment horizontal="center" vertical="center" wrapText="1"/>
    </xf>
    <xf numFmtId="188" fontId="27" fillId="11" borderId="18" xfId="317" applyNumberFormat="1" applyFont="1" applyFill="1" applyBorder="1" applyAlignment="1" applyProtection="1">
      <alignment vertical="center" wrapText="1"/>
    </xf>
    <xf numFmtId="43" fontId="27" fillId="11" borderId="19" xfId="317" applyFont="1" applyFill="1" applyBorder="1" applyAlignment="1" applyProtection="1">
      <alignment horizontal="center" vertical="center" wrapText="1"/>
    </xf>
    <xf numFmtId="43" fontId="27" fillId="11" borderId="18" xfId="314" applyNumberFormat="1" applyFont="1" applyFill="1" applyBorder="1" applyAlignment="1" applyProtection="1">
      <alignment horizontal="center" vertical="center" wrapText="1"/>
    </xf>
    <xf numFmtId="188" fontId="27" fillId="11" borderId="18" xfId="317" applyNumberFormat="1" applyFont="1" applyFill="1" applyBorder="1" applyAlignment="1" applyProtection="1">
      <alignment horizontal="center" vertical="top"/>
    </xf>
    <xf numFmtId="188" fontId="32" fillId="11" borderId="19" xfId="317" applyNumberFormat="1" applyFont="1" applyFill="1" applyBorder="1" applyAlignment="1">
      <alignment horizontal="center" vertical="center" wrapText="1"/>
    </xf>
    <xf numFmtId="188" fontId="32" fillId="11" borderId="18" xfId="317" applyNumberFormat="1" applyFont="1" applyFill="1" applyBorder="1" applyAlignment="1">
      <alignment horizontal="center" vertical="center" wrapText="1"/>
    </xf>
    <xf numFmtId="43" fontId="27" fillId="11" borderId="21" xfId="317" applyFont="1" applyFill="1" applyBorder="1" applyAlignment="1" applyProtection="1">
      <alignment horizontal="center" vertical="center" wrapText="1"/>
    </xf>
    <xf numFmtId="199" fontId="27" fillId="11" borderId="21" xfId="317" applyNumberFormat="1" applyFont="1" applyFill="1" applyBorder="1" applyAlignment="1" applyProtection="1">
      <alignment horizontal="center" vertical="center" wrapText="1"/>
    </xf>
    <xf numFmtId="188" fontId="27" fillId="11" borderId="21" xfId="317" applyNumberFormat="1" applyFont="1" applyFill="1" applyBorder="1" applyAlignment="1" applyProtection="1">
      <alignment horizontal="center" vertical="center" wrapText="1"/>
    </xf>
    <xf numFmtId="43" fontId="27" fillId="12" borderId="18" xfId="317" applyFont="1" applyFill="1" applyBorder="1" applyAlignment="1">
      <alignment horizontal="center" vertical="center" wrapText="1"/>
    </xf>
    <xf numFmtId="188" fontId="27" fillId="12" borderId="18" xfId="317" applyNumberFormat="1" applyFont="1" applyFill="1" applyBorder="1" applyAlignment="1">
      <alignment horizontal="center" vertical="center" wrapText="1"/>
    </xf>
    <xf numFmtId="2" fontId="4" fillId="6" borderId="18" xfId="223" applyNumberFormat="1" applyFont="1" applyFill="1" applyBorder="1" applyAlignment="1" applyProtection="1">
      <alignment horizontal="center" vertical="center" wrapText="1"/>
    </xf>
    <xf numFmtId="2" fontId="4" fillId="6" borderId="5" xfId="223" applyNumberFormat="1" applyFont="1" applyFill="1" applyBorder="1" applyAlignment="1" applyProtection="1">
      <alignment horizontal="center" vertical="center" wrapText="1"/>
    </xf>
    <xf numFmtId="2" fontId="4" fillId="7" borderId="17" xfId="223" applyNumberFormat="1" applyFont="1" applyFill="1" applyBorder="1" applyAlignment="1" applyProtection="1">
      <alignment horizontal="center" vertical="center" wrapText="1"/>
    </xf>
    <xf numFmtId="12" fontId="4" fillId="7" borderId="10" xfId="317" applyNumberFormat="1" applyFont="1" applyFill="1" applyBorder="1" applyAlignment="1" applyProtection="1">
      <alignment vertical="center" wrapText="1"/>
    </xf>
    <xf numFmtId="182" fontId="4" fillId="7" borderId="10" xfId="317" applyNumberFormat="1" applyFont="1" applyFill="1" applyBorder="1" applyAlignment="1" applyProtection="1">
      <alignment vertical="center" wrapText="1"/>
    </xf>
    <xf numFmtId="2" fontId="4" fillId="7" borderId="18" xfId="223" applyNumberFormat="1" applyFont="1" applyFill="1" applyBorder="1" applyAlignment="1" applyProtection="1">
      <alignment horizontal="center" vertical="center" wrapText="1"/>
    </xf>
    <xf numFmtId="10" fontId="4" fillId="7" borderId="21" xfId="223" applyNumberFormat="1" applyFont="1" applyFill="1" applyBorder="1" applyAlignment="1" applyProtection="1">
      <alignment vertical="center" wrapText="1"/>
    </xf>
    <xf numFmtId="10" fontId="4" fillId="7" borderId="13" xfId="223" applyNumberFormat="1" applyFont="1" applyFill="1" applyBorder="1" applyAlignment="1" applyProtection="1">
      <alignment vertical="center" wrapText="1"/>
    </xf>
    <xf numFmtId="2" fontId="4" fillId="7" borderId="19" xfId="223" applyNumberFormat="1" applyFont="1" applyFill="1" applyBorder="1" applyAlignment="1" applyProtection="1">
      <alignment horizontal="center" vertical="center" wrapText="1"/>
    </xf>
    <xf numFmtId="0" fontId="4" fillId="7" borderId="19" xfId="0" applyNumberFormat="1" applyFont="1" applyFill="1" applyBorder="1" applyAlignment="1" applyProtection="1">
      <alignment horizontal="center" vertical="center" wrapText="1"/>
    </xf>
    <xf numFmtId="0" fontId="4" fillId="7" borderId="6" xfId="0" applyNumberFormat="1" applyFont="1" applyFill="1" applyBorder="1" applyAlignment="1" applyProtection="1">
      <alignment horizontal="center" vertical="center" wrapText="1"/>
    </xf>
    <xf numFmtId="2" fontId="4" fillId="7" borderId="19" xfId="0" applyNumberFormat="1" applyFont="1" applyFill="1" applyBorder="1" applyAlignment="1" applyProtection="1">
      <alignment horizontal="center" vertical="center" wrapText="1"/>
    </xf>
    <xf numFmtId="44" fontId="27" fillId="11" borderId="6" xfId="165" applyFont="1" applyFill="1" applyBorder="1" applyAlignment="1" applyProtection="1">
      <alignment vertical="center" wrapText="1"/>
    </xf>
    <xf numFmtId="1" fontId="4" fillId="7" borderId="17" xfId="223" applyNumberFormat="1" applyFont="1" applyFill="1" applyBorder="1" applyAlignment="1" applyProtection="1">
      <alignment horizontal="center" vertical="center" wrapText="1"/>
    </xf>
    <xf numFmtId="0" fontId="27" fillId="5" borderId="5" xfId="213" applyNumberFormat="1" applyFont="1" applyFill="1" applyBorder="1" applyAlignment="1" applyProtection="1">
      <alignment horizontal="center" vertical="center" wrapText="1"/>
      <protection locked="0"/>
    </xf>
    <xf numFmtId="0" fontId="27" fillId="5" borderId="8" xfId="213" applyNumberFormat="1" applyFont="1" applyFill="1" applyBorder="1" applyAlignment="1" applyProtection="1">
      <alignment horizontal="center" vertical="center" wrapText="1"/>
      <protection locked="0"/>
    </xf>
    <xf numFmtId="0" fontId="31" fillId="0" borderId="0" xfId="0" applyNumberFormat="1" applyFont="1" applyFill="1" applyBorder="1" applyAlignment="1" applyProtection="1">
      <alignment horizontal="center" vertical="top"/>
    </xf>
    <xf numFmtId="0" fontId="27" fillId="5" borderId="19" xfId="213" applyNumberFormat="1" applyFont="1" applyFill="1" applyBorder="1" applyAlignment="1" applyProtection="1">
      <alignment horizontal="center" vertical="center" wrapText="1"/>
      <protection locked="0"/>
    </xf>
    <xf numFmtId="0" fontId="27" fillId="5" borderId="23" xfId="213" applyNumberFormat="1" applyFont="1" applyFill="1" applyBorder="1" applyAlignment="1" applyProtection="1">
      <alignment horizontal="center" vertical="center" wrapText="1"/>
      <protection locked="0"/>
    </xf>
    <xf numFmtId="10" fontId="4" fillId="16" borderId="12" xfId="314" applyNumberFormat="1" applyFont="1" applyFill="1" applyBorder="1" applyAlignment="1">
      <alignment horizontal="center" vertical="center" wrapText="1"/>
    </xf>
    <xf numFmtId="0" fontId="4" fillId="16" borderId="14" xfId="199" applyNumberFormat="1" applyFont="1" applyFill="1" applyBorder="1" applyAlignment="1" applyProtection="1">
      <alignment vertical="center" wrapText="1"/>
    </xf>
    <xf numFmtId="43" fontId="4" fillId="16" borderId="12" xfId="317" applyFont="1" applyFill="1" applyBorder="1" applyAlignment="1" applyProtection="1">
      <alignment horizontal="center" vertical="center" wrapText="1"/>
    </xf>
    <xf numFmtId="43" fontId="4" fillId="16" borderId="19" xfId="317" applyFont="1" applyFill="1" applyBorder="1" applyAlignment="1" applyProtection="1">
      <alignment horizontal="center" vertical="center" wrapText="1"/>
    </xf>
    <xf numFmtId="9" fontId="4" fillId="16" borderId="5" xfId="223" applyNumberFormat="1" applyFont="1" applyFill="1" applyBorder="1" applyAlignment="1" applyProtection="1">
      <alignment vertical="center" wrapText="1"/>
    </xf>
    <xf numFmtId="2" fontId="4" fillId="16" borderId="15" xfId="0" applyNumberFormat="1" applyFont="1" applyFill="1" applyBorder="1" applyAlignment="1">
      <alignment horizontal="center" vertical="center" wrapText="1"/>
    </xf>
    <xf numFmtId="9" fontId="4" fillId="16" borderId="5" xfId="223" applyNumberFormat="1" applyFont="1" applyFill="1" applyBorder="1" applyAlignment="1" applyProtection="1">
      <alignment horizontal="center" vertical="center" wrapText="1"/>
    </xf>
    <xf numFmtId="0" fontId="4" fillId="16" borderId="15" xfId="0" applyNumberFormat="1" applyFont="1" applyFill="1" applyBorder="1" applyAlignment="1">
      <alignment horizontal="center" vertical="center" wrapText="1"/>
    </xf>
    <xf numFmtId="0" fontId="4" fillId="16" borderId="9" xfId="223" applyNumberFormat="1" applyFont="1" applyFill="1" applyBorder="1" applyAlignment="1" applyProtection="1">
      <alignment horizontal="center" vertical="center" wrapText="1"/>
    </xf>
    <xf numFmtId="1" fontId="4" fillId="16" borderId="15" xfId="0" applyNumberFormat="1" applyFont="1" applyFill="1" applyBorder="1" applyAlignment="1">
      <alignment horizontal="center" vertical="center" wrapText="1"/>
    </xf>
    <xf numFmtId="0" fontId="4" fillId="16" borderId="12" xfId="223" applyNumberFormat="1" applyFont="1" applyFill="1" applyBorder="1" applyAlignment="1" applyProtection="1">
      <alignment horizontal="center" vertical="center" wrapText="1"/>
    </xf>
    <xf numFmtId="44" fontId="4" fillId="16" borderId="15" xfId="315" applyFont="1" applyFill="1" applyBorder="1" applyAlignment="1" applyProtection="1">
      <alignment vertical="center" wrapText="1"/>
    </xf>
    <xf numFmtId="197" fontId="4" fillId="16" borderId="15" xfId="0" applyNumberFormat="1" applyFont="1" applyFill="1" applyBorder="1" applyAlignment="1">
      <alignment horizontal="justify" vertical="center"/>
    </xf>
    <xf numFmtId="0" fontId="4" fillId="16" borderId="15" xfId="0" applyNumberFormat="1" applyFont="1" applyFill="1" applyBorder="1" applyAlignment="1" applyProtection="1">
      <alignment horizontal="center" vertical="center" wrapText="1"/>
    </xf>
    <xf numFmtId="0" fontId="4" fillId="16" borderId="15" xfId="223" applyNumberFormat="1" applyFont="1" applyFill="1" applyBorder="1" applyAlignment="1" applyProtection="1">
      <alignment horizontal="center" vertical="center" wrapText="1"/>
    </xf>
    <xf numFmtId="10" fontId="4" fillId="16" borderId="10" xfId="314" applyNumberFormat="1" applyFont="1" applyFill="1" applyBorder="1" applyAlignment="1">
      <alignment vertical="center" wrapText="1"/>
    </xf>
    <xf numFmtId="0" fontId="4" fillId="16" borderId="10" xfId="199" applyNumberFormat="1" applyFont="1" applyFill="1" applyBorder="1" applyAlignment="1" applyProtection="1">
      <alignment vertical="center" wrapText="1"/>
    </xf>
    <xf numFmtId="0" fontId="4" fillId="16" borderId="10" xfId="199" applyNumberFormat="1" applyFont="1" applyFill="1" applyBorder="1" applyAlignment="1" applyProtection="1">
      <alignment horizontal="center" vertical="center" wrapText="1"/>
    </xf>
    <xf numFmtId="0" fontId="4" fillId="16" borderId="5" xfId="223" applyNumberFormat="1" applyFont="1" applyFill="1" applyBorder="1" applyAlignment="1" applyProtection="1">
      <alignment horizontal="center" vertical="center" wrapText="1"/>
    </xf>
    <xf numFmtId="0" fontId="4" fillId="16" borderId="15" xfId="146" applyNumberFormat="1" applyFont="1" applyFill="1" applyBorder="1" applyAlignment="1">
      <alignment horizontal="center" vertical="center" wrapText="1"/>
    </xf>
    <xf numFmtId="1" fontId="4" fillId="16" borderId="15" xfId="146" applyNumberFormat="1" applyFont="1" applyFill="1" applyBorder="1" applyAlignment="1">
      <alignment horizontal="center" vertical="center" wrapText="1"/>
    </xf>
    <xf numFmtId="0" fontId="4" fillId="16" borderId="14" xfId="0" applyNumberFormat="1" applyFont="1" applyFill="1" applyBorder="1" applyAlignment="1">
      <alignment horizontal="center" vertical="center" wrapText="1"/>
    </xf>
    <xf numFmtId="1" fontId="4" fillId="16" borderId="14" xfId="0" applyNumberFormat="1" applyFont="1" applyFill="1" applyBorder="1" applyAlignment="1">
      <alignment horizontal="center" vertical="center" wrapText="1"/>
    </xf>
    <xf numFmtId="10" fontId="4" fillId="16" borderId="6" xfId="314" applyNumberFormat="1" applyFont="1" applyFill="1" applyBorder="1" applyAlignment="1">
      <alignment vertical="center" wrapText="1"/>
    </xf>
    <xf numFmtId="0" fontId="4" fillId="16" borderId="6" xfId="199" applyNumberFormat="1" applyFont="1" applyFill="1" applyBorder="1" applyAlignment="1" applyProtection="1">
      <alignment vertical="center" wrapText="1"/>
    </xf>
    <xf numFmtId="0" fontId="4" fillId="16" borderId="6" xfId="199" applyNumberFormat="1" applyFont="1" applyFill="1" applyBorder="1" applyAlignment="1" applyProtection="1">
      <alignment horizontal="center" vertical="center" wrapText="1"/>
    </xf>
    <xf numFmtId="9" fontId="4" fillId="16" borderId="15" xfId="314" applyFont="1" applyFill="1" applyBorder="1" applyAlignment="1">
      <alignment horizontal="center" vertical="center" wrapText="1"/>
    </xf>
    <xf numFmtId="0" fontId="4" fillId="16" borderId="12" xfId="199" applyNumberFormat="1" applyFont="1" applyFill="1" applyBorder="1" applyAlignment="1" applyProtection="1">
      <alignment vertical="center" wrapText="1"/>
    </xf>
    <xf numFmtId="187" fontId="4" fillId="16" borderId="12" xfId="0" applyNumberFormat="1" applyFont="1" applyFill="1" applyBorder="1" applyAlignment="1" applyProtection="1">
      <alignment vertical="center" wrapText="1"/>
    </xf>
    <xf numFmtId="0" fontId="4" fillId="16" borderId="12" xfId="0" applyFont="1" applyFill="1" applyBorder="1" applyAlignment="1">
      <alignment vertical="center" wrapText="1"/>
    </xf>
    <xf numFmtId="9" fontId="4" fillId="16" borderId="12" xfId="314" applyNumberFormat="1" applyFont="1" applyFill="1" applyBorder="1" applyAlignment="1">
      <alignment horizontal="center" vertical="center" wrapText="1"/>
    </xf>
    <xf numFmtId="9" fontId="4" fillId="16" borderId="10" xfId="314" applyFont="1" applyFill="1" applyBorder="1" applyAlignment="1" applyProtection="1">
      <alignment vertical="center" wrapText="1"/>
    </xf>
    <xf numFmtId="187" fontId="4" fillId="16" borderId="10" xfId="0" applyNumberFormat="1" applyFont="1" applyFill="1" applyBorder="1" applyAlignment="1" applyProtection="1">
      <alignment vertical="center" wrapText="1"/>
    </xf>
    <xf numFmtId="0" fontId="4" fillId="16" borderId="10" xfId="0" applyFont="1" applyFill="1" applyBorder="1" applyAlignment="1">
      <alignment vertical="center" wrapText="1"/>
    </xf>
    <xf numFmtId="0" fontId="4" fillId="16" borderId="10" xfId="223" applyNumberFormat="1" applyFont="1" applyFill="1" applyBorder="1" applyAlignment="1" applyProtection="1">
      <alignment vertical="center" wrapText="1"/>
    </xf>
    <xf numFmtId="187" fontId="4" fillId="16" borderId="6" xfId="0" applyNumberFormat="1" applyFont="1" applyFill="1" applyBorder="1" applyAlignment="1" applyProtection="1">
      <alignment vertical="center" wrapText="1"/>
    </xf>
    <xf numFmtId="0" fontId="4" fillId="16" borderId="6" xfId="0" applyFont="1" applyFill="1" applyBorder="1" applyAlignment="1">
      <alignment vertical="center" wrapText="1"/>
    </xf>
    <xf numFmtId="0" fontId="4" fillId="16" borderId="6" xfId="223" applyNumberFormat="1" applyFont="1" applyFill="1" applyBorder="1" applyAlignment="1" applyProtection="1">
      <alignment vertical="center" wrapText="1"/>
    </xf>
    <xf numFmtId="9" fontId="4" fillId="16" borderId="6" xfId="314" applyFont="1" applyFill="1" applyBorder="1" applyAlignment="1" applyProtection="1">
      <alignment vertical="center" wrapText="1"/>
    </xf>
    <xf numFmtId="43" fontId="4" fillId="16" borderId="10" xfId="317" applyFont="1" applyFill="1" applyBorder="1" applyAlignment="1" applyProtection="1">
      <alignment horizontal="center" vertical="center" wrapText="1"/>
    </xf>
    <xf numFmtId="187" fontId="4" fillId="16" borderId="10" xfId="0" applyNumberFormat="1" applyFont="1" applyFill="1" applyBorder="1" applyAlignment="1" applyProtection="1">
      <alignment horizontal="center" vertical="center" wrapText="1"/>
    </xf>
    <xf numFmtId="9" fontId="4" fillId="16" borderId="10" xfId="314" applyFont="1" applyFill="1" applyBorder="1" applyAlignment="1" applyProtection="1">
      <alignment horizontal="center" vertical="center" wrapText="1"/>
    </xf>
    <xf numFmtId="0" fontId="4" fillId="16" borderId="18" xfId="223" applyNumberFormat="1" applyFont="1" applyFill="1" applyBorder="1" applyAlignment="1" applyProtection="1">
      <alignment horizontal="center" vertical="center" wrapText="1"/>
    </xf>
    <xf numFmtId="9" fontId="4" fillId="16" borderId="6" xfId="0" applyNumberFormat="1" applyFont="1" applyFill="1" applyBorder="1" applyAlignment="1">
      <alignment horizontal="center" vertical="center" wrapText="1"/>
    </xf>
    <xf numFmtId="9" fontId="4" fillId="16" borderId="6" xfId="223" applyNumberFormat="1" applyFont="1" applyFill="1" applyBorder="1" applyAlignment="1" applyProtection="1">
      <alignment horizontal="center" vertical="center" wrapText="1"/>
    </xf>
    <xf numFmtId="44" fontId="4" fillId="16" borderId="6" xfId="165" applyFont="1" applyFill="1" applyBorder="1" applyAlignment="1" applyProtection="1">
      <alignment vertical="center" wrapText="1"/>
    </xf>
    <xf numFmtId="0" fontId="4" fillId="16" borderId="6" xfId="0" applyNumberFormat="1" applyFont="1" applyFill="1" applyBorder="1" applyAlignment="1" applyProtection="1">
      <alignment horizontal="center" vertical="center" wrapText="1"/>
    </xf>
    <xf numFmtId="0" fontId="4" fillId="16" borderId="6" xfId="223" applyNumberFormat="1" applyFont="1" applyFill="1" applyBorder="1" applyAlignment="1" applyProtection="1">
      <alignment horizontal="center" vertical="center" wrapText="1"/>
    </xf>
    <xf numFmtId="0" fontId="4" fillId="16" borderId="14" xfId="223" applyNumberFormat="1" applyFont="1" applyFill="1" applyBorder="1" applyAlignment="1" applyProtection="1">
      <alignment vertical="center" wrapText="1"/>
    </xf>
    <xf numFmtId="44" fontId="4" fillId="16" borderId="15" xfId="165" applyFont="1" applyFill="1" applyBorder="1" applyAlignment="1" applyProtection="1">
      <alignment vertical="center" wrapText="1"/>
    </xf>
    <xf numFmtId="44" fontId="4" fillId="16" borderId="15" xfId="165" applyFont="1" applyFill="1" applyBorder="1" applyAlignment="1" applyProtection="1">
      <alignment horizontal="center" vertical="center" wrapText="1"/>
    </xf>
    <xf numFmtId="0" fontId="4" fillId="16" borderId="15" xfId="223" applyNumberFormat="1" applyFont="1" applyFill="1" applyBorder="1" applyAlignment="1" applyProtection="1">
      <alignment vertical="center" wrapText="1"/>
    </xf>
    <xf numFmtId="43" fontId="4" fillId="6" borderId="10" xfId="317" applyNumberFormat="1" applyFont="1" applyFill="1" applyBorder="1" applyAlignment="1" applyProtection="1">
      <alignment horizontal="center" vertical="center" wrapText="1"/>
    </xf>
    <xf numFmtId="43" fontId="4" fillId="6" borderId="16" xfId="317" applyNumberFormat="1" applyFont="1" applyFill="1" applyBorder="1" applyAlignment="1" applyProtection="1">
      <alignment horizontal="center" vertical="center" wrapText="1"/>
    </xf>
    <xf numFmtId="44" fontId="4" fillId="6" borderId="16" xfId="315" applyFont="1" applyFill="1" applyBorder="1" applyAlignment="1" applyProtection="1">
      <alignment vertical="center" wrapText="1"/>
    </xf>
    <xf numFmtId="0" fontId="4" fillId="6" borderId="14" xfId="223" applyNumberFormat="1" applyFont="1" applyFill="1" applyBorder="1" applyAlignment="1" applyProtection="1">
      <alignment vertical="center" wrapText="1"/>
    </xf>
    <xf numFmtId="2" fontId="4" fillId="6" borderId="15" xfId="0" applyNumberFormat="1" applyFont="1" applyFill="1" applyBorder="1" applyAlignment="1">
      <alignment horizontal="center" vertical="center" wrapText="1"/>
    </xf>
    <xf numFmtId="0" fontId="4" fillId="6" borderId="17" xfId="223" applyNumberFormat="1" applyFont="1" applyFill="1" applyBorder="1" applyAlignment="1" applyProtection="1">
      <alignment horizontal="left" vertical="center" wrapText="1"/>
    </xf>
    <xf numFmtId="0" fontId="4" fillId="6" borderId="17" xfId="223" applyNumberFormat="1" applyFont="1" applyFill="1" applyBorder="1" applyAlignment="1" applyProtection="1">
      <alignment horizontal="center" vertical="center" wrapText="1"/>
    </xf>
    <xf numFmtId="44" fontId="4" fillId="6" borderId="5" xfId="165" applyFont="1" applyFill="1" applyBorder="1" applyAlignment="1" applyProtection="1">
      <alignment vertical="center" wrapText="1"/>
    </xf>
    <xf numFmtId="0" fontId="4" fillId="6" borderId="5" xfId="223" applyNumberFormat="1" applyFont="1" applyFill="1" applyBorder="1" applyAlignment="1" applyProtection="1">
      <alignment vertical="center" wrapText="1"/>
    </xf>
    <xf numFmtId="9" fontId="4" fillId="6" borderId="16" xfId="314" applyFont="1" applyFill="1" applyBorder="1" applyAlignment="1" applyProtection="1">
      <alignment vertical="center" wrapText="1"/>
    </xf>
    <xf numFmtId="0" fontId="4" fillId="6" borderId="16" xfId="0" applyNumberFormat="1" applyFont="1" applyFill="1" applyBorder="1" applyAlignment="1" applyProtection="1">
      <alignment vertical="center" wrapText="1"/>
    </xf>
    <xf numFmtId="0" fontId="4" fillId="6" borderId="5" xfId="0" applyNumberFormat="1" applyFont="1" applyFill="1" applyBorder="1" applyAlignment="1" applyProtection="1">
      <alignment horizontal="left" vertical="center" wrapText="1"/>
    </xf>
    <xf numFmtId="1" fontId="4" fillId="6" borderId="5" xfId="223" applyNumberFormat="1" applyFont="1" applyFill="1" applyBorder="1" applyAlignment="1" applyProtection="1">
      <alignment horizontal="center" vertical="center" wrapText="1"/>
    </xf>
    <xf numFmtId="0" fontId="4" fillId="6" borderId="10" xfId="0" applyNumberFormat="1" applyFont="1" applyFill="1" applyBorder="1" applyAlignment="1" applyProtection="1">
      <alignment vertical="center" wrapText="1"/>
    </xf>
    <xf numFmtId="199" fontId="4" fillId="6" borderId="10" xfId="317" applyNumberFormat="1" applyFont="1" applyFill="1" applyBorder="1" applyAlignment="1" applyProtection="1">
      <alignment horizontal="center" vertical="center" wrapText="1"/>
    </xf>
    <xf numFmtId="10" fontId="4" fillId="6" borderId="10" xfId="240" applyNumberFormat="1" applyFont="1" applyFill="1" applyBorder="1" applyAlignment="1" applyProtection="1">
      <alignment vertical="center" wrapText="1"/>
    </xf>
    <xf numFmtId="0" fontId="4" fillId="6" borderId="6" xfId="0" applyNumberFormat="1" applyFont="1" applyFill="1" applyBorder="1" applyAlignment="1" applyProtection="1">
      <alignment vertical="center" wrapText="1"/>
    </xf>
    <xf numFmtId="0" fontId="4" fillId="6" borderId="19" xfId="0" applyNumberFormat="1" applyFont="1" applyFill="1" applyBorder="1" applyAlignment="1" applyProtection="1">
      <alignment horizontal="left" vertical="center" wrapText="1"/>
    </xf>
    <xf numFmtId="187" fontId="4" fillId="6" borderId="16" xfId="223" applyNumberFormat="1" applyFont="1" applyFill="1" applyBorder="1" applyAlignment="1" applyProtection="1">
      <alignment horizontal="center" vertical="center" wrapText="1"/>
    </xf>
    <xf numFmtId="10" fontId="4" fillId="6" borderId="6" xfId="240" applyNumberFormat="1" applyFont="1" applyFill="1" applyBorder="1" applyAlignment="1" applyProtection="1">
      <alignment horizontal="justify" vertical="center" wrapText="1"/>
    </xf>
    <xf numFmtId="0" fontId="4" fillId="6" borderId="6" xfId="0" applyNumberFormat="1" applyFont="1" applyFill="1" applyBorder="1" applyAlignment="1" applyProtection="1">
      <alignment horizontal="left" vertical="center" wrapText="1"/>
    </xf>
    <xf numFmtId="1" fontId="4" fillId="6" borderId="6" xfId="0" applyNumberFormat="1" applyFont="1" applyFill="1" applyBorder="1" applyAlignment="1" applyProtection="1">
      <alignment horizontal="center" vertical="center" wrapText="1"/>
    </xf>
    <xf numFmtId="44" fontId="4" fillId="6" borderId="6" xfId="165" applyFont="1" applyFill="1" applyBorder="1" applyAlignment="1" applyProtection="1">
      <alignment horizontal="center" vertical="center" wrapText="1"/>
    </xf>
    <xf numFmtId="0" fontId="4" fillId="6" borderId="6" xfId="223" applyNumberFormat="1" applyFont="1" applyFill="1" applyBorder="1" applyAlignment="1" applyProtection="1">
      <alignment horizontal="justify" vertical="center" wrapText="1"/>
    </xf>
    <xf numFmtId="187" fontId="4" fillId="6" borderId="10" xfId="223" applyNumberFormat="1" applyFont="1" applyFill="1" applyBorder="1" applyAlignment="1" applyProtection="1">
      <alignment horizontal="center" vertical="center" wrapText="1"/>
    </xf>
    <xf numFmtId="201" fontId="4" fillId="6" borderId="10" xfId="223" applyNumberFormat="1" applyFont="1" applyFill="1" applyBorder="1" applyAlignment="1" applyProtection="1">
      <alignment vertical="center" wrapText="1"/>
    </xf>
    <xf numFmtId="191" fontId="4" fillId="6" borderId="10" xfId="314" applyNumberFormat="1" applyFont="1" applyFill="1" applyBorder="1" applyAlignment="1" applyProtection="1">
      <alignment vertical="center" wrapText="1"/>
    </xf>
    <xf numFmtId="0" fontId="4" fillId="6" borderId="10" xfId="0" applyNumberFormat="1" applyFont="1" applyFill="1" applyBorder="1" applyAlignment="1" applyProtection="1">
      <alignment horizontal="center" vertical="center" wrapText="1"/>
    </xf>
    <xf numFmtId="1" fontId="4" fillId="6" borderId="5" xfId="0" applyNumberFormat="1" applyFont="1" applyFill="1" applyBorder="1" applyAlignment="1" applyProtection="1">
      <alignment horizontal="center" vertical="center" wrapText="1"/>
    </xf>
    <xf numFmtId="44" fontId="4" fillId="6" borderId="8" xfId="165" applyFont="1" applyFill="1" applyBorder="1" applyAlignment="1" applyProtection="1">
      <alignment horizontal="center" vertical="center" wrapText="1"/>
    </xf>
    <xf numFmtId="0" fontId="4" fillId="6" borderId="8" xfId="223" applyNumberFormat="1" applyFont="1" applyFill="1" applyBorder="1" applyAlignment="1" applyProtection="1">
      <alignment horizontal="center" vertical="center" wrapText="1"/>
    </xf>
    <xf numFmtId="0" fontId="4" fillId="6" borderId="8" xfId="223" applyNumberFormat="1" applyFont="1" applyFill="1" applyBorder="1" applyAlignment="1" applyProtection="1">
      <alignment horizontal="justify" vertical="center" wrapText="1"/>
    </xf>
    <xf numFmtId="187" fontId="4" fillId="6" borderId="6" xfId="223" applyNumberFormat="1" applyFont="1" applyFill="1" applyBorder="1" applyAlignment="1" applyProtection="1">
      <alignment horizontal="center" vertical="center" wrapText="1"/>
    </xf>
    <xf numFmtId="201" fontId="4" fillId="6" borderId="6" xfId="223" applyNumberFormat="1" applyFont="1" applyFill="1" applyBorder="1" applyAlignment="1" applyProtection="1">
      <alignment vertical="center" wrapText="1"/>
    </xf>
    <xf numFmtId="10" fontId="4" fillId="6" borderId="8" xfId="0" applyNumberFormat="1" applyFont="1" applyFill="1" applyBorder="1" applyAlignment="1" applyProtection="1">
      <alignment vertical="center" wrapText="1"/>
    </xf>
    <xf numFmtId="44" fontId="4" fillId="6" borderId="8" xfId="315" applyFont="1" applyFill="1" applyBorder="1" applyAlignment="1" applyProtection="1">
      <alignment vertical="center" wrapText="1"/>
    </xf>
    <xf numFmtId="44" fontId="4" fillId="6" borderId="5" xfId="223" applyNumberFormat="1" applyFont="1" applyFill="1" applyBorder="1" applyAlignment="1" applyProtection="1">
      <alignment horizontal="center" vertical="center" wrapText="1"/>
    </xf>
    <xf numFmtId="191" fontId="4" fillId="6" borderId="10" xfId="314" applyNumberFormat="1" applyFont="1" applyFill="1" applyBorder="1" applyAlignment="1" applyProtection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1" fontId="4" fillId="6" borderId="5" xfId="240" applyNumberFormat="1" applyFont="1" applyFill="1" applyBorder="1" applyAlignment="1">
      <alignment horizontal="center" vertical="center" wrapText="1"/>
    </xf>
    <xf numFmtId="190" fontId="4" fillId="6" borderId="5" xfId="0" applyNumberFormat="1" applyFont="1" applyFill="1" applyBorder="1" applyAlignment="1" applyProtection="1">
      <alignment vertical="center"/>
    </xf>
    <xf numFmtId="190" fontId="4" fillId="6" borderId="0" xfId="0" applyNumberFormat="1" applyFont="1" applyFill="1" applyBorder="1" applyAlignment="1" applyProtection="1">
      <alignment vertical="center"/>
    </xf>
    <xf numFmtId="1" fontId="4" fillId="6" borderId="5" xfId="0" applyNumberFormat="1" applyFont="1" applyFill="1" applyBorder="1" applyAlignment="1">
      <alignment horizontal="center" vertical="center" wrapText="1"/>
    </xf>
    <xf numFmtId="44" fontId="4" fillId="6" borderId="0" xfId="165" applyFont="1" applyFill="1" applyBorder="1" applyAlignment="1" applyProtection="1">
      <alignment vertical="center"/>
    </xf>
    <xf numFmtId="0" fontId="4" fillId="6" borderId="5" xfId="0" applyNumberFormat="1" applyFont="1" applyFill="1" applyBorder="1" applyAlignment="1" applyProtection="1">
      <alignment horizontal="center" vertical="center"/>
    </xf>
    <xf numFmtId="0" fontId="4" fillId="6" borderId="5" xfId="223" applyNumberFormat="1" applyFont="1" applyFill="1" applyBorder="1" applyAlignment="1" applyProtection="1">
      <alignment horizontal="justify" vertical="center" wrapText="1"/>
    </xf>
    <xf numFmtId="192" fontId="4" fillId="6" borderId="5" xfId="165" applyNumberFormat="1" applyFont="1" applyFill="1" applyBorder="1" applyAlignment="1" applyProtection="1">
      <alignment vertical="center" wrapText="1"/>
    </xf>
    <xf numFmtId="0" fontId="4" fillId="6" borderId="17" xfId="0" applyNumberFormat="1" applyFont="1" applyFill="1" applyBorder="1" applyAlignment="1" applyProtection="1">
      <alignment horizontal="center" vertical="center" wrapText="1"/>
    </xf>
    <xf numFmtId="0" fontId="4" fillId="6" borderId="17" xfId="0" applyNumberFormat="1" applyFont="1" applyFill="1" applyBorder="1" applyAlignment="1" applyProtection="1">
      <alignment vertical="center" wrapText="1"/>
    </xf>
    <xf numFmtId="10" fontId="4" fillId="6" borderId="5" xfId="223" applyNumberFormat="1" applyFont="1" applyFill="1" applyBorder="1" applyAlignment="1" applyProtection="1">
      <alignment horizontal="center" vertical="center" wrapText="1"/>
    </xf>
    <xf numFmtId="43" fontId="4" fillId="7" borderId="19" xfId="317" applyFont="1" applyFill="1" applyBorder="1" applyAlignment="1" applyProtection="1">
      <alignment vertical="center" wrapText="1"/>
    </xf>
    <xf numFmtId="0" fontId="4" fillId="7" borderId="10" xfId="223" applyNumberFormat="1" applyFont="1" applyFill="1" applyBorder="1" applyAlignment="1" applyProtection="1">
      <alignment vertical="center" textRotation="255" wrapText="1"/>
    </xf>
    <xf numFmtId="10" fontId="4" fillId="7" borderId="10" xfId="223" applyNumberFormat="1" applyFont="1" applyFill="1" applyBorder="1" applyAlignment="1" applyProtection="1">
      <alignment vertical="center" wrapText="1"/>
    </xf>
    <xf numFmtId="191" fontId="4" fillId="7" borderId="19" xfId="0" applyNumberFormat="1" applyFont="1" applyFill="1" applyBorder="1" applyAlignment="1" applyProtection="1">
      <alignment horizontal="center" vertical="center" wrapText="1"/>
    </xf>
    <xf numFmtId="9" fontId="4" fillId="7" borderId="19" xfId="0" applyNumberFormat="1" applyFont="1" applyFill="1" applyBorder="1" applyAlignment="1" applyProtection="1">
      <alignment horizontal="center" vertical="center" wrapText="1"/>
    </xf>
    <xf numFmtId="191" fontId="4" fillId="7" borderId="19" xfId="314" applyNumberFormat="1" applyFont="1" applyFill="1" applyBorder="1" applyAlignment="1" applyProtection="1">
      <alignment horizontal="center" vertical="center" wrapText="1"/>
    </xf>
    <xf numFmtId="191" fontId="4" fillId="7" borderId="5" xfId="223" applyNumberFormat="1" applyFont="1" applyFill="1" applyBorder="1" applyAlignment="1" applyProtection="1">
      <alignment horizontal="center" vertical="center" wrapText="1"/>
    </xf>
    <xf numFmtId="194" fontId="4" fillId="7" borderId="5" xfId="315" applyNumberFormat="1" applyFont="1" applyFill="1" applyBorder="1" applyAlignment="1" applyProtection="1">
      <alignment horizontal="center" vertical="center" wrapText="1"/>
    </xf>
    <xf numFmtId="192" fontId="4" fillId="7" borderId="5" xfId="315" applyNumberFormat="1" applyFont="1" applyFill="1" applyBorder="1" applyAlignment="1" applyProtection="1">
      <alignment horizontal="center" vertical="center" wrapText="1"/>
    </xf>
    <xf numFmtId="191" fontId="4" fillId="7" borderId="6" xfId="0" applyNumberFormat="1" applyFont="1" applyFill="1" applyBorder="1" applyAlignment="1" applyProtection="1">
      <alignment horizontal="center" vertical="center" wrapText="1"/>
    </xf>
    <xf numFmtId="191" fontId="4" fillId="7" borderId="19" xfId="223" applyNumberFormat="1" applyFont="1" applyFill="1" applyBorder="1" applyAlignment="1" applyProtection="1">
      <alignment horizontal="center" vertical="center" wrapText="1"/>
    </xf>
    <xf numFmtId="194" fontId="4" fillId="7" borderId="19" xfId="315" applyNumberFormat="1" applyFont="1" applyFill="1" applyBorder="1" applyAlignment="1" applyProtection="1">
      <alignment vertical="center" wrapText="1"/>
    </xf>
    <xf numFmtId="2" fontId="4" fillId="7" borderId="5" xfId="223" applyNumberFormat="1" applyFont="1" applyFill="1" applyBorder="1" applyAlignment="1" applyProtection="1">
      <alignment horizontal="center" vertical="center" wrapText="1"/>
    </xf>
    <xf numFmtId="10" fontId="4" fillId="7" borderId="18" xfId="223" applyNumberFormat="1" applyFont="1" applyFill="1" applyBorder="1" applyAlignment="1" applyProtection="1">
      <alignment horizontal="center" vertical="center" wrapText="1"/>
    </xf>
    <xf numFmtId="192" fontId="4" fillId="7" borderId="19" xfId="315" applyNumberFormat="1" applyFont="1" applyFill="1" applyBorder="1" applyAlignment="1" applyProtection="1">
      <alignment vertical="center" wrapText="1"/>
    </xf>
    <xf numFmtId="191" fontId="4" fillId="7" borderId="10" xfId="0" applyNumberFormat="1" applyFont="1" applyFill="1" applyBorder="1" applyAlignment="1" applyProtection="1">
      <alignment vertical="center" wrapText="1"/>
    </xf>
    <xf numFmtId="10" fontId="4" fillId="7" borderId="10" xfId="223" applyNumberFormat="1" applyFont="1" applyFill="1" applyBorder="1" applyAlignment="1" applyProtection="1">
      <alignment horizontal="center" vertical="center" wrapText="1"/>
    </xf>
    <xf numFmtId="2" fontId="4" fillId="7" borderId="10" xfId="223" applyNumberFormat="1" applyFont="1" applyFill="1" applyBorder="1" applyAlignment="1" applyProtection="1">
      <alignment vertical="center" wrapText="1"/>
    </xf>
    <xf numFmtId="194" fontId="4" fillId="7" borderId="18" xfId="315" applyNumberFormat="1" applyFont="1" applyFill="1" applyBorder="1" applyAlignment="1" applyProtection="1">
      <alignment horizontal="center" vertical="center" wrapText="1"/>
    </xf>
    <xf numFmtId="44" fontId="4" fillId="7" borderId="18" xfId="315" applyFont="1" applyFill="1" applyBorder="1" applyAlignment="1" applyProtection="1">
      <alignment horizontal="center" vertical="center" wrapText="1"/>
    </xf>
    <xf numFmtId="2" fontId="4" fillId="7" borderId="6" xfId="223" applyNumberFormat="1" applyFont="1" applyFill="1" applyBorder="1" applyAlignment="1" applyProtection="1">
      <alignment vertical="center" wrapText="1"/>
    </xf>
    <xf numFmtId="0" fontId="4" fillId="7" borderId="19" xfId="0" applyFont="1" applyFill="1" applyBorder="1" applyAlignment="1">
      <alignment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9" fontId="4" fillId="7" borderId="5" xfId="314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vertical="center" wrapText="1"/>
    </xf>
    <xf numFmtId="0" fontId="4" fillId="7" borderId="5" xfId="0" applyNumberFormat="1" applyFont="1" applyFill="1" applyBorder="1" applyAlignment="1" applyProtection="1">
      <alignment vertical="center" wrapText="1"/>
    </xf>
    <xf numFmtId="191" fontId="4" fillId="7" borderId="5" xfId="314" applyNumberFormat="1" applyFont="1" applyFill="1" applyBorder="1" applyAlignment="1">
      <alignment horizontal="center" vertical="center" wrapText="1"/>
    </xf>
    <xf numFmtId="191" fontId="4" fillId="7" borderId="5" xfId="0" applyNumberFormat="1" applyFont="1" applyFill="1" applyBorder="1" applyAlignment="1" applyProtection="1">
      <alignment horizontal="center" vertical="center" wrapText="1"/>
    </xf>
    <xf numFmtId="9" fontId="6" fillId="7" borderId="5" xfId="199" applyNumberFormat="1" applyFont="1" applyFill="1" applyBorder="1" applyAlignment="1" applyProtection="1">
      <alignment horizontal="center" vertical="center" wrapText="1"/>
      <protection locked="0"/>
    </xf>
    <xf numFmtId="9" fontId="4" fillId="7" borderId="19" xfId="314" applyFont="1" applyFill="1" applyBorder="1" applyAlignment="1">
      <alignment horizontal="center" vertical="center" wrapText="1"/>
    </xf>
    <xf numFmtId="9" fontId="4" fillId="7" borderId="6" xfId="314" applyFont="1" applyFill="1" applyBorder="1" applyAlignment="1">
      <alignment horizontal="center" vertical="center" wrapText="1"/>
    </xf>
    <xf numFmtId="43" fontId="4" fillId="7" borderId="19" xfId="317" applyFont="1" applyFill="1" applyBorder="1" applyAlignment="1">
      <alignment horizontal="center" vertical="center" wrapText="1"/>
    </xf>
    <xf numFmtId="191" fontId="4" fillId="7" borderId="5" xfId="0" applyNumberFormat="1" applyFont="1" applyFill="1" applyBorder="1" applyAlignment="1">
      <alignment horizontal="center" vertical="center" wrapText="1"/>
    </xf>
    <xf numFmtId="9" fontId="6" fillId="7" borderId="5" xfId="240" applyNumberFormat="1" applyFont="1" applyFill="1" applyBorder="1" applyAlignment="1" applyProtection="1">
      <alignment horizontal="center" vertical="center" wrapText="1"/>
      <protection locked="0"/>
    </xf>
    <xf numFmtId="0" fontId="4" fillId="7" borderId="18" xfId="0" applyFont="1" applyFill="1" applyBorder="1" applyAlignment="1">
      <alignment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7" borderId="18" xfId="0" applyNumberFormat="1" applyFont="1" applyFill="1" applyBorder="1" applyAlignment="1" applyProtection="1">
      <alignment vertical="center" wrapText="1"/>
    </xf>
    <xf numFmtId="10" fontId="4" fillId="7" borderId="5" xfId="0" applyNumberFormat="1" applyFont="1" applyFill="1" applyBorder="1" applyAlignment="1" applyProtection="1">
      <alignment horizontal="center" vertical="center" wrapText="1"/>
    </xf>
    <xf numFmtId="189" fontId="4" fillId="7" borderId="5" xfId="0" applyNumberFormat="1" applyFont="1" applyFill="1" applyBorder="1" applyAlignment="1" applyProtection="1">
      <alignment horizontal="center" vertical="center" wrapText="1"/>
    </xf>
    <xf numFmtId="9" fontId="4" fillId="7" borderId="5" xfId="0" applyNumberFormat="1" applyFont="1" applyFill="1" applyBorder="1" applyAlignment="1" applyProtection="1">
      <alignment horizontal="center" vertical="center" wrapText="1"/>
    </xf>
    <xf numFmtId="10" fontId="4" fillId="7" borderId="6" xfId="314" applyNumberFormat="1" applyFont="1" applyFill="1" applyBorder="1" applyAlignment="1" applyProtection="1">
      <alignment vertical="center" wrapText="1"/>
    </xf>
    <xf numFmtId="10" fontId="4" fillId="7" borderId="18" xfId="0" applyNumberFormat="1" applyFont="1" applyFill="1" applyBorder="1" applyAlignment="1" applyProtection="1">
      <alignment vertical="center" wrapText="1"/>
    </xf>
    <xf numFmtId="2" fontId="4" fillId="7" borderId="5" xfId="0" applyNumberFormat="1" applyFont="1" applyFill="1" applyBorder="1" applyAlignment="1" applyProtection="1">
      <alignment horizontal="center" vertical="center" wrapText="1"/>
    </xf>
    <xf numFmtId="10" fontId="4" fillId="7" borderId="6" xfId="0" applyNumberFormat="1" applyFont="1" applyFill="1" applyBorder="1" applyAlignment="1" applyProtection="1">
      <alignment vertical="center" wrapText="1"/>
    </xf>
    <xf numFmtId="196" fontId="4" fillId="7" borderId="5" xfId="0" applyNumberFormat="1" applyFont="1" applyFill="1" applyBorder="1" applyAlignment="1" applyProtection="1">
      <alignment horizontal="center" vertical="center" wrapText="1"/>
    </xf>
    <xf numFmtId="10" fontId="4" fillId="7" borderId="5" xfId="240" applyNumberFormat="1" applyFont="1" applyFill="1" applyBorder="1" applyAlignment="1" applyProtection="1">
      <alignment horizontal="center" vertical="center" wrapText="1"/>
    </xf>
    <xf numFmtId="2" fontId="4" fillId="7" borderId="18" xfId="0" applyNumberFormat="1" applyFont="1" applyFill="1" applyBorder="1" applyAlignment="1" applyProtection="1">
      <alignment horizontal="center" vertical="center" wrapText="1"/>
    </xf>
    <xf numFmtId="2" fontId="4" fillId="7" borderId="18" xfId="0" applyNumberFormat="1" applyFont="1" applyFill="1" applyBorder="1" applyAlignment="1" applyProtection="1">
      <alignment vertical="center" wrapText="1"/>
    </xf>
    <xf numFmtId="2" fontId="4" fillId="7" borderId="6" xfId="0" applyNumberFormat="1" applyFont="1" applyFill="1" applyBorder="1" applyAlignment="1" applyProtection="1">
      <alignment horizontal="center" vertical="center" wrapText="1"/>
    </xf>
    <xf numFmtId="2" fontId="4" fillId="7" borderId="6" xfId="0" applyNumberFormat="1" applyFont="1" applyFill="1" applyBorder="1" applyAlignment="1" applyProtection="1">
      <alignment vertical="center" wrapText="1"/>
    </xf>
    <xf numFmtId="1" fontId="4" fillId="7" borderId="5" xfId="0" applyNumberFormat="1" applyFont="1" applyFill="1" applyBorder="1" applyAlignment="1" applyProtection="1">
      <alignment horizontal="center" vertical="center" wrapText="1"/>
    </xf>
    <xf numFmtId="9" fontId="4" fillId="7" borderId="5" xfId="0" applyNumberFormat="1" applyFont="1" applyFill="1" applyBorder="1" applyAlignment="1">
      <alignment horizontal="center" vertical="center" wrapText="1"/>
    </xf>
    <xf numFmtId="10" fontId="4" fillId="7" borderId="5" xfId="0" applyNumberFormat="1" applyFont="1" applyFill="1" applyBorder="1" applyAlignment="1">
      <alignment horizontal="center" vertical="center" wrapText="1"/>
    </xf>
    <xf numFmtId="10" fontId="4" fillId="7" borderId="19" xfId="199" applyNumberFormat="1" applyFont="1" applyFill="1" applyBorder="1" applyAlignment="1">
      <alignment vertical="center" wrapText="1"/>
    </xf>
    <xf numFmtId="10" fontId="4" fillId="7" borderId="19" xfId="199" applyNumberFormat="1" applyFont="1" applyFill="1" applyBorder="1" applyAlignment="1">
      <alignment horizontal="center" vertical="center" wrapText="1"/>
    </xf>
    <xf numFmtId="9" fontId="4" fillId="7" borderId="19" xfId="199" applyNumberFormat="1" applyFont="1" applyFill="1" applyBorder="1" applyAlignment="1">
      <alignment horizontal="center" vertical="center" wrapText="1"/>
    </xf>
    <xf numFmtId="10" fontId="4" fillId="7" borderId="6" xfId="199" applyNumberFormat="1" applyFont="1" applyFill="1" applyBorder="1" applyAlignment="1">
      <alignment vertical="center" wrapText="1"/>
    </xf>
    <xf numFmtId="10" fontId="4" fillId="7" borderId="6" xfId="314" applyNumberFormat="1" applyFont="1" applyFill="1" applyBorder="1" applyAlignment="1">
      <alignment vertical="center" wrapText="1"/>
    </xf>
    <xf numFmtId="0" fontId="4" fillId="7" borderId="5" xfId="199" applyNumberFormat="1" applyFont="1" applyFill="1" applyBorder="1" applyAlignment="1" applyProtection="1">
      <alignment horizontal="center" vertical="center" wrapText="1"/>
    </xf>
    <xf numFmtId="2" fontId="4" fillId="7" borderId="5" xfId="199" applyNumberFormat="1" applyFont="1" applyFill="1" applyBorder="1" applyAlignment="1" applyProtection="1">
      <alignment horizontal="center" vertical="center" wrapText="1"/>
    </xf>
    <xf numFmtId="9" fontId="4" fillId="7" borderId="5" xfId="199" applyNumberFormat="1" applyFont="1" applyFill="1" applyBorder="1" applyAlignment="1" applyProtection="1">
      <alignment horizontal="center" vertical="center" wrapText="1"/>
    </xf>
    <xf numFmtId="44" fontId="4" fillId="7" borderId="5" xfId="315" applyFont="1" applyFill="1" applyBorder="1" applyAlignment="1" applyProtection="1">
      <alignment horizontal="center" vertical="center" wrapText="1"/>
    </xf>
    <xf numFmtId="44" fontId="4" fillId="7" borderId="5" xfId="165" applyFont="1" applyFill="1" applyBorder="1" applyAlignment="1" applyProtection="1">
      <alignment horizontal="center" vertical="center" wrapText="1"/>
    </xf>
    <xf numFmtId="44" fontId="4" fillId="7" borderId="8" xfId="315" applyFont="1" applyFill="1" applyBorder="1" applyAlignment="1" applyProtection="1">
      <alignment horizontal="center" vertical="center" wrapText="1"/>
    </xf>
    <xf numFmtId="44" fontId="4" fillId="7" borderId="8" xfId="165" applyFont="1" applyFill="1" applyBorder="1" applyAlignment="1" applyProtection="1">
      <alignment horizontal="center" vertical="center" wrapText="1"/>
    </xf>
    <xf numFmtId="0" fontId="6" fillId="7" borderId="5" xfId="199" applyFont="1" applyFill="1" applyBorder="1" applyAlignment="1" applyProtection="1">
      <alignment horizontal="center" vertical="center" wrapText="1"/>
      <protection locked="0"/>
    </xf>
    <xf numFmtId="9" fontId="6" fillId="7" borderId="5" xfId="314" applyFont="1" applyFill="1" applyBorder="1" applyAlignment="1" applyProtection="1">
      <alignment horizontal="center" vertical="center" wrapText="1"/>
      <protection locked="0"/>
    </xf>
    <xf numFmtId="44" fontId="4" fillId="7" borderId="13" xfId="315" applyFont="1" applyFill="1" applyBorder="1" applyAlignment="1" applyProtection="1">
      <alignment horizontal="center" vertical="center" wrapText="1"/>
    </xf>
    <xf numFmtId="44" fontId="4" fillId="7" borderId="19" xfId="315" applyFont="1" applyFill="1" applyBorder="1" applyAlignment="1" applyProtection="1">
      <alignment horizontal="center" vertical="center" wrapText="1"/>
    </xf>
    <xf numFmtId="44" fontId="4" fillId="7" borderId="19" xfId="223" applyNumberFormat="1" applyFont="1" applyFill="1" applyBorder="1" applyAlignment="1" applyProtection="1">
      <alignment horizontal="center" vertical="center" wrapText="1"/>
    </xf>
    <xf numFmtId="0" fontId="4" fillId="7" borderId="6" xfId="199" applyNumberFormat="1" applyFont="1" applyFill="1" applyBorder="1" applyAlignment="1" applyProtection="1">
      <alignment horizontal="center" vertical="center" wrapText="1"/>
    </xf>
    <xf numFmtId="44" fontId="4" fillId="7" borderId="6" xfId="315" applyFont="1" applyFill="1" applyBorder="1" applyAlignment="1" applyProtection="1">
      <alignment horizontal="center" vertical="center" wrapText="1"/>
    </xf>
    <xf numFmtId="188" fontId="4" fillId="7" borderId="6" xfId="317" applyNumberFormat="1" applyFont="1" applyFill="1" applyBorder="1" applyAlignment="1" applyProtection="1">
      <alignment horizontal="center" vertical="center" wrapText="1"/>
    </xf>
    <xf numFmtId="44" fontId="4" fillId="7" borderId="18" xfId="223" applyNumberFormat="1" applyFont="1" applyFill="1" applyBorder="1" applyAlignment="1" applyProtection="1">
      <alignment horizontal="center" vertical="center" wrapText="1"/>
    </xf>
    <xf numFmtId="1" fontId="4" fillId="7" borderId="6" xfId="223" applyNumberFormat="1" applyFont="1" applyFill="1" applyBorder="1" applyAlignment="1" applyProtection="1">
      <alignment horizontal="center" vertical="center" wrapText="1"/>
    </xf>
    <xf numFmtId="44" fontId="4" fillId="7" borderId="6" xfId="165" applyFont="1" applyFill="1" applyBorder="1" applyAlignment="1" applyProtection="1">
      <alignment horizontal="center" vertical="center" wrapText="1"/>
    </xf>
    <xf numFmtId="0" fontId="4" fillId="7" borderId="19" xfId="223" applyNumberFormat="1" applyFont="1" applyFill="1" applyBorder="1" applyAlignment="1" applyProtection="1">
      <alignment horizontal="center" vertical="center" wrapText="1"/>
    </xf>
    <xf numFmtId="0" fontId="4" fillId="7" borderId="6" xfId="223" applyNumberFormat="1" applyFont="1" applyFill="1" applyBorder="1" applyAlignment="1" applyProtection="1">
      <alignment horizontal="center" vertical="center" wrapText="1"/>
    </xf>
    <xf numFmtId="0" fontId="4" fillId="7" borderId="7" xfId="223" applyNumberFormat="1" applyFont="1" applyFill="1" applyBorder="1" applyAlignment="1" applyProtection="1">
      <alignment vertical="center" wrapText="1"/>
    </xf>
    <xf numFmtId="1" fontId="4" fillId="7" borderId="10" xfId="223" applyNumberFormat="1" applyFont="1" applyFill="1" applyBorder="1" applyAlignment="1" applyProtection="1">
      <alignment horizontal="center" vertical="center" wrapText="1"/>
    </xf>
    <xf numFmtId="44" fontId="4" fillId="7" borderId="10" xfId="223" applyNumberFormat="1" applyFont="1" applyFill="1" applyBorder="1" applyAlignment="1" applyProtection="1">
      <alignment vertical="center" wrapText="1"/>
    </xf>
    <xf numFmtId="191" fontId="4" fillId="7" borderId="18" xfId="314" applyNumberFormat="1" applyFont="1" applyFill="1" applyBorder="1" applyAlignment="1" applyProtection="1">
      <alignment horizontal="center" vertical="center" wrapText="1"/>
    </xf>
    <xf numFmtId="1" fontId="4" fillId="7" borderId="18" xfId="223" applyNumberFormat="1" applyFont="1" applyFill="1" applyBorder="1" applyAlignment="1" applyProtection="1">
      <alignment horizontal="center" vertical="center" wrapText="1"/>
    </xf>
    <xf numFmtId="44" fontId="4" fillId="7" borderId="18" xfId="223" applyNumberFormat="1" applyFont="1" applyFill="1" applyBorder="1" applyAlignment="1" applyProtection="1">
      <alignment vertical="center" wrapText="1"/>
    </xf>
    <xf numFmtId="0" fontId="4" fillId="7" borderId="18" xfId="0" applyNumberFormat="1" applyFont="1" applyFill="1" applyBorder="1" applyAlignment="1" applyProtection="1">
      <alignment horizontal="center" vertical="center" wrapText="1"/>
    </xf>
    <xf numFmtId="1" fontId="4" fillId="7" borderId="18" xfId="0" applyNumberFormat="1" applyFont="1" applyFill="1" applyBorder="1" applyAlignment="1" applyProtection="1">
      <alignment horizontal="center" vertical="center" wrapText="1"/>
    </xf>
    <xf numFmtId="1" fontId="4" fillId="7" borderId="6" xfId="0" applyNumberFormat="1" applyFont="1" applyFill="1" applyBorder="1" applyAlignment="1" applyProtection="1">
      <alignment horizontal="center" vertical="center" wrapText="1"/>
    </xf>
    <xf numFmtId="1" fontId="4" fillId="7" borderId="5" xfId="223" applyNumberFormat="1" applyFont="1" applyFill="1" applyBorder="1" applyAlignment="1" applyProtection="1">
      <alignment horizontal="center" vertical="center" wrapText="1"/>
    </xf>
    <xf numFmtId="0" fontId="4" fillId="7" borderId="8" xfId="0" applyNumberFormat="1" applyFont="1" applyFill="1" applyBorder="1" applyAlignment="1" applyProtection="1">
      <alignment horizontal="center" vertical="center" wrapText="1"/>
    </xf>
    <xf numFmtId="0" fontId="4" fillId="7" borderId="8" xfId="223" applyNumberFormat="1" applyFont="1" applyFill="1" applyBorder="1" applyAlignment="1" applyProtection="1">
      <alignment horizontal="center" vertical="center" wrapText="1"/>
    </xf>
    <xf numFmtId="1" fontId="4" fillId="7" borderId="8" xfId="223" applyNumberFormat="1" applyFont="1" applyFill="1" applyBorder="1" applyAlignment="1" applyProtection="1">
      <alignment horizontal="center" vertical="center" wrapText="1"/>
    </xf>
    <xf numFmtId="1" fontId="4" fillId="7" borderId="8" xfId="0" applyNumberFormat="1" applyFont="1" applyFill="1" applyBorder="1" applyAlignment="1" applyProtection="1">
      <alignment horizontal="center" vertical="center" wrapText="1"/>
    </xf>
    <xf numFmtId="1" fontId="4" fillId="7" borderId="19" xfId="0" applyNumberFormat="1" applyFont="1" applyFill="1" applyBorder="1" applyAlignment="1" applyProtection="1">
      <alignment horizontal="center" vertical="center" wrapText="1"/>
    </xf>
    <xf numFmtId="0" fontId="4" fillId="7" borderId="10" xfId="0" applyNumberFormat="1" applyFont="1" applyFill="1" applyBorder="1" applyAlignment="1" applyProtection="1">
      <alignment horizontal="center" vertical="center" wrapText="1"/>
    </xf>
    <xf numFmtId="44" fontId="4" fillId="7" borderId="18" xfId="0" applyNumberFormat="1" applyFont="1" applyFill="1" applyBorder="1" applyAlignment="1" applyProtection="1">
      <alignment horizontal="center" vertical="center" wrapText="1"/>
    </xf>
    <xf numFmtId="2" fontId="4" fillId="7" borderId="10" xfId="0" applyNumberFormat="1" applyFont="1" applyFill="1" applyBorder="1" applyAlignment="1" applyProtection="1">
      <alignment horizontal="center" vertical="center" wrapText="1"/>
    </xf>
    <xf numFmtId="0" fontId="25" fillId="7" borderId="10" xfId="0" applyNumberFormat="1" applyFont="1" applyFill="1" applyBorder="1" applyAlignment="1" applyProtection="1">
      <alignment horizontal="center" vertical="center" wrapText="1"/>
    </xf>
    <xf numFmtId="44" fontId="4" fillId="7" borderId="10" xfId="315" applyFont="1" applyFill="1" applyBorder="1" applyAlignment="1" applyProtection="1">
      <alignment horizontal="center" vertical="center" wrapText="1"/>
    </xf>
    <xf numFmtId="44" fontId="4" fillId="7" borderId="10" xfId="0" applyNumberFormat="1" applyFont="1" applyFill="1" applyBorder="1" applyAlignment="1" applyProtection="1">
      <alignment horizontal="center" vertical="center" wrapText="1"/>
    </xf>
    <xf numFmtId="44" fontId="4" fillId="7" borderId="19" xfId="0" applyNumberFormat="1" applyFont="1" applyFill="1" applyBorder="1" applyAlignment="1" applyProtection="1">
      <alignment horizontal="center" vertical="center" wrapText="1"/>
    </xf>
    <xf numFmtId="43" fontId="4" fillId="7" borderId="6" xfId="317" applyFont="1" applyFill="1" applyBorder="1" applyAlignment="1" applyProtection="1">
      <alignment horizontal="center" vertical="center" wrapText="1"/>
    </xf>
    <xf numFmtId="0" fontId="4" fillId="7" borderId="18" xfId="0" applyNumberFormat="1" applyFont="1" applyFill="1" applyBorder="1" applyAlignment="1" applyProtection="1">
      <alignment horizontal="center" vertical="center" wrapText="1"/>
    </xf>
    <xf numFmtId="10" fontId="4" fillId="7" borderId="19" xfId="240" applyNumberFormat="1" applyFont="1" applyFill="1" applyBorder="1" applyAlignment="1" applyProtection="1">
      <alignment vertical="center" wrapText="1"/>
    </xf>
    <xf numFmtId="10" fontId="4" fillId="7" borderId="19" xfId="240" applyNumberFormat="1" applyFont="1" applyFill="1" applyBorder="1" applyAlignment="1" applyProtection="1">
      <alignment horizontal="center" vertical="center" wrapText="1"/>
    </xf>
    <xf numFmtId="188" fontId="4" fillId="7" borderId="19" xfId="317" applyNumberFormat="1" applyFont="1" applyFill="1" applyBorder="1" applyAlignment="1" applyProtection="1">
      <alignment horizontal="center" vertical="center" wrapText="1"/>
    </xf>
    <xf numFmtId="0" fontId="35" fillId="7" borderId="5" xfId="0" applyFont="1" applyFill="1" applyBorder="1" applyAlignment="1">
      <alignment horizontal="center" vertical="center" wrapText="1"/>
    </xf>
    <xf numFmtId="188" fontId="4" fillId="7" borderId="18" xfId="317" applyNumberFormat="1" applyFont="1" applyFill="1" applyBorder="1" applyAlignment="1" applyProtection="1">
      <alignment vertical="center" wrapText="1"/>
    </xf>
    <xf numFmtId="44" fontId="4" fillId="7" borderId="18" xfId="240" applyNumberFormat="1" applyFont="1" applyFill="1" applyBorder="1" applyAlignment="1" applyProtection="1">
      <alignment vertical="center" wrapText="1"/>
    </xf>
    <xf numFmtId="10" fontId="4" fillId="7" borderId="18" xfId="240" applyNumberFormat="1" applyFont="1" applyFill="1" applyBorder="1" applyAlignment="1" applyProtection="1">
      <alignment vertical="center" wrapText="1"/>
    </xf>
    <xf numFmtId="10" fontId="4" fillId="7" borderId="10" xfId="240" applyNumberFormat="1" applyFont="1" applyFill="1" applyBorder="1" applyAlignment="1" applyProtection="1">
      <alignment vertical="center" wrapText="1"/>
    </xf>
    <xf numFmtId="188" fontId="4" fillId="7" borderId="10" xfId="240" applyNumberFormat="1" applyFont="1" applyFill="1" applyBorder="1" applyAlignment="1" applyProtection="1">
      <alignment vertical="center" wrapText="1"/>
    </xf>
    <xf numFmtId="10" fontId="4" fillId="7" borderId="6" xfId="240" applyNumberFormat="1" applyFont="1" applyFill="1" applyBorder="1" applyAlignment="1" applyProtection="1">
      <alignment vertical="center" wrapText="1"/>
    </xf>
    <xf numFmtId="9" fontId="35" fillId="7" borderId="18" xfId="240" applyFont="1" applyFill="1" applyBorder="1" applyAlignment="1">
      <alignment horizontal="center" vertical="center" wrapText="1"/>
    </xf>
    <xf numFmtId="0" fontId="35" fillId="7" borderId="6" xfId="0" applyFont="1" applyFill="1" applyBorder="1" applyAlignment="1">
      <alignment horizontal="center" vertical="center" wrapText="1"/>
    </xf>
    <xf numFmtId="1" fontId="35" fillId="7" borderId="6" xfId="0" applyNumberFormat="1" applyFont="1" applyFill="1" applyBorder="1" applyAlignment="1">
      <alignment horizontal="center" vertical="center" wrapText="1"/>
    </xf>
    <xf numFmtId="1" fontId="35" fillId="7" borderId="5" xfId="0" applyNumberFormat="1" applyFont="1" applyFill="1" applyBorder="1" applyAlignment="1">
      <alignment horizontal="center" vertical="center" wrapText="1"/>
    </xf>
    <xf numFmtId="44" fontId="4" fillId="7" borderId="18" xfId="165" applyFont="1" applyFill="1" applyBorder="1" applyAlignment="1" applyProtection="1">
      <alignment vertical="center" wrapText="1"/>
    </xf>
    <xf numFmtId="202" fontId="4" fillId="7" borderId="6" xfId="315" applyNumberFormat="1" applyFont="1" applyFill="1" applyBorder="1" applyAlignment="1" applyProtection="1">
      <alignment horizontal="center" vertical="center" wrapText="1"/>
    </xf>
    <xf numFmtId="9" fontId="4" fillId="7" borderId="6" xfId="240" applyFont="1" applyFill="1" applyBorder="1" applyAlignment="1">
      <alignment horizontal="center" vertical="center" wrapText="1"/>
    </xf>
    <xf numFmtId="0" fontId="25" fillId="7" borderId="6" xfId="0" applyNumberFormat="1" applyFont="1" applyFill="1" applyBorder="1" applyAlignment="1" applyProtection="1">
      <alignment vertical="center" wrapText="1"/>
    </xf>
    <xf numFmtId="2" fontId="4" fillId="7" borderId="8" xfId="0" applyNumberFormat="1" applyFont="1" applyFill="1" applyBorder="1" applyAlignment="1" applyProtection="1">
      <alignment horizontal="center" vertical="center" wrapText="1"/>
    </xf>
    <xf numFmtId="10" fontId="4" fillId="7" borderId="8" xfId="314" applyNumberFormat="1" applyFont="1" applyFill="1" applyBorder="1" applyAlignment="1" applyProtection="1">
      <alignment horizontal="center" vertical="center" wrapText="1"/>
    </xf>
    <xf numFmtId="187" fontId="4" fillId="7" borderId="19" xfId="0" applyNumberFormat="1" applyFont="1" applyFill="1" applyBorder="1" applyAlignment="1" applyProtection="1">
      <alignment horizontal="center" vertical="center" wrapText="1"/>
    </xf>
    <xf numFmtId="44" fontId="4" fillId="7" borderId="8" xfId="0" applyNumberFormat="1" applyFont="1" applyFill="1" applyBorder="1" applyAlignment="1" applyProtection="1">
      <alignment horizontal="center" vertical="center" wrapText="1"/>
    </xf>
    <xf numFmtId="9" fontId="4" fillId="7" borderId="8" xfId="0" applyNumberFormat="1" applyFont="1" applyFill="1" applyBorder="1" applyAlignment="1" applyProtection="1">
      <alignment horizontal="center" vertical="center" wrapText="1"/>
    </xf>
    <xf numFmtId="9" fontId="4" fillId="7" borderId="8" xfId="314" applyFont="1" applyFill="1" applyBorder="1" applyAlignment="1" applyProtection="1">
      <alignment horizontal="center" vertical="center" wrapText="1"/>
    </xf>
    <xf numFmtId="44" fontId="4" fillId="7" borderId="5" xfId="223" applyNumberFormat="1" applyFont="1" applyFill="1" applyBorder="1" applyAlignment="1" applyProtection="1">
      <alignment horizontal="center" vertical="center" wrapText="1"/>
    </xf>
    <xf numFmtId="43" fontId="4" fillId="7" borderId="18" xfId="141" applyFont="1" applyFill="1" applyBorder="1" applyAlignment="1" applyProtection="1">
      <alignment vertical="center" wrapText="1"/>
    </xf>
    <xf numFmtId="1" fontId="35" fillId="7" borderId="5" xfId="240" applyNumberFormat="1" applyFont="1" applyFill="1" applyBorder="1" applyAlignment="1">
      <alignment horizontal="center" vertical="center" wrapText="1"/>
    </xf>
    <xf numFmtId="9" fontId="35" fillId="7" borderId="5" xfId="314" applyFont="1" applyFill="1" applyBorder="1" applyAlignment="1">
      <alignment horizontal="center" vertical="center" wrapText="1"/>
    </xf>
    <xf numFmtId="43" fontId="4" fillId="7" borderId="18" xfId="223" applyNumberFormat="1" applyFont="1" applyFill="1" applyBorder="1" applyAlignment="1" applyProtection="1">
      <alignment vertical="center" wrapText="1"/>
    </xf>
    <xf numFmtId="0" fontId="35" fillId="7" borderId="19" xfId="0" applyFont="1" applyFill="1" applyBorder="1" applyAlignment="1">
      <alignment vertical="center" wrapText="1"/>
    </xf>
    <xf numFmtId="0" fontId="35" fillId="7" borderId="10" xfId="0" applyFont="1" applyFill="1" applyBorder="1" applyAlignment="1">
      <alignment vertical="center" wrapText="1"/>
    </xf>
    <xf numFmtId="0" fontId="35" fillId="7" borderId="10" xfId="0" applyFont="1" applyFill="1" applyBorder="1" applyAlignment="1">
      <alignment horizontal="center" vertical="center" wrapText="1"/>
    </xf>
    <xf numFmtId="0" fontId="4" fillId="7" borderId="10" xfId="0" applyNumberFormat="1" applyFont="1" applyFill="1" applyBorder="1" applyAlignment="1" applyProtection="1">
      <alignment vertical="center"/>
    </xf>
    <xf numFmtId="0" fontId="35" fillId="7" borderId="6" xfId="0" applyFont="1" applyFill="1" applyBorder="1" applyAlignment="1">
      <alignment vertical="center" wrapText="1"/>
    </xf>
    <xf numFmtId="0" fontId="4" fillId="7" borderId="6" xfId="0" applyNumberFormat="1" applyFont="1" applyFill="1" applyBorder="1" applyAlignment="1" applyProtection="1">
      <alignment vertical="center"/>
    </xf>
    <xf numFmtId="43" fontId="35" fillId="7" borderId="10" xfId="317" applyFont="1" applyFill="1" applyBorder="1" applyAlignment="1">
      <alignment horizontal="center" vertical="center" wrapText="1"/>
    </xf>
    <xf numFmtId="9" fontId="35" fillId="7" borderId="19" xfId="314" applyFont="1" applyFill="1" applyBorder="1" applyAlignment="1">
      <alignment horizontal="center" vertical="center" wrapText="1"/>
    </xf>
    <xf numFmtId="0" fontId="35" fillId="7" borderId="11" xfId="0" applyFont="1" applyFill="1" applyBorder="1" applyAlignment="1">
      <alignment vertical="center" wrapText="1"/>
    </xf>
    <xf numFmtId="0" fontId="35" fillId="7" borderId="7" xfId="0" applyFont="1" applyFill="1" applyBorder="1" applyAlignment="1">
      <alignment vertical="center" wrapText="1"/>
    </xf>
    <xf numFmtId="191" fontId="35" fillId="7" borderId="10" xfId="314" applyNumberFormat="1" applyFont="1" applyFill="1" applyBorder="1" applyAlignment="1">
      <alignment horizontal="center" vertical="center" wrapText="1"/>
    </xf>
    <xf numFmtId="0" fontId="35" fillId="7" borderId="19" xfId="0" applyFont="1" applyFill="1" applyBorder="1" applyAlignment="1">
      <alignment horizontal="center" vertical="center" wrapText="1"/>
    </xf>
    <xf numFmtId="0" fontId="35" fillId="7" borderId="20" xfId="0" applyFont="1" applyFill="1" applyBorder="1" applyAlignment="1">
      <alignment horizontal="center" vertical="center" wrapText="1"/>
    </xf>
    <xf numFmtId="9" fontId="4" fillId="7" borderId="18" xfId="314" applyFont="1" applyFill="1" applyBorder="1" applyAlignment="1" applyProtection="1">
      <alignment horizontal="center" vertical="center"/>
    </xf>
    <xf numFmtId="0" fontId="4" fillId="7" borderId="20" xfId="223" applyNumberFormat="1" applyFont="1" applyFill="1" applyBorder="1" applyAlignment="1" applyProtection="1">
      <alignment vertical="center" wrapText="1"/>
    </xf>
    <xf numFmtId="9" fontId="4" fillId="7" borderId="20" xfId="314" applyFont="1" applyFill="1" applyBorder="1" applyAlignment="1" applyProtection="1">
      <alignment horizontal="center" vertical="center" wrapText="1"/>
    </xf>
    <xf numFmtId="0" fontId="4" fillId="7" borderId="11" xfId="223" applyNumberFormat="1" applyFont="1" applyFill="1" applyBorder="1" applyAlignment="1" applyProtection="1">
      <alignment vertical="center" wrapText="1"/>
    </xf>
    <xf numFmtId="2" fontId="35" fillId="7" borderId="19" xfId="0" applyNumberFormat="1" applyFont="1" applyFill="1" applyBorder="1" applyAlignment="1">
      <alignment horizontal="center" vertical="center" wrapText="1"/>
    </xf>
    <xf numFmtId="44" fontId="35" fillId="7" borderId="19" xfId="315" applyFont="1" applyFill="1" applyBorder="1" applyAlignment="1">
      <alignment vertical="center" wrapText="1"/>
    </xf>
    <xf numFmtId="44" fontId="35" fillId="7" borderId="19" xfId="0" applyNumberFormat="1" applyFont="1" applyFill="1" applyBorder="1" applyAlignment="1">
      <alignment vertical="center" wrapText="1"/>
    </xf>
    <xf numFmtId="10" fontId="35" fillId="7" borderId="10" xfId="314" applyNumberFormat="1" applyFont="1" applyFill="1" applyBorder="1" applyAlignment="1">
      <alignment horizontal="center" vertical="center" wrapText="1"/>
    </xf>
    <xf numFmtId="1" fontId="35" fillId="7" borderId="19" xfId="0" applyNumberFormat="1" applyFont="1" applyFill="1" applyBorder="1" applyAlignment="1">
      <alignment horizontal="center" vertical="center" wrapText="1"/>
    </xf>
    <xf numFmtId="0" fontId="32" fillId="7" borderId="10" xfId="0" applyFont="1" applyFill="1" applyBorder="1" applyAlignment="1">
      <alignment vertical="center" wrapText="1"/>
    </xf>
    <xf numFmtId="9" fontId="35" fillId="7" borderId="19" xfId="0" applyNumberFormat="1" applyFont="1" applyFill="1" applyBorder="1" applyAlignment="1">
      <alignment horizontal="center" vertical="center" wrapText="1"/>
    </xf>
    <xf numFmtId="196" fontId="35" fillId="7" borderId="10" xfId="0" applyNumberFormat="1" applyFont="1" applyFill="1" applyBorder="1" applyAlignment="1">
      <alignment horizontal="center" vertical="center" wrapText="1"/>
    </xf>
    <xf numFmtId="196" fontId="35" fillId="7" borderId="6" xfId="0" applyNumberFormat="1" applyFont="1" applyFill="1" applyBorder="1" applyAlignment="1">
      <alignment horizontal="center" vertical="center" wrapText="1"/>
    </xf>
    <xf numFmtId="0" fontId="35" fillId="7" borderId="18" xfId="0" applyFont="1" applyFill="1" applyBorder="1" applyAlignment="1">
      <alignment vertical="center" wrapText="1"/>
    </xf>
    <xf numFmtId="0" fontId="35" fillId="7" borderId="18" xfId="0" applyFont="1" applyFill="1" applyBorder="1" applyAlignment="1">
      <alignment horizontal="center" vertical="center" wrapText="1"/>
    </xf>
    <xf numFmtId="44" fontId="35" fillId="7" borderId="18" xfId="315" applyFont="1" applyFill="1" applyBorder="1" applyAlignment="1">
      <alignment vertical="center" wrapText="1"/>
    </xf>
    <xf numFmtId="2" fontId="4" fillId="8" borderId="21" xfId="223" applyNumberFormat="1" applyFont="1" applyFill="1" applyBorder="1" applyAlignment="1" applyProtection="1">
      <alignment horizontal="center" vertical="center" wrapText="1"/>
    </xf>
    <xf numFmtId="0" fontId="4" fillId="8" borderId="20" xfId="223" applyNumberFormat="1" applyFont="1" applyFill="1" applyBorder="1" applyAlignment="1" applyProtection="1">
      <alignment horizontal="center" vertical="center" wrapText="1"/>
    </xf>
    <xf numFmtId="0" fontId="4" fillId="8" borderId="21" xfId="223" applyNumberFormat="1" applyFont="1" applyFill="1" applyBorder="1" applyAlignment="1" applyProtection="1">
      <alignment horizontal="center" vertical="center" wrapText="1"/>
    </xf>
    <xf numFmtId="44" fontId="4" fillId="8" borderId="19" xfId="223" applyNumberFormat="1" applyFont="1" applyFill="1" applyBorder="1" applyAlignment="1" applyProtection="1">
      <alignment vertical="center" wrapText="1"/>
    </xf>
    <xf numFmtId="193" fontId="4" fillId="8" borderId="10" xfId="223" applyNumberFormat="1" applyFont="1" applyFill="1" applyBorder="1" applyAlignment="1" applyProtection="1">
      <alignment horizontal="center" vertical="center" wrapText="1"/>
    </xf>
    <xf numFmtId="2" fontId="4" fillId="8" borderId="10" xfId="223" applyNumberFormat="1" applyFont="1" applyFill="1" applyBorder="1" applyAlignment="1" applyProtection="1">
      <alignment horizontal="center" vertical="center" wrapText="1"/>
    </xf>
    <xf numFmtId="2" fontId="4" fillId="8" borderId="6" xfId="223" applyNumberFormat="1" applyFont="1" applyFill="1" applyBorder="1" applyAlignment="1" applyProtection="1">
      <alignment horizontal="center" vertical="center" wrapText="1"/>
    </xf>
    <xf numFmtId="196" fontId="4" fillId="8" borderId="21" xfId="223" applyNumberFormat="1" applyFont="1" applyFill="1" applyBorder="1" applyAlignment="1" applyProtection="1">
      <alignment horizontal="center" vertical="center" wrapText="1"/>
    </xf>
    <xf numFmtId="10" fontId="4" fillId="8" borderId="6" xfId="314" applyNumberFormat="1" applyFont="1" applyFill="1" applyBorder="1" applyAlignment="1" applyProtection="1">
      <alignment horizontal="center" vertical="center" wrapText="1"/>
    </xf>
    <xf numFmtId="10" fontId="4" fillId="8" borderId="19" xfId="314" applyNumberFormat="1" applyFont="1" applyFill="1" applyBorder="1" applyAlignment="1" applyProtection="1">
      <alignment horizontal="center" vertical="center" wrapText="1"/>
    </xf>
    <xf numFmtId="43" fontId="4" fillId="8" borderId="18" xfId="317" applyFont="1" applyFill="1" applyBorder="1" applyAlignment="1" applyProtection="1">
      <alignment horizontal="center" vertical="center" wrapText="1"/>
    </xf>
    <xf numFmtId="0" fontId="4" fillId="8" borderId="18" xfId="223" applyNumberFormat="1" applyFont="1" applyFill="1" applyBorder="1" applyAlignment="1" applyProtection="1">
      <alignment horizontal="center" vertical="center" wrapText="1"/>
    </xf>
    <xf numFmtId="193" fontId="4" fillId="8" borderId="6" xfId="223" applyNumberFormat="1" applyFont="1" applyFill="1" applyBorder="1" applyAlignment="1" applyProtection="1">
      <alignment horizontal="center" vertical="center" wrapText="1"/>
    </xf>
    <xf numFmtId="1" fontId="4" fillId="8" borderId="19" xfId="223" applyNumberFormat="1" applyFont="1" applyFill="1" applyBorder="1" applyAlignment="1" applyProtection="1">
      <alignment horizontal="center" vertical="center" wrapText="1"/>
    </xf>
    <xf numFmtId="9" fontId="4" fillId="8" borderId="19" xfId="223" applyNumberFormat="1" applyFont="1" applyFill="1" applyBorder="1" applyAlignment="1" applyProtection="1">
      <alignment horizontal="center" vertical="center" wrapText="1"/>
    </xf>
    <xf numFmtId="1" fontId="4" fillId="8" borderId="21" xfId="223" applyNumberFormat="1" applyFont="1" applyFill="1" applyBorder="1" applyAlignment="1" applyProtection="1">
      <alignment horizontal="center" vertical="center" wrapText="1"/>
    </xf>
    <xf numFmtId="0" fontId="4" fillId="17" borderId="10" xfId="223" applyNumberFormat="1" applyFont="1" applyFill="1" applyBorder="1" applyAlignment="1" applyProtection="1">
      <alignment vertical="center" wrapText="1"/>
    </xf>
    <xf numFmtId="0" fontId="4" fillId="17" borderId="10" xfId="223" applyNumberFormat="1" applyFont="1" applyFill="1" applyBorder="1" applyAlignment="1" applyProtection="1">
      <alignment horizontal="center" vertical="center" wrapText="1"/>
    </xf>
    <xf numFmtId="0" fontId="4" fillId="17" borderId="19" xfId="223" applyNumberFormat="1" applyFont="1" applyFill="1" applyBorder="1" applyAlignment="1" applyProtection="1">
      <alignment vertical="center" wrapText="1"/>
    </xf>
    <xf numFmtId="43" fontId="4" fillId="17" borderId="10" xfId="317" applyFont="1" applyFill="1" applyBorder="1" applyAlignment="1" applyProtection="1">
      <alignment vertical="center" wrapText="1"/>
    </xf>
    <xf numFmtId="43" fontId="4" fillId="17" borderId="18" xfId="317" applyFont="1" applyFill="1" applyBorder="1" applyAlignment="1" applyProtection="1">
      <alignment horizontal="center" vertical="center" wrapText="1"/>
    </xf>
    <xf numFmtId="0" fontId="4" fillId="17" borderId="10" xfId="223" applyNumberFormat="1" applyFont="1" applyFill="1" applyBorder="1" applyAlignment="1" applyProtection="1">
      <alignment vertical="center" textRotation="255" wrapText="1"/>
    </xf>
    <xf numFmtId="10" fontId="4" fillId="17" borderId="10" xfId="314" applyNumberFormat="1" applyFont="1" applyFill="1" applyBorder="1" applyAlignment="1" applyProtection="1">
      <alignment vertical="center" wrapText="1"/>
    </xf>
    <xf numFmtId="0" fontId="4" fillId="17" borderId="18" xfId="223" applyNumberFormat="1" applyFont="1" applyFill="1" applyBorder="1" applyAlignment="1" applyProtection="1">
      <alignment vertical="center" wrapText="1"/>
    </xf>
    <xf numFmtId="0" fontId="4" fillId="17" borderId="18" xfId="223" applyNumberFormat="1" applyFont="1" applyFill="1" applyBorder="1" applyAlignment="1" applyProtection="1">
      <alignment horizontal="center" vertical="center" wrapText="1"/>
    </xf>
    <xf numFmtId="9" fontId="4" fillId="17" borderId="18" xfId="314" applyFont="1" applyFill="1" applyBorder="1" applyAlignment="1" applyProtection="1">
      <alignment horizontal="center" vertical="center" wrapText="1"/>
    </xf>
    <xf numFmtId="43" fontId="4" fillId="17" borderId="10" xfId="317" applyFont="1" applyFill="1" applyBorder="1" applyAlignment="1" applyProtection="1">
      <alignment horizontal="center" vertical="center" wrapText="1"/>
    </xf>
    <xf numFmtId="9" fontId="4" fillId="17" borderId="10" xfId="314" applyFont="1" applyFill="1" applyBorder="1" applyAlignment="1" applyProtection="1">
      <alignment horizontal="center" vertical="center" wrapText="1"/>
    </xf>
    <xf numFmtId="0" fontId="4" fillId="17" borderId="6" xfId="223" applyNumberFormat="1" applyFont="1" applyFill="1" applyBorder="1" applyAlignment="1" applyProtection="1">
      <alignment vertical="center" wrapText="1"/>
    </xf>
    <xf numFmtId="0" fontId="4" fillId="17" borderId="6" xfId="223" applyNumberFormat="1" applyFont="1" applyFill="1" applyBorder="1" applyAlignment="1" applyProtection="1">
      <alignment vertical="center" textRotation="255" wrapText="1"/>
    </xf>
    <xf numFmtId="0" fontId="4" fillId="17" borderId="6" xfId="223" applyNumberFormat="1" applyFont="1" applyFill="1" applyBorder="1" applyAlignment="1" applyProtection="1">
      <alignment horizontal="center" vertical="center" wrapText="1"/>
    </xf>
    <xf numFmtId="10" fontId="4" fillId="17" borderId="10" xfId="314" applyNumberFormat="1" applyFont="1" applyFill="1" applyBorder="1" applyAlignment="1" applyProtection="1">
      <alignment horizontal="center" vertical="center" wrapText="1"/>
    </xf>
    <xf numFmtId="10" fontId="4" fillId="17" borderId="18" xfId="314" applyNumberFormat="1" applyFont="1" applyFill="1" applyBorder="1" applyAlignment="1" applyProtection="1">
      <alignment horizontal="justify" vertical="center" wrapText="1"/>
    </xf>
    <xf numFmtId="2" fontId="4" fillId="17" borderId="18" xfId="223" applyNumberFormat="1" applyFont="1" applyFill="1" applyBorder="1" applyAlignment="1" applyProtection="1">
      <alignment horizontal="center" vertical="center" wrapText="1"/>
    </xf>
    <xf numFmtId="0" fontId="4" fillId="17" borderId="18" xfId="223" applyNumberFormat="1" applyFont="1" applyFill="1" applyBorder="1" applyAlignment="1" applyProtection="1">
      <alignment vertical="center" textRotation="255" wrapText="1"/>
    </xf>
    <xf numFmtId="44" fontId="4" fillId="17" borderId="18" xfId="315" applyFont="1" applyFill="1" applyBorder="1" applyAlignment="1" applyProtection="1">
      <alignment vertical="center" wrapText="1"/>
    </xf>
    <xf numFmtId="44" fontId="4" fillId="17" borderId="18" xfId="223" applyNumberFormat="1" applyFont="1" applyFill="1" applyBorder="1" applyAlignment="1" applyProtection="1">
      <alignment vertical="center" wrapText="1"/>
    </xf>
    <xf numFmtId="9" fontId="4" fillId="17" borderId="18" xfId="223" applyNumberFormat="1" applyFont="1" applyFill="1" applyBorder="1" applyAlignment="1" applyProtection="1">
      <alignment horizontal="center" vertical="center" wrapText="1"/>
    </xf>
    <xf numFmtId="9" fontId="4" fillId="17" borderId="10" xfId="223" applyNumberFormat="1" applyFont="1" applyFill="1" applyBorder="1" applyAlignment="1" applyProtection="1">
      <alignment horizontal="center" vertical="center" wrapText="1"/>
    </xf>
    <xf numFmtId="9" fontId="4" fillId="17" borderId="6" xfId="314" applyFont="1" applyFill="1" applyBorder="1" applyAlignment="1" applyProtection="1">
      <alignment horizontal="center" vertical="center" wrapText="1"/>
    </xf>
    <xf numFmtId="44" fontId="4" fillId="17" borderId="6" xfId="315" applyFont="1" applyFill="1" applyBorder="1" applyAlignment="1" applyProtection="1">
      <alignment vertical="center" wrapText="1"/>
    </xf>
    <xf numFmtId="44" fontId="4" fillId="17" borderId="6" xfId="223" applyNumberFormat="1" applyFont="1" applyFill="1" applyBorder="1" applyAlignment="1" applyProtection="1">
      <alignment vertical="center" wrapText="1"/>
    </xf>
    <xf numFmtId="10" fontId="4" fillId="17" borderId="10" xfId="314" applyNumberFormat="1" applyFont="1" applyFill="1" applyBorder="1" applyAlignment="1" applyProtection="1">
      <alignment vertical="center" textRotation="255" wrapText="1"/>
    </xf>
    <xf numFmtId="1" fontId="4" fillId="17" borderId="18" xfId="223" applyNumberFormat="1" applyFont="1" applyFill="1" applyBorder="1" applyAlignment="1" applyProtection="1">
      <alignment horizontal="center" vertical="center" wrapText="1"/>
    </xf>
    <xf numFmtId="196" fontId="4" fillId="17" borderId="10" xfId="223" applyNumberFormat="1" applyFont="1" applyFill="1" applyBorder="1" applyAlignment="1" applyProtection="1">
      <alignment horizontal="center" vertical="center" wrapText="1"/>
    </xf>
    <xf numFmtId="196" fontId="4" fillId="17" borderId="6" xfId="223" applyNumberFormat="1" applyFont="1" applyFill="1" applyBorder="1" applyAlignment="1" applyProtection="1">
      <alignment horizontal="center" vertical="center" wrapText="1"/>
    </xf>
    <xf numFmtId="0" fontId="4" fillId="17" borderId="19" xfId="223" applyNumberFormat="1" applyFont="1" applyFill="1" applyBorder="1" applyAlignment="1" applyProtection="1">
      <alignment horizontal="center" vertical="center" wrapText="1"/>
    </xf>
  </cellXfs>
  <cellStyles count="318">
    <cellStyle name="????" xfId="1"/>
    <cellStyle name="?????" xfId="2"/>
    <cellStyle name="????????" xfId="3"/>
    <cellStyle name="?????????????" xfId="4"/>
    <cellStyle name="??????????_BOPENGC" xfId="5"/>
    <cellStyle name="?????????1" xfId="6"/>
    <cellStyle name="?????????2" xfId="7"/>
    <cellStyle name="????????_BOPENGC" xfId="8"/>
    <cellStyle name="???????_BOPENGC" xfId="9"/>
    <cellStyle name="_A_Base Compara" xfId="10"/>
    <cellStyle name="Cabecera 1" xfId="11"/>
    <cellStyle name="Cabecera 1 2" xfId="12"/>
    <cellStyle name="Cabecera 1 3" xfId="13"/>
    <cellStyle name="Cabecera 1_Historico" xfId="14"/>
    <cellStyle name="Cabecera 2" xfId="15"/>
    <cellStyle name="Cabecera 2 2" xfId="16"/>
    <cellStyle name="Cabecera 2 3" xfId="17"/>
    <cellStyle name="Cabecera 2_Historico" xfId="18"/>
    <cellStyle name="Categoría del Piloto de Datos" xfId="19"/>
    <cellStyle name="Comma" xfId="20"/>
    <cellStyle name="Comma [0]_PIB" xfId="21"/>
    <cellStyle name="Comma 2" xfId="22"/>
    <cellStyle name="Comma 3" xfId="23"/>
    <cellStyle name="Comma_2003 y 2004" xfId="24"/>
    <cellStyle name="Comma0" xfId="25"/>
    <cellStyle name="Comma0 2" xfId="26"/>
    <cellStyle name="Comma0 3" xfId="27"/>
    <cellStyle name="Comma0_Historico" xfId="28"/>
    <cellStyle name="Currency" xfId="29"/>
    <cellStyle name="Currency [0]_PIB" xfId="30"/>
    <cellStyle name="Currency 2" xfId="31"/>
    <cellStyle name="Currency 3" xfId="32"/>
    <cellStyle name="Currency_2003 y 2004" xfId="33"/>
    <cellStyle name="Currency0" xfId="34"/>
    <cellStyle name="Currency0 2" xfId="35"/>
    <cellStyle name="Currency0 3" xfId="36"/>
    <cellStyle name="Currency0_Historico" xfId="37"/>
    <cellStyle name="Date" xfId="38"/>
    <cellStyle name="Date 2" xfId="39"/>
    <cellStyle name="Date 3" xfId="40"/>
    <cellStyle name="Date_Historico" xfId="41"/>
    <cellStyle name="Default" xfId="42"/>
    <cellStyle name="Estilo 1" xfId="43"/>
    <cellStyle name="Euro" xfId="44"/>
    <cellStyle name="Euro 2" xfId="45"/>
    <cellStyle name="Euro 3" xfId="46"/>
    <cellStyle name="Euro_Historico" xfId="47"/>
    <cellStyle name="F2" xfId="48"/>
    <cellStyle name="F3" xfId="49"/>
    <cellStyle name="F4" xfId="50"/>
    <cellStyle name="F5" xfId="51"/>
    <cellStyle name="F6" xfId="52"/>
    <cellStyle name="F7" xfId="53"/>
    <cellStyle name="F8" xfId="54"/>
    <cellStyle name="Fecha" xfId="55"/>
    <cellStyle name="Fecha 2" xfId="56"/>
    <cellStyle name="Fecha 3" xfId="57"/>
    <cellStyle name="Fecha_Historico" xfId="58"/>
    <cellStyle name="Fecha4 - Modelo4" xfId="59"/>
    <cellStyle name="Fecha4 - Modelo4 2" xfId="60"/>
    <cellStyle name="Fijo" xfId="61"/>
    <cellStyle name="Fijo 2" xfId="62"/>
    <cellStyle name="Fijo 3" xfId="63"/>
    <cellStyle name="Fijo_Historico" xfId="64"/>
    <cellStyle name="Fixed" xfId="65"/>
    <cellStyle name="Fixed 2" xfId="66"/>
    <cellStyle name="Fixed 3" xfId="67"/>
    <cellStyle name="Fixed_Historico" xfId="68"/>
    <cellStyle name="Heading 1" xfId="69"/>
    <cellStyle name="Heading 1 2" xfId="70"/>
    <cellStyle name="Heading 1 3" xfId="71"/>
    <cellStyle name="Heading 1_Historico" xfId="72"/>
    <cellStyle name="Heading 2" xfId="73"/>
    <cellStyle name="Heading 2 2" xfId="74"/>
    <cellStyle name="Heading 2 3" xfId="75"/>
    <cellStyle name="Heading 2_Historico" xfId="76"/>
    <cellStyle name="Heading1" xfId="77"/>
    <cellStyle name="Heading1 2" xfId="78"/>
    <cellStyle name="Heading1 3" xfId="79"/>
    <cellStyle name="Heading1_Historico" xfId="80"/>
    <cellStyle name="Heading2" xfId="81"/>
    <cellStyle name="Heading2 2" xfId="82"/>
    <cellStyle name="Heading2 3" xfId="83"/>
    <cellStyle name="Heading2_Historico" xfId="84"/>
    <cellStyle name="Hipervínculo 2" xfId="85"/>
    <cellStyle name="Millares" xfId="317" builtinId="3"/>
    <cellStyle name="Millares [0] 10" xfId="86"/>
    <cellStyle name="Millares [0] 11" xfId="87"/>
    <cellStyle name="Millares [0] 12" xfId="88"/>
    <cellStyle name="Millares [0] 13" xfId="89"/>
    <cellStyle name="Millares [0] 14" xfId="90"/>
    <cellStyle name="Millares [0] 15" xfId="91"/>
    <cellStyle name="Millares [0] 16" xfId="92"/>
    <cellStyle name="Millares [0] 17" xfId="93"/>
    <cellStyle name="Millares [0] 18" xfId="94"/>
    <cellStyle name="Millares [0] 19" xfId="95"/>
    <cellStyle name="Millares [0] 2" xfId="96"/>
    <cellStyle name="Millares [0] 20" xfId="97"/>
    <cellStyle name="Millares [0] 21" xfId="98"/>
    <cellStyle name="Millares [0] 22" xfId="99"/>
    <cellStyle name="Millares [0] 23" xfId="100"/>
    <cellStyle name="Millares [0] 24" xfId="101"/>
    <cellStyle name="Millares [0] 25" xfId="102"/>
    <cellStyle name="Millares [0] 26" xfId="103"/>
    <cellStyle name="Millares [0] 27" xfId="104"/>
    <cellStyle name="Millares [0] 28" xfId="105"/>
    <cellStyle name="Millares [0] 29" xfId="106"/>
    <cellStyle name="Millares [0] 3" xfId="107"/>
    <cellStyle name="Millares [0] 30" xfId="108"/>
    <cellStyle name="Millares [0] 31" xfId="109"/>
    <cellStyle name="Millares [0] 4" xfId="110"/>
    <cellStyle name="Millares [0] 5" xfId="111"/>
    <cellStyle name="Millares [0] 6" xfId="112"/>
    <cellStyle name="Millares [0] 7" xfId="113"/>
    <cellStyle name="Millares [0] 8" xfId="114"/>
    <cellStyle name="Millares [0] 9" xfId="115"/>
    <cellStyle name="Millares 10" xfId="116"/>
    <cellStyle name="Millares 11" xfId="117"/>
    <cellStyle name="Millares 12" xfId="118"/>
    <cellStyle name="Millares 13" xfId="119"/>
    <cellStyle name="Millares 14" xfId="120"/>
    <cellStyle name="Millares 15" xfId="121"/>
    <cellStyle name="Millares 16" xfId="122"/>
    <cellStyle name="Millares 17" xfId="123"/>
    <cellStyle name="Millares 18" xfId="124"/>
    <cellStyle name="Millares 19" xfId="125"/>
    <cellStyle name="Millares 2" xfId="126"/>
    <cellStyle name="Millares 2 2" xfId="127"/>
    <cellStyle name="Millares 2 3" xfId="128"/>
    <cellStyle name="Millares 2 4" xfId="129"/>
    <cellStyle name="Millares 2_PG monica" xfId="130"/>
    <cellStyle name="Millares 20" xfId="131"/>
    <cellStyle name="Millares 21" xfId="132"/>
    <cellStyle name="Millares 22" xfId="133"/>
    <cellStyle name="Millares 23" xfId="134"/>
    <cellStyle name="Millares 24" xfId="135"/>
    <cellStyle name="Millares 25" xfId="136"/>
    <cellStyle name="Millares 26" xfId="137"/>
    <cellStyle name="Millares 27" xfId="138"/>
    <cellStyle name="Millares 28" xfId="139"/>
    <cellStyle name="Millares 29" xfId="140"/>
    <cellStyle name="Millares 3" xfId="141"/>
    <cellStyle name="Millares 30" xfId="142"/>
    <cellStyle name="Millares 31" xfId="143"/>
    <cellStyle name="Millares 32" xfId="144"/>
    <cellStyle name="Millares 33" xfId="145"/>
    <cellStyle name="Millares 4" xfId="146"/>
    <cellStyle name="Millares 4 2" xfId="147"/>
    <cellStyle name="Millares 5" xfId="148"/>
    <cellStyle name="Millares 6" xfId="149"/>
    <cellStyle name="Millares 7" xfId="150"/>
    <cellStyle name="Millares 8" xfId="151"/>
    <cellStyle name="Millares 9" xfId="152"/>
    <cellStyle name="Moneda" xfId="315" builtinId="4"/>
    <cellStyle name="Moneda 10" xfId="153"/>
    <cellStyle name="Moneda 11" xfId="154"/>
    <cellStyle name="Moneda 12" xfId="155"/>
    <cellStyle name="Moneda 13" xfId="156"/>
    <cellStyle name="Moneda 14" xfId="157"/>
    <cellStyle name="Moneda 15" xfId="158"/>
    <cellStyle name="Moneda 16" xfId="159"/>
    <cellStyle name="Moneda 16 2" xfId="160"/>
    <cellStyle name="Moneda 17" xfId="161"/>
    <cellStyle name="Moneda 18" xfId="162"/>
    <cellStyle name="Moneda 19" xfId="163"/>
    <cellStyle name="Moneda 19 2" xfId="164"/>
    <cellStyle name="Moneda 2" xfId="165"/>
    <cellStyle name="Moneda 2 2" xfId="166"/>
    <cellStyle name="Moneda 20" xfId="167"/>
    <cellStyle name="Moneda 3" xfId="168"/>
    <cellStyle name="Moneda 3 2" xfId="169"/>
    <cellStyle name="Moneda 4" xfId="170"/>
    <cellStyle name="Moneda 5" xfId="171"/>
    <cellStyle name="Moneda 6" xfId="172"/>
    <cellStyle name="Moneda 7" xfId="173"/>
    <cellStyle name="Moneda 8" xfId="174"/>
    <cellStyle name="Moneda 9" xfId="175"/>
    <cellStyle name="Moneta - Modelo2" xfId="176"/>
    <cellStyle name="Moneta - Modelo2 2" xfId="177"/>
    <cellStyle name="Moneta - Modelo5" xfId="178"/>
    <cellStyle name="Moneta - Modelo5 2" xfId="179"/>
    <cellStyle name="Monetario" xfId="180"/>
    <cellStyle name="Monetario 2" xfId="181"/>
    <cellStyle name="Monetario 3" xfId="182"/>
    <cellStyle name="Monetario_Historico" xfId="183"/>
    <cellStyle name="Monetario0" xfId="184"/>
    <cellStyle name="Monetario0 2" xfId="185"/>
    <cellStyle name="Monetario0 3" xfId="186"/>
    <cellStyle name="Monetario0_Historico" xfId="187"/>
    <cellStyle name="Normal" xfId="0" builtinId="0"/>
    <cellStyle name="Normal 10" xfId="188"/>
    <cellStyle name="Normal 11" xfId="189"/>
    <cellStyle name="Normal 12" xfId="190"/>
    <cellStyle name="Normal 13" xfId="191"/>
    <cellStyle name="Normal 14" xfId="192"/>
    <cellStyle name="Normal 15" xfId="193"/>
    <cellStyle name="Normal 16" xfId="194"/>
    <cellStyle name="Normal 17" xfId="195"/>
    <cellStyle name="Normal 18" xfId="196"/>
    <cellStyle name="Normal 19" xfId="197"/>
    <cellStyle name="Normal 2" xfId="198"/>
    <cellStyle name="Normal 2 2" xfId="199"/>
    <cellStyle name="Normal 2 3" xfId="200"/>
    <cellStyle name="Normal 2_POAI 2010" xfId="201"/>
    <cellStyle name="Normal 20" xfId="202"/>
    <cellStyle name="Normal 21" xfId="203"/>
    <cellStyle name="Normal 22" xfId="204"/>
    <cellStyle name="Normal 23" xfId="205"/>
    <cellStyle name="Normal 24" xfId="206"/>
    <cellStyle name="Normal 25" xfId="207"/>
    <cellStyle name="Normal 26" xfId="208"/>
    <cellStyle name="Normal 27" xfId="209"/>
    <cellStyle name="Normal 28" xfId="210"/>
    <cellStyle name="Normal 29" xfId="211"/>
    <cellStyle name="Normal 3" xfId="212"/>
    <cellStyle name="Normal 3 2" xfId="213"/>
    <cellStyle name="Normal 3 3" xfId="214"/>
    <cellStyle name="Normal 30" xfId="215"/>
    <cellStyle name="Normal 31" xfId="216"/>
    <cellStyle name="Normal 32" xfId="217"/>
    <cellStyle name="Normal 33" xfId="218"/>
    <cellStyle name="Normal 34" xfId="219"/>
    <cellStyle name="Normal 35" xfId="220"/>
    <cellStyle name="Normal 36" xfId="221"/>
    <cellStyle name="Normal 37" xfId="222"/>
    <cellStyle name="Normal 4" xfId="223"/>
    <cellStyle name="Normal 5" xfId="224"/>
    <cellStyle name="Normal 6" xfId="225"/>
    <cellStyle name="Normal 7" xfId="226"/>
    <cellStyle name="Normal 8" xfId="227"/>
    <cellStyle name="Normal 9" xfId="228"/>
    <cellStyle name="Percent" xfId="229"/>
    <cellStyle name="Percent 2" xfId="230"/>
    <cellStyle name="Percent 3" xfId="231"/>
    <cellStyle name="Percent_Historico" xfId="232"/>
    <cellStyle name="Piloto de Datos Ángulo" xfId="233"/>
    <cellStyle name="Piloto de Datos Campo" xfId="234"/>
    <cellStyle name="Piloto de Datos Resultado" xfId="235"/>
    <cellStyle name="Piloto de Datos Título" xfId="236"/>
    <cellStyle name="Piloto de Datos Valor" xfId="237"/>
    <cellStyle name="Porcen - Modelo3" xfId="238"/>
    <cellStyle name="Porcen - Modelo3 2" xfId="239"/>
    <cellStyle name="Porcentaje" xfId="314" builtinId="5"/>
    <cellStyle name="Porcentaje 2" xfId="240"/>
    <cellStyle name="Porcentaje 3" xfId="241"/>
    <cellStyle name="Porcentaje 3 2" xfId="316"/>
    <cellStyle name="Porcentaje 4" xfId="242"/>
    <cellStyle name="Porcentual 2" xfId="243"/>
    <cellStyle name="Porcentual 2 2" xfId="244"/>
    <cellStyle name="Porcentual 3" xfId="245"/>
    <cellStyle name="Porcentual 4" xfId="246"/>
    <cellStyle name="Punto" xfId="247"/>
    <cellStyle name="Punto 2" xfId="248"/>
    <cellStyle name="Punto 3" xfId="249"/>
    <cellStyle name="Punto_Historico" xfId="250"/>
    <cellStyle name="Punto0" xfId="251"/>
    <cellStyle name="Punto1 - Modelo1" xfId="252"/>
    <cellStyle name="Punto1 - Modelo1 2" xfId="253"/>
    <cellStyle name="Resumen" xfId="254"/>
    <cellStyle name="Resumen 2" xfId="255"/>
    <cellStyle name="Resumen 3" xfId="256"/>
    <cellStyle name="Resumen_Historico" xfId="257"/>
    <cellStyle name="S0" xfId="258"/>
    <cellStyle name="S0 2" xfId="259"/>
    <cellStyle name="S0 3" xfId="260"/>
    <cellStyle name="S1" xfId="261"/>
    <cellStyle name="S1 2" xfId="262"/>
    <cellStyle name="S1 3" xfId="263"/>
    <cellStyle name="S2" xfId="264"/>
    <cellStyle name="S2 2" xfId="265"/>
    <cellStyle name="S2 3" xfId="266"/>
    <cellStyle name="S3" xfId="267"/>
    <cellStyle name="S3 2" xfId="268"/>
    <cellStyle name="S3 3" xfId="269"/>
    <cellStyle name="S4" xfId="270"/>
    <cellStyle name="S4 2" xfId="271"/>
    <cellStyle name="S4 3" xfId="272"/>
    <cellStyle name="S5" xfId="273"/>
    <cellStyle name="S5 2" xfId="274"/>
    <cellStyle name="S5 3" xfId="275"/>
    <cellStyle name="S6" xfId="276"/>
    <cellStyle name="S7" xfId="277"/>
    <cellStyle name="S8" xfId="278"/>
    <cellStyle name="S9" xfId="279"/>
    <cellStyle name="Text" xfId="280"/>
    <cellStyle name="Text 2" xfId="281"/>
    <cellStyle name="Text 3" xfId="282"/>
    <cellStyle name="Text_Historico" xfId="283"/>
    <cellStyle name="Total 2" xfId="284"/>
    <cellStyle name="Total 3" xfId="285"/>
    <cellStyle name="ДАТА" xfId="286"/>
    <cellStyle name="ДАТА 2" xfId="287"/>
    <cellStyle name="ДАТА 3" xfId="288"/>
    <cellStyle name="ДАТА_Historico" xfId="289"/>
    <cellStyle name="ДЕНЕЖНЫЙ_BOPENGC" xfId="290"/>
    <cellStyle name="ЗАГОЛОВОК1" xfId="291"/>
    <cellStyle name="ЗАГОЛОВОК1 2" xfId="292"/>
    <cellStyle name="ЗАГОЛОВОК1 3" xfId="293"/>
    <cellStyle name="ЗАГОЛОВОК1_Historico" xfId="294"/>
    <cellStyle name="ЗАГОЛОВОК2" xfId="295"/>
    <cellStyle name="ЗАГОЛОВОК2 2" xfId="296"/>
    <cellStyle name="ЗАГОЛОВОК2 3" xfId="297"/>
    <cellStyle name="ЗАГОЛОВОК2_Historico" xfId="298"/>
    <cellStyle name="ИТОГОВЫЙ" xfId="299"/>
    <cellStyle name="ИТОГОВЫЙ 2" xfId="300"/>
    <cellStyle name="ИТОГОВЫЙ 3" xfId="301"/>
    <cellStyle name="ИТОГОВЫЙ_Historico" xfId="302"/>
    <cellStyle name="Обычный_BOPENGC" xfId="303"/>
    <cellStyle name="ПРОЦЕНТНЫЙ_BOPENGC" xfId="304"/>
    <cellStyle name="ТЕКСТ" xfId="305"/>
    <cellStyle name="ТЕКСТ 2" xfId="306"/>
    <cellStyle name="ТЕКСТ 3" xfId="307"/>
    <cellStyle name="ТЕКСТ_Historico" xfId="308"/>
    <cellStyle name="ФИКСИРОВАННЫЙ" xfId="309"/>
    <cellStyle name="ФИКСИРОВАННЫЙ 2" xfId="310"/>
    <cellStyle name="ФИКСИРОВАННЫЙ 3" xfId="311"/>
    <cellStyle name="ФИКСИРОВАННЫЙ_Historico" xfId="312"/>
    <cellStyle name="ФИНАНСОВЫЙ_BOPENGC" xfId="313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1556808</xdr:colOff>
      <xdr:row>522</xdr:row>
      <xdr:rowOff>0</xdr:rowOff>
    </xdr:from>
    <xdr:ext cx="184731" cy="264560"/>
    <xdr:sp macro="" textlink="">
      <xdr:nvSpPr>
        <xdr:cNvPr id="14" name="13 CuadroTexto"/>
        <xdr:cNvSpPr txBox="1"/>
      </xdr:nvSpPr>
      <xdr:spPr>
        <a:xfrm>
          <a:off x="11272308" y="249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29</xdr:col>
      <xdr:colOff>1556808</xdr:colOff>
      <xdr:row>522</xdr:row>
      <xdr:rowOff>0</xdr:rowOff>
    </xdr:from>
    <xdr:ext cx="184731" cy="264560"/>
    <xdr:sp macro="" textlink="">
      <xdr:nvSpPr>
        <xdr:cNvPr id="15" name="14 CuadroTexto"/>
        <xdr:cNvSpPr txBox="1"/>
      </xdr:nvSpPr>
      <xdr:spPr>
        <a:xfrm>
          <a:off x="11986683" y="249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29</xdr:col>
      <xdr:colOff>1556808</xdr:colOff>
      <xdr:row>522</xdr:row>
      <xdr:rowOff>0</xdr:rowOff>
    </xdr:from>
    <xdr:ext cx="184731" cy="264560"/>
    <xdr:sp macro="" textlink="">
      <xdr:nvSpPr>
        <xdr:cNvPr id="16" name="15 CuadroTexto"/>
        <xdr:cNvSpPr txBox="1"/>
      </xdr:nvSpPr>
      <xdr:spPr>
        <a:xfrm>
          <a:off x="11986683" y="249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30</xdr:col>
      <xdr:colOff>1556808</xdr:colOff>
      <xdr:row>522</xdr:row>
      <xdr:rowOff>0</xdr:rowOff>
    </xdr:from>
    <xdr:ext cx="184731" cy="264560"/>
    <xdr:sp macro="" textlink="">
      <xdr:nvSpPr>
        <xdr:cNvPr id="17" name="16 CuadroTexto"/>
        <xdr:cNvSpPr txBox="1"/>
      </xdr:nvSpPr>
      <xdr:spPr>
        <a:xfrm>
          <a:off x="12701058" y="249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31</xdr:col>
      <xdr:colOff>1556808</xdr:colOff>
      <xdr:row>522</xdr:row>
      <xdr:rowOff>0</xdr:rowOff>
    </xdr:from>
    <xdr:ext cx="184731" cy="264560"/>
    <xdr:sp macro="" textlink="">
      <xdr:nvSpPr>
        <xdr:cNvPr id="18" name="17 CuadroTexto"/>
        <xdr:cNvSpPr txBox="1"/>
      </xdr:nvSpPr>
      <xdr:spPr>
        <a:xfrm>
          <a:off x="13415433" y="249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32</xdr:col>
      <xdr:colOff>1556808</xdr:colOff>
      <xdr:row>522</xdr:row>
      <xdr:rowOff>0</xdr:rowOff>
    </xdr:from>
    <xdr:ext cx="184731" cy="264560"/>
    <xdr:sp macro="" textlink="">
      <xdr:nvSpPr>
        <xdr:cNvPr id="19" name="18 CuadroTexto"/>
        <xdr:cNvSpPr txBox="1"/>
      </xdr:nvSpPr>
      <xdr:spPr>
        <a:xfrm>
          <a:off x="14129808" y="249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30</xdr:col>
      <xdr:colOff>1556808</xdr:colOff>
      <xdr:row>522</xdr:row>
      <xdr:rowOff>0</xdr:rowOff>
    </xdr:from>
    <xdr:ext cx="184731" cy="264560"/>
    <xdr:sp macro="" textlink="">
      <xdr:nvSpPr>
        <xdr:cNvPr id="20" name="19 CuadroTexto"/>
        <xdr:cNvSpPr txBox="1"/>
      </xdr:nvSpPr>
      <xdr:spPr>
        <a:xfrm>
          <a:off x="12701058" y="249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30</xdr:col>
      <xdr:colOff>1556808</xdr:colOff>
      <xdr:row>522</xdr:row>
      <xdr:rowOff>0</xdr:rowOff>
    </xdr:from>
    <xdr:ext cx="184731" cy="264560"/>
    <xdr:sp macro="" textlink="">
      <xdr:nvSpPr>
        <xdr:cNvPr id="21" name="20 CuadroTexto"/>
        <xdr:cNvSpPr txBox="1"/>
      </xdr:nvSpPr>
      <xdr:spPr>
        <a:xfrm>
          <a:off x="12701058" y="249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31</xdr:col>
      <xdr:colOff>1556808</xdr:colOff>
      <xdr:row>522</xdr:row>
      <xdr:rowOff>0</xdr:rowOff>
    </xdr:from>
    <xdr:ext cx="184731" cy="264560"/>
    <xdr:sp macro="" textlink="">
      <xdr:nvSpPr>
        <xdr:cNvPr id="22" name="21 CuadroTexto"/>
        <xdr:cNvSpPr txBox="1"/>
      </xdr:nvSpPr>
      <xdr:spPr>
        <a:xfrm>
          <a:off x="13415433" y="249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31</xdr:col>
      <xdr:colOff>1556808</xdr:colOff>
      <xdr:row>522</xdr:row>
      <xdr:rowOff>0</xdr:rowOff>
    </xdr:from>
    <xdr:ext cx="184731" cy="264560"/>
    <xdr:sp macro="" textlink="">
      <xdr:nvSpPr>
        <xdr:cNvPr id="23" name="22 CuadroTexto"/>
        <xdr:cNvSpPr txBox="1"/>
      </xdr:nvSpPr>
      <xdr:spPr>
        <a:xfrm>
          <a:off x="13415433" y="249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32</xdr:col>
      <xdr:colOff>1556808</xdr:colOff>
      <xdr:row>522</xdr:row>
      <xdr:rowOff>0</xdr:rowOff>
    </xdr:from>
    <xdr:ext cx="184731" cy="264560"/>
    <xdr:sp macro="" textlink="">
      <xdr:nvSpPr>
        <xdr:cNvPr id="24" name="23 CuadroTexto"/>
        <xdr:cNvSpPr txBox="1"/>
      </xdr:nvSpPr>
      <xdr:spPr>
        <a:xfrm>
          <a:off x="14129808" y="249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32</xdr:col>
      <xdr:colOff>1556808</xdr:colOff>
      <xdr:row>522</xdr:row>
      <xdr:rowOff>0</xdr:rowOff>
    </xdr:from>
    <xdr:ext cx="184731" cy="264560"/>
    <xdr:sp macro="" textlink="">
      <xdr:nvSpPr>
        <xdr:cNvPr id="25" name="24 CuadroTexto"/>
        <xdr:cNvSpPr txBox="1"/>
      </xdr:nvSpPr>
      <xdr:spPr>
        <a:xfrm>
          <a:off x="14129808" y="249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CO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Documents/PLANIFICACION%20TAME/PRESUPUESTO%20-%20POAI%202013/Users/Windows%207/Desktop/backup/Mpio%20Zulia/perfil-financiero/perfil-financ-zulia-02-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A%20PI%20NOrbey/Plan%20Indicativo%20-%2030%20jul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A-02"/>
      <sheetName val="GASTOS 2002"/>
      <sheetName val="activa-03"/>
      <sheetName val="Hoja1"/>
      <sheetName val="GASTOS 2003"/>
      <sheetName val="activa-04"/>
      <sheetName val="Hoja3"/>
      <sheetName val="graficos"/>
      <sheetName val="ejec-ingresos"/>
      <sheetName val="RESUMENS"/>
      <sheetName val="gastos-2004"/>
      <sheetName val="ejec-gastos"/>
      <sheetName val="operac-efec-caja"/>
      <sheetName val="anexos-1"/>
      <sheetName val="anexo-2"/>
    </sheetNames>
    <sheetDataSet>
      <sheetData sheetId="0"/>
      <sheetData sheetId="1"/>
      <sheetData sheetId="2"/>
      <sheetData sheetId="3"/>
      <sheetData sheetId="4">
        <row r="4">
          <cell r="A4" t="str">
            <v>RUBRO</v>
          </cell>
          <cell r="B4" t="str">
            <v>DESC_RUBRO</v>
          </cell>
          <cell r="C4" t="str">
            <v>APROP_INIC</v>
          </cell>
          <cell r="D4" t="str">
            <v>CONTRACRED</v>
          </cell>
          <cell r="E4" t="str">
            <v>CREDITOS</v>
          </cell>
          <cell r="F4" t="str">
            <v>REDUCCION</v>
          </cell>
          <cell r="G4" t="str">
            <v>TOTADI</v>
          </cell>
          <cell r="H4" t="str">
            <v>APROP_FIN</v>
          </cell>
          <cell r="I4" t="str">
            <v>COMPROMISO</v>
          </cell>
          <cell r="J4" t="str">
            <v>COMACUL</v>
          </cell>
          <cell r="K4" t="str">
            <v>PAGOSM</v>
          </cell>
          <cell r="L4" t="str">
            <v>PAGOS</v>
          </cell>
          <cell r="M4" t="str">
            <v>SAL_APROP</v>
          </cell>
          <cell r="N4" t="str">
            <v>SAL_PAGAR</v>
          </cell>
        </row>
        <row r="6">
          <cell r="A6" t="str">
            <v>13200000000</v>
          </cell>
          <cell r="B6" t="str">
            <v>GASTOS</v>
          </cell>
          <cell r="C6">
            <v>3127195187.4200001</v>
          </cell>
          <cell r="D6">
            <v>833614.34</v>
          </cell>
          <cell r="E6">
            <v>833614.34</v>
          </cell>
          <cell r="F6">
            <v>1374565508.79</v>
          </cell>
          <cell r="G6">
            <v>3010174926.6300001</v>
          </cell>
          <cell r="H6">
            <v>4762804605.2600002</v>
          </cell>
          <cell r="I6">
            <v>319571444.5</v>
          </cell>
          <cell r="J6">
            <v>4194212088.4099998</v>
          </cell>
          <cell r="K6">
            <v>855354552.82000005</v>
          </cell>
          <cell r="L6">
            <v>3552661251.0700002</v>
          </cell>
          <cell r="M6">
            <v>568592516.85000002</v>
          </cell>
          <cell r="N6">
            <v>641550837.34000003</v>
          </cell>
        </row>
        <row r="7">
          <cell r="A7" t="str">
            <v>1321000000</v>
          </cell>
          <cell r="B7" t="str">
            <v>GASTOS DE FUNCIONAMIENTO</v>
          </cell>
          <cell r="C7">
            <v>394554094.64999998</v>
          </cell>
          <cell r="D7">
            <v>833614.34</v>
          </cell>
          <cell r="E7">
            <v>833614.34</v>
          </cell>
          <cell r="F7">
            <v>60002121.159999996</v>
          </cell>
          <cell r="G7">
            <v>161433354.38999999</v>
          </cell>
          <cell r="H7">
            <v>495985327.88</v>
          </cell>
          <cell r="I7">
            <v>53012612.149999999</v>
          </cell>
          <cell r="J7">
            <v>453611352.24000001</v>
          </cell>
          <cell r="K7">
            <v>54712612.149999999</v>
          </cell>
          <cell r="L7">
            <v>448655743.24000001</v>
          </cell>
          <cell r="M7">
            <v>42373975.640000001</v>
          </cell>
          <cell r="N7">
            <v>4955609</v>
          </cell>
        </row>
        <row r="8">
          <cell r="A8" t="str">
            <v>1321110000</v>
          </cell>
          <cell r="B8" t="str">
            <v>CONCEJO MUNICIPAL</v>
          </cell>
          <cell r="C8">
            <v>0</v>
          </cell>
          <cell r="D8">
            <v>0</v>
          </cell>
          <cell r="E8">
            <v>0</v>
          </cell>
          <cell r="F8">
            <v>4105111.62</v>
          </cell>
          <cell r="G8">
            <v>83725683.280000001</v>
          </cell>
          <cell r="H8">
            <v>79620571.659999996</v>
          </cell>
          <cell r="I8">
            <v>11297377</v>
          </cell>
          <cell r="J8">
            <v>77520225.560000002</v>
          </cell>
          <cell r="K8">
            <v>11297377</v>
          </cell>
          <cell r="L8">
            <v>77494947.560000002</v>
          </cell>
          <cell r="M8">
            <v>2100346.1</v>
          </cell>
          <cell r="N8">
            <v>25278</v>
          </cell>
        </row>
        <row r="9">
          <cell r="A9" t="str">
            <v>1321110001</v>
          </cell>
          <cell r="B9" t="str">
            <v>HONORARIOS CONCEJALES</v>
          </cell>
          <cell r="C9">
            <v>0</v>
          </cell>
          <cell r="D9">
            <v>0</v>
          </cell>
          <cell r="E9">
            <v>0</v>
          </cell>
          <cell r="F9">
            <v>917692.5</v>
          </cell>
          <cell r="G9">
            <v>56101541</v>
          </cell>
          <cell r="H9">
            <v>55183848.5</v>
          </cell>
          <cell r="I9">
            <v>7035585</v>
          </cell>
          <cell r="J9">
            <v>55183848.5</v>
          </cell>
          <cell r="K9">
            <v>7035585</v>
          </cell>
          <cell r="L9">
            <v>55183848.5</v>
          </cell>
          <cell r="M9">
            <v>0</v>
          </cell>
          <cell r="N9">
            <v>0</v>
          </cell>
        </row>
        <row r="10">
          <cell r="A10" t="str">
            <v>1321110002</v>
          </cell>
          <cell r="B10" t="str">
            <v>ASESORIAS JURIDICAS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4000000</v>
          </cell>
          <cell r="H10">
            <v>4000000</v>
          </cell>
          <cell r="I10">
            <v>1000000</v>
          </cell>
          <cell r="J10">
            <v>4000000</v>
          </cell>
          <cell r="K10">
            <v>1000000</v>
          </cell>
          <cell r="L10">
            <v>4000000</v>
          </cell>
          <cell r="M10">
            <v>0</v>
          </cell>
          <cell r="N10">
            <v>0</v>
          </cell>
        </row>
        <row r="11">
          <cell r="A11" t="str">
            <v>1321110003</v>
          </cell>
          <cell r="B11" t="str">
            <v>SUELDO PERSONAL NOMINA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5626699</v>
          </cell>
          <cell r="H11">
            <v>5626699</v>
          </cell>
          <cell r="I11">
            <v>919238</v>
          </cell>
          <cell r="J11">
            <v>5515428</v>
          </cell>
          <cell r="K11">
            <v>919238</v>
          </cell>
          <cell r="L11">
            <v>5515428</v>
          </cell>
          <cell r="M11">
            <v>111271</v>
          </cell>
          <cell r="N11">
            <v>0</v>
          </cell>
        </row>
        <row r="12">
          <cell r="A12" t="str">
            <v>1321110004</v>
          </cell>
          <cell r="B12" t="str">
            <v>CAFETERIA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1681084.56</v>
          </cell>
          <cell r="H12">
            <v>1681084.56</v>
          </cell>
          <cell r="I12">
            <v>336200</v>
          </cell>
          <cell r="J12">
            <v>1681042</v>
          </cell>
          <cell r="K12">
            <v>336200</v>
          </cell>
          <cell r="L12">
            <v>1681042</v>
          </cell>
          <cell r="M12">
            <v>42.56</v>
          </cell>
          <cell r="N12">
            <v>0</v>
          </cell>
        </row>
        <row r="13">
          <cell r="A13" t="str">
            <v>1321110006</v>
          </cell>
          <cell r="B13" t="str">
            <v>MATERIALES Y SUMINISTROS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2018859.06</v>
          </cell>
          <cell r="H13">
            <v>2018859.06</v>
          </cell>
          <cell r="I13">
            <v>320000</v>
          </cell>
          <cell r="J13">
            <v>2018859.06</v>
          </cell>
          <cell r="K13">
            <v>320000</v>
          </cell>
          <cell r="L13">
            <v>2018859.06</v>
          </cell>
          <cell r="M13">
            <v>0</v>
          </cell>
          <cell r="N13">
            <v>0</v>
          </cell>
        </row>
        <row r="14">
          <cell r="A14" t="str">
            <v>1321110007</v>
          </cell>
          <cell r="B14" t="str">
            <v>COMPRA DE EQUIPO</v>
          </cell>
          <cell r="C14">
            <v>0</v>
          </cell>
          <cell r="D14">
            <v>0</v>
          </cell>
          <cell r="E14">
            <v>0</v>
          </cell>
          <cell r="F14">
            <v>1000000</v>
          </cell>
          <cell r="G14">
            <v>5000000</v>
          </cell>
          <cell r="H14">
            <v>4000000</v>
          </cell>
          <cell r="I14">
            <v>0</v>
          </cell>
          <cell r="J14">
            <v>4000000</v>
          </cell>
          <cell r="K14">
            <v>0</v>
          </cell>
          <cell r="L14">
            <v>4000000</v>
          </cell>
          <cell r="M14">
            <v>0</v>
          </cell>
          <cell r="N14">
            <v>0</v>
          </cell>
        </row>
        <row r="15">
          <cell r="A15" t="str">
            <v>1321110008</v>
          </cell>
          <cell r="B15" t="str">
            <v>PENSIONES Y CESANTIAS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1679136</v>
          </cell>
          <cell r="H15">
            <v>1679136</v>
          </cell>
          <cell r="I15">
            <v>601987</v>
          </cell>
          <cell r="J15">
            <v>1587756</v>
          </cell>
          <cell r="K15">
            <v>601987</v>
          </cell>
          <cell r="L15">
            <v>1587756</v>
          </cell>
          <cell r="M15">
            <v>91380</v>
          </cell>
          <cell r="N15">
            <v>0</v>
          </cell>
        </row>
        <row r="16">
          <cell r="A16" t="str">
            <v>1321110009</v>
          </cell>
          <cell r="B16" t="str">
            <v>APORTES SENA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25835</v>
          </cell>
          <cell r="H16">
            <v>25835</v>
          </cell>
          <cell r="I16">
            <v>4596</v>
          </cell>
          <cell r="J16">
            <v>25835</v>
          </cell>
          <cell r="K16">
            <v>4596</v>
          </cell>
          <cell r="L16">
            <v>25835</v>
          </cell>
          <cell r="M16">
            <v>0</v>
          </cell>
          <cell r="N16">
            <v>0</v>
          </cell>
        </row>
        <row r="17">
          <cell r="A17" t="str">
            <v>1321110010</v>
          </cell>
          <cell r="B17" t="str">
            <v>APORTES ICFB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168799</v>
          </cell>
          <cell r="H17">
            <v>168799</v>
          </cell>
          <cell r="I17">
            <v>27576</v>
          </cell>
          <cell r="J17">
            <v>165456</v>
          </cell>
          <cell r="K17">
            <v>27576</v>
          </cell>
          <cell r="L17">
            <v>165456</v>
          </cell>
          <cell r="M17">
            <v>3343</v>
          </cell>
          <cell r="N17">
            <v>0</v>
          </cell>
        </row>
        <row r="18">
          <cell r="A18" t="str">
            <v>1321110011</v>
          </cell>
          <cell r="B18" t="str">
            <v>APORTES CAJA DE COMPENSACION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239012</v>
          </cell>
          <cell r="H18">
            <v>239012</v>
          </cell>
          <cell r="I18">
            <v>55152</v>
          </cell>
          <cell r="J18">
            <v>239012</v>
          </cell>
          <cell r="K18">
            <v>55152</v>
          </cell>
          <cell r="L18">
            <v>220628</v>
          </cell>
          <cell r="M18">
            <v>0</v>
          </cell>
          <cell r="N18">
            <v>18384</v>
          </cell>
        </row>
        <row r="19">
          <cell r="A19" t="str">
            <v>1321110012</v>
          </cell>
          <cell r="B19" t="str">
            <v>APORTES ESAP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25835</v>
          </cell>
          <cell r="H19">
            <v>25835</v>
          </cell>
          <cell r="I19">
            <v>0</v>
          </cell>
          <cell r="J19">
            <v>25278</v>
          </cell>
          <cell r="K19">
            <v>0</v>
          </cell>
          <cell r="L19">
            <v>25278</v>
          </cell>
          <cell r="M19">
            <v>557</v>
          </cell>
          <cell r="N19">
            <v>0</v>
          </cell>
        </row>
        <row r="20">
          <cell r="A20" t="str">
            <v>1321110013</v>
          </cell>
          <cell r="B20" t="str">
            <v>SALUD COOMEVA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418365</v>
          </cell>
          <cell r="H20">
            <v>418365</v>
          </cell>
          <cell r="I20">
            <v>77872</v>
          </cell>
          <cell r="J20">
            <v>411260</v>
          </cell>
          <cell r="K20">
            <v>77872</v>
          </cell>
          <cell r="L20">
            <v>411260</v>
          </cell>
          <cell r="M20">
            <v>7105</v>
          </cell>
          <cell r="N20">
            <v>0</v>
          </cell>
        </row>
        <row r="21">
          <cell r="A21" t="str">
            <v>1321110014</v>
          </cell>
          <cell r="B21" t="str">
            <v>APORTES INSTITUTO TECNICO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64344</v>
          </cell>
          <cell r="H21">
            <v>64344</v>
          </cell>
          <cell r="I21">
            <v>20682</v>
          </cell>
          <cell r="J21">
            <v>64344</v>
          </cell>
          <cell r="K21">
            <v>20682</v>
          </cell>
          <cell r="L21">
            <v>57450</v>
          </cell>
          <cell r="M21">
            <v>0</v>
          </cell>
          <cell r="N21">
            <v>6894</v>
          </cell>
        </row>
        <row r="22">
          <cell r="A22" t="str">
            <v>1321110015</v>
          </cell>
          <cell r="B22" t="str">
            <v>RIESGOS PROFESIONALES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26971</v>
          </cell>
          <cell r="H22">
            <v>26971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26971</v>
          </cell>
          <cell r="N22">
            <v>0</v>
          </cell>
        </row>
        <row r="23">
          <cell r="A23" t="str">
            <v>1321110016</v>
          </cell>
          <cell r="B23" t="str">
            <v>PRIMA DE NAVIDAD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477173</v>
          </cell>
          <cell r="H23">
            <v>477173</v>
          </cell>
          <cell r="I23">
            <v>477173</v>
          </cell>
          <cell r="J23">
            <v>477173</v>
          </cell>
          <cell r="K23">
            <v>477173</v>
          </cell>
          <cell r="L23">
            <v>477173</v>
          </cell>
          <cell r="M23">
            <v>0</v>
          </cell>
          <cell r="N23">
            <v>0</v>
          </cell>
        </row>
        <row r="24">
          <cell r="A24" t="str">
            <v>1321110017</v>
          </cell>
          <cell r="B24" t="str">
            <v>PRIMA DE VACACIONES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440467</v>
          </cell>
          <cell r="H24">
            <v>440467</v>
          </cell>
          <cell r="I24">
            <v>210658</v>
          </cell>
          <cell r="J24">
            <v>440467</v>
          </cell>
          <cell r="K24">
            <v>210658</v>
          </cell>
          <cell r="L24">
            <v>440467</v>
          </cell>
          <cell r="M24">
            <v>0</v>
          </cell>
          <cell r="N24">
            <v>0</v>
          </cell>
        </row>
        <row r="25">
          <cell r="A25" t="str">
            <v>1321110018</v>
          </cell>
          <cell r="B25" t="str">
            <v>INDEMNIZACION VACACIONES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459618</v>
          </cell>
          <cell r="H25">
            <v>459618</v>
          </cell>
          <cell r="I25">
            <v>210658</v>
          </cell>
          <cell r="J25">
            <v>440467</v>
          </cell>
          <cell r="K25">
            <v>210658</v>
          </cell>
          <cell r="L25">
            <v>440467</v>
          </cell>
          <cell r="M25">
            <v>19151</v>
          </cell>
          <cell r="N25">
            <v>0</v>
          </cell>
        </row>
        <row r="26">
          <cell r="A26" t="str">
            <v>1321110019</v>
          </cell>
          <cell r="B26" t="str">
            <v>DEFICIT FISCAL</v>
          </cell>
          <cell r="C26">
            <v>0</v>
          </cell>
          <cell r="D26">
            <v>0</v>
          </cell>
          <cell r="E26">
            <v>0</v>
          </cell>
          <cell r="F26">
            <v>2187419.12</v>
          </cell>
          <cell r="G26">
            <v>4027226.66</v>
          </cell>
          <cell r="H26">
            <v>1839807.54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1839807.54</v>
          </cell>
          <cell r="N26">
            <v>0</v>
          </cell>
        </row>
        <row r="27">
          <cell r="A27" t="str">
            <v>1321110020</v>
          </cell>
          <cell r="B27" t="str">
            <v>REPARACIONES LOCATIVAS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1244718</v>
          </cell>
          <cell r="H27">
            <v>1244718</v>
          </cell>
          <cell r="I27">
            <v>0</v>
          </cell>
          <cell r="J27">
            <v>1244000</v>
          </cell>
          <cell r="K27">
            <v>0</v>
          </cell>
          <cell r="L27">
            <v>1244000</v>
          </cell>
          <cell r="M27">
            <v>718</v>
          </cell>
          <cell r="N27">
            <v>0</v>
          </cell>
        </row>
        <row r="28">
          <cell r="A28" t="str">
            <v>1321200000</v>
          </cell>
          <cell r="B28" t="str">
            <v>ALCALDIA MUNICIPAL</v>
          </cell>
          <cell r="C28">
            <v>345423094.64999998</v>
          </cell>
          <cell r="D28">
            <v>833614.34</v>
          </cell>
          <cell r="E28">
            <v>164614.34</v>
          </cell>
          <cell r="F28">
            <v>55897009.539999999</v>
          </cell>
          <cell r="G28">
            <v>73619631.780000001</v>
          </cell>
          <cell r="H28">
            <v>362476716.88999999</v>
          </cell>
          <cell r="I28">
            <v>38442501.149999999</v>
          </cell>
          <cell r="J28">
            <v>326291126.68000001</v>
          </cell>
          <cell r="K28">
            <v>40142501.149999999</v>
          </cell>
          <cell r="L28">
            <v>321360795.68000001</v>
          </cell>
          <cell r="M28">
            <v>36185590.210000001</v>
          </cell>
          <cell r="N28">
            <v>4930331</v>
          </cell>
        </row>
        <row r="29">
          <cell r="A29" t="str">
            <v>1321200100</v>
          </cell>
          <cell r="B29" t="str">
            <v>DESPACHO DEL ALCALDE</v>
          </cell>
          <cell r="C29">
            <v>27224891.449999999</v>
          </cell>
          <cell r="D29">
            <v>164614.34</v>
          </cell>
          <cell r="E29">
            <v>164614.34</v>
          </cell>
          <cell r="F29">
            <v>764744.3</v>
          </cell>
          <cell r="G29">
            <v>9570534.0399999991</v>
          </cell>
          <cell r="H29">
            <v>36030681.189999998</v>
          </cell>
          <cell r="I29">
            <v>7583673.0999999996</v>
          </cell>
          <cell r="J29">
            <v>35865074.100000001</v>
          </cell>
          <cell r="K29">
            <v>7583673.0999999996</v>
          </cell>
          <cell r="L29">
            <v>35865074.100000001</v>
          </cell>
          <cell r="M29">
            <v>165607.09</v>
          </cell>
          <cell r="N29">
            <v>0</v>
          </cell>
        </row>
        <row r="30">
          <cell r="A30" t="str">
            <v>1321200101</v>
          </cell>
          <cell r="B30" t="str">
            <v>SUELDO PERSONAL DE NOMINA</v>
          </cell>
          <cell r="C30">
            <v>22024631.530000001</v>
          </cell>
          <cell r="D30">
            <v>164614.34</v>
          </cell>
          <cell r="E30">
            <v>0</v>
          </cell>
          <cell r="F30">
            <v>0</v>
          </cell>
          <cell r="G30">
            <v>0</v>
          </cell>
          <cell r="H30">
            <v>21860017.190000001</v>
          </cell>
          <cell r="I30">
            <v>1729419.1</v>
          </cell>
          <cell r="J30">
            <v>21859017.100000001</v>
          </cell>
          <cell r="K30">
            <v>1729419.1</v>
          </cell>
          <cell r="L30">
            <v>21859017.100000001</v>
          </cell>
          <cell r="M30">
            <v>1000.09</v>
          </cell>
          <cell r="N30">
            <v>0</v>
          </cell>
        </row>
        <row r="31">
          <cell r="A31" t="str">
            <v>1321200102</v>
          </cell>
          <cell r="B31" t="str">
            <v>PRIMA DE VACACIONES</v>
          </cell>
          <cell r="C31">
            <v>917693.18</v>
          </cell>
          <cell r="D31">
            <v>0</v>
          </cell>
          <cell r="E31">
            <v>82307.320000000007</v>
          </cell>
          <cell r="F31">
            <v>0</v>
          </cell>
          <cell r="G31">
            <v>0</v>
          </cell>
          <cell r="H31">
            <v>1000000.5</v>
          </cell>
          <cell r="I31">
            <v>0</v>
          </cell>
          <cell r="J31">
            <v>917693</v>
          </cell>
          <cell r="K31">
            <v>0</v>
          </cell>
          <cell r="L31">
            <v>917693</v>
          </cell>
          <cell r="M31">
            <v>82307.5</v>
          </cell>
          <cell r="N31">
            <v>0</v>
          </cell>
        </row>
        <row r="32">
          <cell r="A32" t="str">
            <v>1321200103</v>
          </cell>
          <cell r="B32" t="str">
            <v>PRIMA DE SERVICIOS</v>
          </cell>
          <cell r="C32">
            <v>1529488.3</v>
          </cell>
          <cell r="D32">
            <v>0</v>
          </cell>
          <cell r="E32">
            <v>0</v>
          </cell>
          <cell r="F32">
            <v>764744.3</v>
          </cell>
          <cell r="G32">
            <v>0</v>
          </cell>
          <cell r="H32">
            <v>764744</v>
          </cell>
          <cell r="I32">
            <v>0</v>
          </cell>
          <cell r="J32">
            <v>764744</v>
          </cell>
          <cell r="K32">
            <v>0</v>
          </cell>
          <cell r="L32">
            <v>764744</v>
          </cell>
          <cell r="M32">
            <v>0</v>
          </cell>
          <cell r="N32">
            <v>0</v>
          </cell>
        </row>
        <row r="33">
          <cell r="A33" t="str">
            <v>1321200104</v>
          </cell>
          <cell r="B33" t="str">
            <v>PRIMA DE NAVIDAD</v>
          </cell>
          <cell r="C33">
            <v>1835385.96</v>
          </cell>
          <cell r="D33">
            <v>0</v>
          </cell>
          <cell r="E33">
            <v>0</v>
          </cell>
          <cell r="F33">
            <v>0</v>
          </cell>
          <cell r="G33">
            <v>367662.04</v>
          </cell>
          <cell r="H33">
            <v>2203048</v>
          </cell>
          <cell r="I33">
            <v>0</v>
          </cell>
          <cell r="J33">
            <v>2203048</v>
          </cell>
          <cell r="K33">
            <v>0</v>
          </cell>
          <cell r="L33">
            <v>2203048</v>
          </cell>
          <cell r="M33">
            <v>0</v>
          </cell>
          <cell r="N33">
            <v>0</v>
          </cell>
        </row>
        <row r="34">
          <cell r="A34" t="str">
            <v>1321200105</v>
          </cell>
          <cell r="B34" t="str">
            <v>INDEMNIZACION DE VACACIONES</v>
          </cell>
          <cell r="C34">
            <v>917692.98</v>
          </cell>
          <cell r="D34">
            <v>0</v>
          </cell>
          <cell r="E34">
            <v>82307.02</v>
          </cell>
          <cell r="F34">
            <v>0</v>
          </cell>
          <cell r="G34">
            <v>0</v>
          </cell>
          <cell r="H34">
            <v>1000000</v>
          </cell>
          <cell r="I34">
            <v>0</v>
          </cell>
          <cell r="J34">
            <v>917700</v>
          </cell>
          <cell r="K34">
            <v>0</v>
          </cell>
          <cell r="L34">
            <v>917700</v>
          </cell>
          <cell r="M34">
            <v>82300</v>
          </cell>
          <cell r="N34">
            <v>0</v>
          </cell>
        </row>
        <row r="35">
          <cell r="A35" t="str">
            <v>1321200106</v>
          </cell>
          <cell r="B35" t="str">
            <v>PRIMA TECNICA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9202872</v>
          </cell>
          <cell r="H35">
            <v>9202872</v>
          </cell>
          <cell r="I35">
            <v>5854254</v>
          </cell>
          <cell r="J35">
            <v>9202872</v>
          </cell>
          <cell r="K35">
            <v>5854254</v>
          </cell>
          <cell r="L35">
            <v>9202872</v>
          </cell>
          <cell r="M35">
            <v>0</v>
          </cell>
          <cell r="N35">
            <v>0</v>
          </cell>
        </row>
        <row r="36">
          <cell r="A36" t="str">
            <v>1321200200</v>
          </cell>
          <cell r="B36" t="str">
            <v>GASTOS GENERALES</v>
          </cell>
          <cell r="C36">
            <v>158833152.06</v>
          </cell>
          <cell r="D36">
            <v>669000</v>
          </cell>
          <cell r="E36">
            <v>0</v>
          </cell>
          <cell r="F36">
            <v>50324566.259999998</v>
          </cell>
          <cell r="G36">
            <v>16220134.939999999</v>
          </cell>
          <cell r="H36">
            <v>124059720.73999999</v>
          </cell>
          <cell r="I36">
            <v>200000</v>
          </cell>
          <cell r="J36">
            <v>109463464.34999999</v>
          </cell>
          <cell r="K36">
            <v>200000</v>
          </cell>
          <cell r="L36">
            <v>105101530.34999999</v>
          </cell>
          <cell r="M36">
            <v>14596256.390000001</v>
          </cell>
          <cell r="N36">
            <v>4361934</v>
          </cell>
        </row>
        <row r="37">
          <cell r="A37" t="str">
            <v>1321200201</v>
          </cell>
          <cell r="B37" t="str">
            <v>SERVICIOS PUBLICOS P.A.S. PLAN 50</v>
          </cell>
          <cell r="C37">
            <v>72000000</v>
          </cell>
          <cell r="D37">
            <v>0</v>
          </cell>
          <cell r="E37">
            <v>0</v>
          </cell>
          <cell r="F37">
            <v>40372838.259999998</v>
          </cell>
          <cell r="G37">
            <v>0</v>
          </cell>
          <cell r="H37">
            <v>31627161.739999998</v>
          </cell>
          <cell r="I37">
            <v>59201.93</v>
          </cell>
          <cell r="J37">
            <v>24577063.93</v>
          </cell>
          <cell r="K37">
            <v>59201.93</v>
          </cell>
          <cell r="L37">
            <v>24577063.93</v>
          </cell>
          <cell r="M37">
            <v>7050097.8099999996</v>
          </cell>
          <cell r="N37">
            <v>0</v>
          </cell>
        </row>
        <row r="38">
          <cell r="A38" t="str">
            <v>1321200202</v>
          </cell>
          <cell r="B38" t="str">
            <v>MATERIALES Y SUMINISTROS</v>
          </cell>
          <cell r="C38">
            <v>11582307.07</v>
          </cell>
          <cell r="D38">
            <v>0</v>
          </cell>
          <cell r="E38">
            <v>0</v>
          </cell>
          <cell r="F38">
            <v>1000000</v>
          </cell>
          <cell r="G38">
            <v>0</v>
          </cell>
          <cell r="H38">
            <v>10582307.07</v>
          </cell>
          <cell r="I38">
            <v>140798.07</v>
          </cell>
          <cell r="J38">
            <v>10582307.07</v>
          </cell>
          <cell r="K38">
            <v>140798.07</v>
          </cell>
          <cell r="L38">
            <v>10367707.07</v>
          </cell>
          <cell r="M38">
            <v>0</v>
          </cell>
          <cell r="N38">
            <v>214600</v>
          </cell>
        </row>
        <row r="39">
          <cell r="A39" t="str">
            <v>1321200203</v>
          </cell>
          <cell r="B39" t="str">
            <v>IMPRESOS Y PUBLICACIONES</v>
          </cell>
          <cell r="C39">
            <v>400000</v>
          </cell>
          <cell r="D39">
            <v>0</v>
          </cell>
          <cell r="E39">
            <v>0</v>
          </cell>
          <cell r="F39">
            <v>292000</v>
          </cell>
          <cell r="G39">
            <v>0</v>
          </cell>
          <cell r="H39">
            <v>108000</v>
          </cell>
          <cell r="I39">
            <v>0</v>
          </cell>
          <cell r="J39">
            <v>108000</v>
          </cell>
          <cell r="K39">
            <v>0</v>
          </cell>
          <cell r="L39">
            <v>108000</v>
          </cell>
          <cell r="M39">
            <v>0</v>
          </cell>
          <cell r="N39">
            <v>0</v>
          </cell>
        </row>
        <row r="40">
          <cell r="A40" t="str">
            <v>1321200204</v>
          </cell>
          <cell r="B40" t="str">
            <v>VIATICOS</v>
          </cell>
          <cell r="C40">
            <v>4500000</v>
          </cell>
          <cell r="D40">
            <v>0</v>
          </cell>
          <cell r="E40">
            <v>0</v>
          </cell>
          <cell r="F40">
            <v>1214766</v>
          </cell>
          <cell r="G40">
            <v>7246106.3399999999</v>
          </cell>
          <cell r="H40">
            <v>10531340.34</v>
          </cell>
          <cell r="I40">
            <v>0</v>
          </cell>
          <cell r="J40">
            <v>10018836</v>
          </cell>
          <cell r="K40">
            <v>0</v>
          </cell>
          <cell r="L40">
            <v>10018836</v>
          </cell>
          <cell r="M40">
            <v>512504.34</v>
          </cell>
          <cell r="N40">
            <v>0</v>
          </cell>
        </row>
        <row r="41">
          <cell r="A41" t="str">
            <v>1321200205</v>
          </cell>
          <cell r="B41" t="str">
            <v>SEGUROS Y POLIZA DE MANEJO ALCALDIA</v>
          </cell>
          <cell r="C41">
            <v>30251691.140000001</v>
          </cell>
          <cell r="D41">
            <v>0</v>
          </cell>
          <cell r="E41">
            <v>0</v>
          </cell>
          <cell r="F41">
            <v>514154</v>
          </cell>
          <cell r="G41">
            <v>0</v>
          </cell>
          <cell r="H41">
            <v>29737537.140000001</v>
          </cell>
          <cell r="I41">
            <v>0</v>
          </cell>
          <cell r="J41">
            <v>24719435</v>
          </cell>
          <cell r="K41">
            <v>0</v>
          </cell>
          <cell r="L41">
            <v>20572101</v>
          </cell>
          <cell r="M41">
            <v>5018102.1399999997</v>
          </cell>
          <cell r="N41">
            <v>4147334</v>
          </cell>
        </row>
        <row r="42">
          <cell r="A42" t="str">
            <v>1321200206</v>
          </cell>
          <cell r="B42" t="str">
            <v>MANTENIMIENTO DE VEHICULOS</v>
          </cell>
          <cell r="C42">
            <v>700000</v>
          </cell>
          <cell r="D42">
            <v>0</v>
          </cell>
          <cell r="E42">
            <v>0</v>
          </cell>
          <cell r="F42">
            <v>700000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1321200207</v>
          </cell>
          <cell r="B43" t="str">
            <v>PAGO SENTEMNCIAS Y CONCILIACIONES</v>
          </cell>
          <cell r="C43">
            <v>25051544.5</v>
          </cell>
          <cell r="D43">
            <v>0</v>
          </cell>
          <cell r="E43">
            <v>0</v>
          </cell>
          <cell r="F43">
            <v>700450</v>
          </cell>
          <cell r="G43">
            <v>0</v>
          </cell>
          <cell r="H43">
            <v>24351094.5</v>
          </cell>
          <cell r="I43">
            <v>0</v>
          </cell>
          <cell r="J43">
            <v>24351094</v>
          </cell>
          <cell r="K43">
            <v>0</v>
          </cell>
          <cell r="L43">
            <v>24351094</v>
          </cell>
          <cell r="M43">
            <v>0.5</v>
          </cell>
          <cell r="N43">
            <v>0</v>
          </cell>
        </row>
        <row r="44">
          <cell r="A44" t="str">
            <v>1321200208</v>
          </cell>
          <cell r="B44" t="str">
            <v>GASTOS FUNEBRES INDIGENTES</v>
          </cell>
          <cell r="C44">
            <v>500000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500000</v>
          </cell>
          <cell r="I44">
            <v>0</v>
          </cell>
          <cell r="J44">
            <v>500000</v>
          </cell>
          <cell r="K44">
            <v>0</v>
          </cell>
          <cell r="L44">
            <v>500000</v>
          </cell>
          <cell r="M44">
            <v>0</v>
          </cell>
          <cell r="N44">
            <v>0</v>
          </cell>
        </row>
        <row r="45">
          <cell r="A45" t="str">
            <v>1321200209</v>
          </cell>
          <cell r="B45" t="str">
            <v>DOTACION</v>
          </cell>
          <cell r="C45">
            <v>2900000</v>
          </cell>
          <cell r="D45">
            <v>669000</v>
          </cell>
          <cell r="E45">
            <v>0</v>
          </cell>
          <cell r="F45">
            <v>200385</v>
          </cell>
          <cell r="G45">
            <v>1215000</v>
          </cell>
          <cell r="H45">
            <v>3245615</v>
          </cell>
          <cell r="I45">
            <v>0</v>
          </cell>
          <cell r="J45">
            <v>3245615</v>
          </cell>
          <cell r="K45">
            <v>0</v>
          </cell>
          <cell r="L45">
            <v>3245615</v>
          </cell>
          <cell r="M45">
            <v>0</v>
          </cell>
          <cell r="N45">
            <v>0</v>
          </cell>
        </row>
        <row r="46">
          <cell r="A46" t="str">
            <v>1321200210</v>
          </cell>
          <cell r="B46" t="str">
            <v>GASTOS DE VIAJE</v>
          </cell>
          <cell r="C46">
            <v>5000000</v>
          </cell>
          <cell r="D46">
            <v>0</v>
          </cell>
          <cell r="E46">
            <v>0</v>
          </cell>
          <cell r="F46">
            <v>2311607</v>
          </cell>
          <cell r="G46">
            <v>5559272.5999999996</v>
          </cell>
          <cell r="H46">
            <v>8247665.5999999996</v>
          </cell>
          <cell r="I46">
            <v>0</v>
          </cell>
          <cell r="J46">
            <v>6232114</v>
          </cell>
          <cell r="K46">
            <v>0</v>
          </cell>
          <cell r="L46">
            <v>6232114</v>
          </cell>
          <cell r="M46">
            <v>2015551.6</v>
          </cell>
          <cell r="N46">
            <v>0</v>
          </cell>
        </row>
        <row r="47">
          <cell r="A47" t="str">
            <v>1321200211</v>
          </cell>
          <cell r="B47" t="str">
            <v>TRANSPORTE Y COMUNICACIONES</v>
          </cell>
          <cell r="C47">
            <v>447609.35</v>
          </cell>
          <cell r="D47">
            <v>0</v>
          </cell>
          <cell r="E47">
            <v>0</v>
          </cell>
          <cell r="F47">
            <v>1000000</v>
          </cell>
          <cell r="G47">
            <v>1000000</v>
          </cell>
          <cell r="H47">
            <v>447609.35</v>
          </cell>
          <cell r="I47">
            <v>0</v>
          </cell>
          <cell r="J47">
            <v>447609.35</v>
          </cell>
          <cell r="K47">
            <v>0</v>
          </cell>
          <cell r="L47">
            <v>447609.35</v>
          </cell>
          <cell r="M47">
            <v>0</v>
          </cell>
          <cell r="N47">
            <v>0</v>
          </cell>
        </row>
        <row r="48">
          <cell r="A48" t="str">
            <v>1321200212</v>
          </cell>
          <cell r="B48" t="str">
            <v>GASTOS VARIOS E IMPREVISTOS</v>
          </cell>
          <cell r="C48">
            <v>500000</v>
          </cell>
          <cell r="D48">
            <v>0</v>
          </cell>
          <cell r="E48">
            <v>0</v>
          </cell>
          <cell r="F48">
            <v>218366</v>
          </cell>
          <cell r="G48">
            <v>1000000</v>
          </cell>
          <cell r="H48">
            <v>1281634</v>
          </cell>
          <cell r="I48">
            <v>0</v>
          </cell>
          <cell r="J48">
            <v>1281634</v>
          </cell>
          <cell r="K48">
            <v>0</v>
          </cell>
          <cell r="L48">
            <v>1281634</v>
          </cell>
          <cell r="M48">
            <v>0</v>
          </cell>
          <cell r="N48">
            <v>0</v>
          </cell>
        </row>
        <row r="49">
          <cell r="A49" t="str">
            <v>1321200213</v>
          </cell>
          <cell r="B49" t="str">
            <v>LEGALIZACION DE PREDIOS</v>
          </cell>
          <cell r="C49">
            <v>3000000</v>
          </cell>
          <cell r="D49">
            <v>0</v>
          </cell>
          <cell r="E49">
            <v>0</v>
          </cell>
          <cell r="F49">
            <v>1800000</v>
          </cell>
          <cell r="G49">
            <v>0</v>
          </cell>
          <cell r="H49">
            <v>1200000</v>
          </cell>
          <cell r="I49">
            <v>0</v>
          </cell>
          <cell r="J49">
            <v>1200000</v>
          </cell>
          <cell r="K49">
            <v>0</v>
          </cell>
          <cell r="L49">
            <v>1200000</v>
          </cell>
          <cell r="M49">
            <v>0</v>
          </cell>
          <cell r="N49">
            <v>0</v>
          </cell>
        </row>
        <row r="50">
          <cell r="A50" t="str">
            <v>1321200214</v>
          </cell>
          <cell r="B50" t="str">
            <v>SERVICIOS TECNICOS PROFESIONALES</v>
          </cell>
          <cell r="C50">
            <v>2000000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2000000</v>
          </cell>
          <cell r="I50">
            <v>0</v>
          </cell>
          <cell r="J50">
            <v>2000000</v>
          </cell>
          <cell r="K50">
            <v>0</v>
          </cell>
          <cell r="L50">
            <v>2000000</v>
          </cell>
          <cell r="M50">
            <v>0</v>
          </cell>
          <cell r="N50">
            <v>0</v>
          </cell>
        </row>
        <row r="51">
          <cell r="A51" t="str">
            <v>1321200215</v>
          </cell>
          <cell r="B51" t="str">
            <v>PAGO RETROACTIVO DOCENTES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162256</v>
          </cell>
          <cell r="H51">
            <v>162256</v>
          </cell>
          <cell r="I51">
            <v>0</v>
          </cell>
          <cell r="J51">
            <v>162256</v>
          </cell>
          <cell r="K51">
            <v>0</v>
          </cell>
          <cell r="L51">
            <v>162256</v>
          </cell>
          <cell r="M51">
            <v>0</v>
          </cell>
          <cell r="N51">
            <v>0</v>
          </cell>
        </row>
        <row r="52">
          <cell r="A52" t="str">
            <v>1321200216</v>
          </cell>
          <cell r="B52" t="str">
            <v>PAGO CONCILIACION FORMADORES ARTISTICOS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37500</v>
          </cell>
          <cell r="H52">
            <v>37500</v>
          </cell>
          <cell r="I52">
            <v>0</v>
          </cell>
          <cell r="J52">
            <v>37500</v>
          </cell>
          <cell r="K52">
            <v>0</v>
          </cell>
          <cell r="L52">
            <v>37500</v>
          </cell>
          <cell r="M52">
            <v>0</v>
          </cell>
          <cell r="N52">
            <v>0</v>
          </cell>
        </row>
        <row r="53">
          <cell r="A53" t="str">
            <v>1321200218</v>
          </cell>
          <cell r="B53" t="str">
            <v>BONIFICACION SERVICIOS EMPLEADOS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3403926</v>
          </cell>
          <cell r="H53">
            <v>3403926</v>
          </cell>
          <cell r="I53">
            <v>0</v>
          </cell>
          <cell r="J53">
            <v>3403926</v>
          </cell>
          <cell r="K53">
            <v>0</v>
          </cell>
          <cell r="L53">
            <v>3403926</v>
          </cell>
          <cell r="M53">
            <v>0</v>
          </cell>
          <cell r="N53">
            <v>0</v>
          </cell>
        </row>
        <row r="54">
          <cell r="A54" t="str">
            <v>1321200219</v>
          </cell>
          <cell r="B54" t="str">
            <v>PROCESO DE DEPURACION CONTABLE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13976080</v>
          </cell>
          <cell r="H54">
            <v>13976080</v>
          </cell>
          <cell r="I54">
            <v>13900000</v>
          </cell>
          <cell r="J54">
            <v>13900000</v>
          </cell>
          <cell r="K54">
            <v>13900000</v>
          </cell>
          <cell r="L54">
            <v>13900000</v>
          </cell>
          <cell r="M54">
            <v>76080</v>
          </cell>
          <cell r="N54">
            <v>0</v>
          </cell>
        </row>
        <row r="55">
          <cell r="A55" t="str">
            <v>1321200220</v>
          </cell>
          <cell r="B55" t="str">
            <v>PAGO SALARIO INSPECTORES DE POLICIA</v>
          </cell>
          <cell r="C55">
            <v>0</v>
          </cell>
          <cell r="D55">
            <v>0</v>
          </cell>
          <cell r="E55">
            <v>0</v>
          </cell>
          <cell r="F55">
            <v>270900</v>
          </cell>
          <cell r="G55">
            <v>2075000</v>
          </cell>
          <cell r="H55">
            <v>1804100</v>
          </cell>
          <cell r="I55">
            <v>0</v>
          </cell>
          <cell r="J55">
            <v>1804100</v>
          </cell>
          <cell r="K55">
            <v>0</v>
          </cell>
          <cell r="L55">
            <v>1804100</v>
          </cell>
          <cell r="M55">
            <v>0</v>
          </cell>
          <cell r="N55">
            <v>0</v>
          </cell>
        </row>
        <row r="56">
          <cell r="A56" t="str">
            <v>1321200221</v>
          </cell>
          <cell r="B56" t="str">
            <v>PRESTACIONES SOCIALES Y SEGURIDAD SOCIAL INSP POLICIA</v>
          </cell>
          <cell r="C56">
            <v>0</v>
          </cell>
          <cell r="D56">
            <v>0</v>
          </cell>
          <cell r="E56">
            <v>0</v>
          </cell>
          <cell r="F56">
            <v>483075</v>
          </cell>
          <cell r="G56">
            <v>698650</v>
          </cell>
          <cell r="H56">
            <v>215575</v>
          </cell>
          <cell r="I56">
            <v>0</v>
          </cell>
          <cell r="J56">
            <v>215575</v>
          </cell>
          <cell r="K56">
            <v>0</v>
          </cell>
          <cell r="L56">
            <v>215575</v>
          </cell>
          <cell r="M56">
            <v>0</v>
          </cell>
          <cell r="N56">
            <v>0</v>
          </cell>
        </row>
        <row r="57">
          <cell r="A57" t="str">
            <v>1321200222</v>
          </cell>
          <cell r="B57" t="str">
            <v>ASESORIA TECNICA COMO AUXILIAR DE INTERVENTORIA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3400000</v>
          </cell>
          <cell r="H57">
            <v>3400000</v>
          </cell>
          <cell r="I57">
            <v>0</v>
          </cell>
          <cell r="J57">
            <v>3400000</v>
          </cell>
          <cell r="K57">
            <v>1700000</v>
          </cell>
          <cell r="L57">
            <v>3400000</v>
          </cell>
          <cell r="M57">
            <v>0</v>
          </cell>
          <cell r="N57">
            <v>0</v>
          </cell>
        </row>
        <row r="58">
          <cell r="A58" t="str">
            <v>1321200223</v>
          </cell>
          <cell r="B58" t="str">
            <v>SUMINISTRO EQUIPO DE OFICINA</v>
          </cell>
          <cell r="C58">
            <v>0</v>
          </cell>
          <cell r="D58">
            <v>0</v>
          </cell>
          <cell r="E58">
            <v>0</v>
          </cell>
          <cell r="F58">
            <v>50000</v>
          </cell>
          <cell r="G58">
            <v>4150000</v>
          </cell>
          <cell r="H58">
            <v>4100000</v>
          </cell>
          <cell r="I58">
            <v>0</v>
          </cell>
          <cell r="J58">
            <v>4100000</v>
          </cell>
          <cell r="K58">
            <v>0</v>
          </cell>
          <cell r="L58">
            <v>4100000</v>
          </cell>
          <cell r="M58">
            <v>0</v>
          </cell>
          <cell r="N58">
            <v>0</v>
          </cell>
        </row>
        <row r="59">
          <cell r="A59" t="str">
            <v>1321200224</v>
          </cell>
          <cell r="B59" t="str">
            <v>PAGO RETROACTIVO INCREMENTO SALARIAL ALCALDIA (10 MESES</v>
          </cell>
          <cell r="C59">
            <v>0</v>
          </cell>
          <cell r="D59">
            <v>0</v>
          </cell>
          <cell r="E59">
            <v>0</v>
          </cell>
          <cell r="F59">
            <v>353248.93</v>
          </cell>
          <cell r="G59">
            <v>3827498.67</v>
          </cell>
          <cell r="H59">
            <v>3474249.74</v>
          </cell>
          <cell r="I59">
            <v>0</v>
          </cell>
          <cell r="J59">
            <v>3330047</v>
          </cell>
          <cell r="K59">
            <v>0</v>
          </cell>
          <cell r="L59">
            <v>3330047</v>
          </cell>
          <cell r="M59">
            <v>144202.74</v>
          </cell>
          <cell r="N59">
            <v>0</v>
          </cell>
        </row>
        <row r="60">
          <cell r="A60" t="str">
            <v>1321200225</v>
          </cell>
          <cell r="B60" t="str">
            <v>PAGO RETROACTIVO INCREMENTO SALARIAL PERSONERIA (10 MES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1486660.23</v>
          </cell>
          <cell r="H60">
            <v>1486660.23</v>
          </cell>
          <cell r="I60">
            <v>0</v>
          </cell>
          <cell r="J60">
            <v>1486660.23</v>
          </cell>
          <cell r="K60">
            <v>0</v>
          </cell>
          <cell r="L60">
            <v>1486660.23</v>
          </cell>
          <cell r="M60">
            <v>0</v>
          </cell>
          <cell r="N60">
            <v>0</v>
          </cell>
        </row>
        <row r="61">
          <cell r="A61" t="str">
            <v>1321200226</v>
          </cell>
          <cell r="B61" t="str">
            <v>PAGO INCREMENTO SALARIAL CONSEJO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3865316.06</v>
          </cell>
          <cell r="H61">
            <v>3865316.06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3865316.06</v>
          </cell>
          <cell r="N61">
            <v>0</v>
          </cell>
        </row>
        <row r="63">
          <cell r="A63" t="str">
            <v>1321200300</v>
          </cell>
          <cell r="B63" t="str">
            <v>SECRETARIA GENERAL</v>
          </cell>
          <cell r="C63">
            <v>14231975.140000001</v>
          </cell>
          <cell r="D63">
            <v>0</v>
          </cell>
          <cell r="E63">
            <v>0</v>
          </cell>
          <cell r="F63">
            <v>846958.69</v>
          </cell>
          <cell r="G63">
            <v>118050.66</v>
          </cell>
          <cell r="H63">
            <v>13503067.109999999</v>
          </cell>
          <cell r="I63">
            <v>948798</v>
          </cell>
          <cell r="J63">
            <v>13502393</v>
          </cell>
          <cell r="K63">
            <v>948798</v>
          </cell>
          <cell r="L63">
            <v>13502393</v>
          </cell>
          <cell r="M63">
            <v>674.11</v>
          </cell>
          <cell r="N63">
            <v>0</v>
          </cell>
        </row>
        <row r="64">
          <cell r="A64" t="str">
            <v>1321200301</v>
          </cell>
          <cell r="B64" t="str">
            <v>SUELDOS PERSONAL DE NOMINA</v>
          </cell>
          <cell r="C64">
            <v>11385580.109999999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11385580.109999999</v>
          </cell>
          <cell r="I64">
            <v>948798</v>
          </cell>
          <cell r="J64">
            <v>11384906</v>
          </cell>
          <cell r="K64">
            <v>948798</v>
          </cell>
          <cell r="L64">
            <v>11384906</v>
          </cell>
          <cell r="M64">
            <v>674.11</v>
          </cell>
          <cell r="N64">
            <v>0</v>
          </cell>
        </row>
        <row r="65">
          <cell r="A65" t="str">
            <v>1321200302</v>
          </cell>
          <cell r="B65" t="str">
            <v>PRIMA DE VACACIONES</v>
          </cell>
          <cell r="C65">
            <v>474399.17</v>
          </cell>
          <cell r="D65">
            <v>0</v>
          </cell>
          <cell r="E65">
            <v>0</v>
          </cell>
          <cell r="F65">
            <v>201357.17</v>
          </cell>
          <cell r="G65">
            <v>0</v>
          </cell>
          <cell r="H65">
            <v>273042</v>
          </cell>
          <cell r="I65">
            <v>0</v>
          </cell>
          <cell r="J65">
            <v>273042</v>
          </cell>
          <cell r="K65">
            <v>0</v>
          </cell>
          <cell r="L65">
            <v>273042</v>
          </cell>
          <cell r="M65">
            <v>0</v>
          </cell>
          <cell r="N65">
            <v>0</v>
          </cell>
        </row>
        <row r="66">
          <cell r="A66" t="str">
            <v>1321200303</v>
          </cell>
          <cell r="B66" t="str">
            <v>PRIMA DE SERVICIOS</v>
          </cell>
          <cell r="C66">
            <v>790665.29</v>
          </cell>
          <cell r="D66">
            <v>0</v>
          </cell>
          <cell r="E66">
            <v>0</v>
          </cell>
          <cell r="F66">
            <v>395332.29</v>
          </cell>
          <cell r="G66">
            <v>0</v>
          </cell>
          <cell r="H66">
            <v>395333</v>
          </cell>
          <cell r="I66">
            <v>0</v>
          </cell>
          <cell r="J66">
            <v>395333</v>
          </cell>
          <cell r="K66">
            <v>0</v>
          </cell>
          <cell r="L66">
            <v>395333</v>
          </cell>
          <cell r="M66">
            <v>0</v>
          </cell>
          <cell r="N66">
            <v>0</v>
          </cell>
        </row>
        <row r="67">
          <cell r="A67" t="str">
            <v>1321200304</v>
          </cell>
          <cell r="B67" t="str">
            <v>PRIMA DE NAVIDAD</v>
          </cell>
          <cell r="C67">
            <v>948798.34</v>
          </cell>
          <cell r="D67">
            <v>0</v>
          </cell>
          <cell r="E67">
            <v>0</v>
          </cell>
          <cell r="F67">
            <v>0</v>
          </cell>
          <cell r="G67">
            <v>118050.66</v>
          </cell>
          <cell r="H67">
            <v>1066849</v>
          </cell>
          <cell r="I67">
            <v>0</v>
          </cell>
          <cell r="J67">
            <v>1066849</v>
          </cell>
          <cell r="K67">
            <v>0</v>
          </cell>
          <cell r="L67">
            <v>1066849</v>
          </cell>
          <cell r="M67">
            <v>0</v>
          </cell>
          <cell r="N67">
            <v>0</v>
          </cell>
        </row>
        <row r="68">
          <cell r="A68" t="str">
            <v>1321200305</v>
          </cell>
          <cell r="B68" t="str">
            <v>VACACIONES</v>
          </cell>
          <cell r="C68">
            <v>632532.23</v>
          </cell>
          <cell r="D68">
            <v>0</v>
          </cell>
          <cell r="E68">
            <v>0</v>
          </cell>
          <cell r="F68">
            <v>250269.23</v>
          </cell>
          <cell r="G68">
            <v>0</v>
          </cell>
          <cell r="H68">
            <v>382263</v>
          </cell>
          <cell r="I68">
            <v>0</v>
          </cell>
          <cell r="J68">
            <v>382263</v>
          </cell>
          <cell r="K68">
            <v>0</v>
          </cell>
          <cell r="L68">
            <v>382263</v>
          </cell>
          <cell r="M68">
            <v>0</v>
          </cell>
          <cell r="N68">
            <v>0</v>
          </cell>
        </row>
        <row r="70">
          <cell r="A70" t="str">
            <v>1321200400</v>
          </cell>
          <cell r="B70" t="str">
            <v>SECRETARIA DE DESARROLLO</v>
          </cell>
          <cell r="C70">
            <v>23183945.77</v>
          </cell>
          <cell r="D70">
            <v>0</v>
          </cell>
          <cell r="E70">
            <v>0</v>
          </cell>
          <cell r="F70">
            <v>1287996.99</v>
          </cell>
          <cell r="G70">
            <v>278978.62</v>
          </cell>
          <cell r="H70">
            <v>22174927.399999999</v>
          </cell>
          <cell r="I70">
            <v>2872127.5</v>
          </cell>
          <cell r="J70">
            <v>19265161.890000001</v>
          </cell>
          <cell r="K70">
            <v>2872127.5</v>
          </cell>
          <cell r="L70">
            <v>19265161.890000001</v>
          </cell>
          <cell r="M70">
            <v>2909765.51</v>
          </cell>
          <cell r="N70">
            <v>0</v>
          </cell>
        </row>
        <row r="71">
          <cell r="A71" t="str">
            <v>1321200401</v>
          </cell>
          <cell r="B71" t="str">
            <v>SUELDO DE PERSONAL DE NOMINA</v>
          </cell>
          <cell r="C71">
            <v>18547156.620000001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18547156.620000001</v>
          </cell>
          <cell r="I71">
            <v>2872127.5</v>
          </cell>
          <cell r="J71">
            <v>16957325.890000001</v>
          </cell>
          <cell r="K71">
            <v>2872127.5</v>
          </cell>
          <cell r="L71">
            <v>16957325.890000001</v>
          </cell>
          <cell r="M71">
            <v>1589830.73</v>
          </cell>
          <cell r="N71">
            <v>0</v>
          </cell>
        </row>
        <row r="72">
          <cell r="A72" t="str">
            <v>1321200402</v>
          </cell>
          <cell r="B72" t="str">
            <v>PRIMA DE VACACIONES</v>
          </cell>
          <cell r="C72">
            <v>772798.19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772798.19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772798.19</v>
          </cell>
          <cell r="N72">
            <v>0</v>
          </cell>
        </row>
        <row r="73">
          <cell r="A73" t="str">
            <v>1321200403</v>
          </cell>
          <cell r="B73" t="str">
            <v>PRIMA DE SERVICIOS</v>
          </cell>
          <cell r="C73">
            <v>1287996.99</v>
          </cell>
          <cell r="D73">
            <v>0</v>
          </cell>
          <cell r="E73">
            <v>0</v>
          </cell>
          <cell r="F73">
            <v>1287996.99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1321200404</v>
          </cell>
          <cell r="B74" t="str">
            <v>PRIMA DE NAVIDAD</v>
          </cell>
          <cell r="C74">
            <v>1545596.38</v>
          </cell>
          <cell r="D74">
            <v>0</v>
          </cell>
          <cell r="E74">
            <v>0</v>
          </cell>
          <cell r="F74">
            <v>0</v>
          </cell>
          <cell r="G74">
            <v>278978.62</v>
          </cell>
          <cell r="H74">
            <v>1824575</v>
          </cell>
          <cell r="I74">
            <v>0</v>
          </cell>
          <cell r="J74">
            <v>1824575</v>
          </cell>
          <cell r="K74">
            <v>0</v>
          </cell>
          <cell r="L74">
            <v>1824575</v>
          </cell>
          <cell r="M74">
            <v>0</v>
          </cell>
          <cell r="N74">
            <v>0</v>
          </cell>
        </row>
        <row r="75">
          <cell r="A75" t="str">
            <v>1321200405</v>
          </cell>
          <cell r="B75" t="str">
            <v>VACACIONES</v>
          </cell>
          <cell r="C75">
            <v>1030397.59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1030397.59</v>
          </cell>
          <cell r="I75">
            <v>0</v>
          </cell>
          <cell r="J75">
            <v>483261</v>
          </cell>
          <cell r="K75">
            <v>0</v>
          </cell>
          <cell r="L75">
            <v>483261</v>
          </cell>
          <cell r="M75">
            <v>547136.59</v>
          </cell>
          <cell r="N75">
            <v>0</v>
          </cell>
        </row>
        <row r="77">
          <cell r="A77" t="str">
            <v>1321200500</v>
          </cell>
          <cell r="B77" t="str">
            <v>SECRETARIA DE HACIENDA Y TESORERIA MUNICIPAL</v>
          </cell>
          <cell r="C77">
            <v>27975089.920000002</v>
          </cell>
          <cell r="D77">
            <v>0</v>
          </cell>
          <cell r="E77">
            <v>0</v>
          </cell>
          <cell r="F77">
            <v>1452752.91</v>
          </cell>
          <cell r="G77">
            <v>288129.51</v>
          </cell>
          <cell r="H77">
            <v>26810466.52</v>
          </cell>
          <cell r="I77">
            <v>1881627</v>
          </cell>
          <cell r="J77">
            <v>25586112</v>
          </cell>
          <cell r="K77">
            <v>1881627</v>
          </cell>
          <cell r="L77">
            <v>25586112</v>
          </cell>
          <cell r="M77">
            <v>1224354.52</v>
          </cell>
          <cell r="N77">
            <v>0</v>
          </cell>
        </row>
        <row r="78">
          <cell r="A78" t="str">
            <v>1321200501</v>
          </cell>
          <cell r="B78" t="str">
            <v>SUELDO PERSONAL DE NOMINA</v>
          </cell>
          <cell r="C78">
            <v>22662473.91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22662473.91</v>
          </cell>
          <cell r="I78">
            <v>1881627</v>
          </cell>
          <cell r="J78">
            <v>22142851</v>
          </cell>
          <cell r="K78">
            <v>1881627</v>
          </cell>
          <cell r="L78">
            <v>22142851</v>
          </cell>
          <cell r="M78">
            <v>519622.91</v>
          </cell>
          <cell r="N78">
            <v>0</v>
          </cell>
        </row>
        <row r="79">
          <cell r="A79" t="str">
            <v>1321200502</v>
          </cell>
          <cell r="B79" t="str">
            <v>PRIMA DE VACACIONES</v>
          </cell>
          <cell r="C79">
            <v>944269.75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944269.75</v>
          </cell>
          <cell r="I79">
            <v>0</v>
          </cell>
          <cell r="J79">
            <v>458232</v>
          </cell>
          <cell r="K79">
            <v>0</v>
          </cell>
          <cell r="L79">
            <v>458232</v>
          </cell>
          <cell r="M79">
            <v>486037.75</v>
          </cell>
          <cell r="N79">
            <v>0</v>
          </cell>
        </row>
        <row r="80">
          <cell r="A80" t="str">
            <v>1321200503</v>
          </cell>
          <cell r="B80" t="str">
            <v>PRIMA DE SERVICIOS</v>
          </cell>
          <cell r="C80">
            <v>1573782.91</v>
          </cell>
          <cell r="D80">
            <v>0</v>
          </cell>
          <cell r="E80">
            <v>0</v>
          </cell>
          <cell r="F80">
            <v>1191922.9099999999</v>
          </cell>
          <cell r="G80">
            <v>0</v>
          </cell>
          <cell r="H80">
            <v>381860</v>
          </cell>
          <cell r="I80">
            <v>0</v>
          </cell>
          <cell r="J80">
            <v>381860</v>
          </cell>
          <cell r="K80">
            <v>0</v>
          </cell>
          <cell r="L80">
            <v>381860</v>
          </cell>
          <cell r="M80">
            <v>0</v>
          </cell>
          <cell r="N80">
            <v>0</v>
          </cell>
        </row>
        <row r="81">
          <cell r="A81" t="str">
            <v>1321200504</v>
          </cell>
          <cell r="B81" t="str">
            <v>PRIMA DE NAVIDAD</v>
          </cell>
          <cell r="C81">
            <v>1888539.49</v>
          </cell>
          <cell r="D81">
            <v>0</v>
          </cell>
          <cell r="E81">
            <v>0</v>
          </cell>
          <cell r="F81">
            <v>0</v>
          </cell>
          <cell r="G81">
            <v>27299.51</v>
          </cell>
          <cell r="H81">
            <v>1915839</v>
          </cell>
          <cell r="I81">
            <v>0</v>
          </cell>
          <cell r="J81">
            <v>1915839</v>
          </cell>
          <cell r="K81">
            <v>0</v>
          </cell>
          <cell r="L81">
            <v>1915839</v>
          </cell>
          <cell r="M81">
            <v>0</v>
          </cell>
          <cell r="N81">
            <v>0</v>
          </cell>
        </row>
        <row r="82">
          <cell r="A82" t="str">
            <v>1321200506</v>
          </cell>
          <cell r="B82" t="str">
            <v>VACACIONES</v>
          </cell>
          <cell r="C82">
            <v>426500</v>
          </cell>
          <cell r="D82">
            <v>0</v>
          </cell>
          <cell r="E82">
            <v>0</v>
          </cell>
          <cell r="F82">
            <v>0</v>
          </cell>
          <cell r="G82">
            <v>260830</v>
          </cell>
          <cell r="H82">
            <v>687330</v>
          </cell>
          <cell r="I82">
            <v>0</v>
          </cell>
          <cell r="J82">
            <v>687330</v>
          </cell>
          <cell r="K82">
            <v>0</v>
          </cell>
          <cell r="L82">
            <v>687330</v>
          </cell>
          <cell r="M82">
            <v>0</v>
          </cell>
          <cell r="N82">
            <v>0</v>
          </cell>
        </row>
        <row r="83">
          <cell r="A83" t="str">
            <v>1321200507</v>
          </cell>
          <cell r="B83" t="str">
            <v>INDEMNIZACION DE VACACIONES</v>
          </cell>
          <cell r="C83">
            <v>479523.86</v>
          </cell>
          <cell r="D83">
            <v>0</v>
          </cell>
          <cell r="E83">
            <v>0</v>
          </cell>
          <cell r="F83">
            <v>260830</v>
          </cell>
          <cell r="G83">
            <v>0</v>
          </cell>
          <cell r="H83">
            <v>218693.86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218693.86</v>
          </cell>
          <cell r="N83">
            <v>0</v>
          </cell>
        </row>
        <row r="85">
          <cell r="A85" t="str">
            <v>1321200600</v>
          </cell>
          <cell r="B85" t="str">
            <v>SECRETARIA DE PLANEACION</v>
          </cell>
          <cell r="C85">
            <v>25056650.050000001</v>
          </cell>
          <cell r="D85">
            <v>0</v>
          </cell>
          <cell r="E85">
            <v>0</v>
          </cell>
          <cell r="F85">
            <v>62766.46</v>
          </cell>
          <cell r="G85">
            <v>1608978.45</v>
          </cell>
          <cell r="H85">
            <v>26602862.039999999</v>
          </cell>
          <cell r="I85">
            <v>1571869.15</v>
          </cell>
          <cell r="J85">
            <v>26230735.760000002</v>
          </cell>
          <cell r="K85">
            <v>1571869.15</v>
          </cell>
          <cell r="L85">
            <v>26230735.760000002</v>
          </cell>
          <cell r="M85">
            <v>372126.28</v>
          </cell>
          <cell r="N85">
            <v>0</v>
          </cell>
        </row>
        <row r="86">
          <cell r="A86" t="str">
            <v>1321200601</v>
          </cell>
          <cell r="B86" t="str">
            <v>SUELDO PERSONAL DE NOMINA</v>
          </cell>
          <cell r="C86">
            <v>19547070.609999999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19547070.609999999</v>
          </cell>
          <cell r="I86">
            <v>0</v>
          </cell>
          <cell r="J86">
            <v>19547070.609999999</v>
          </cell>
          <cell r="K86">
            <v>0</v>
          </cell>
          <cell r="L86">
            <v>19547070.609999999</v>
          </cell>
          <cell r="M86">
            <v>0</v>
          </cell>
          <cell r="N86">
            <v>0</v>
          </cell>
        </row>
        <row r="87">
          <cell r="A87" t="str">
            <v>1321200602</v>
          </cell>
          <cell r="B87" t="str">
            <v>PRIMA DE VACACIONES</v>
          </cell>
          <cell r="C87">
            <v>1222035.28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1222035.28</v>
          </cell>
          <cell r="I87">
            <v>5998</v>
          </cell>
          <cell r="J87">
            <v>1045611</v>
          </cell>
          <cell r="K87">
            <v>5998</v>
          </cell>
          <cell r="L87">
            <v>1045611</v>
          </cell>
          <cell r="M87">
            <v>176424.28</v>
          </cell>
          <cell r="N87">
            <v>0</v>
          </cell>
        </row>
        <row r="88">
          <cell r="A88" t="str">
            <v>1321200603</v>
          </cell>
          <cell r="B88" t="str">
            <v>PRIMA DE SERVICIOS</v>
          </cell>
          <cell r="C88">
            <v>1357435.46</v>
          </cell>
          <cell r="D88">
            <v>0</v>
          </cell>
          <cell r="E88">
            <v>0</v>
          </cell>
          <cell r="F88">
            <v>62766.46</v>
          </cell>
          <cell r="G88">
            <v>0</v>
          </cell>
          <cell r="H88">
            <v>1294669</v>
          </cell>
          <cell r="I88">
            <v>0</v>
          </cell>
          <cell r="J88">
            <v>1294669</v>
          </cell>
          <cell r="K88">
            <v>0</v>
          </cell>
          <cell r="L88">
            <v>1294669</v>
          </cell>
          <cell r="M88">
            <v>0</v>
          </cell>
          <cell r="N88">
            <v>0</v>
          </cell>
        </row>
        <row r="89">
          <cell r="A89" t="str">
            <v>1321200604</v>
          </cell>
          <cell r="B89" t="str">
            <v>PRIMA DE NAVIDAD</v>
          </cell>
          <cell r="C89">
            <v>1628922.55</v>
          </cell>
          <cell r="D89">
            <v>0</v>
          </cell>
          <cell r="E89">
            <v>0</v>
          </cell>
          <cell r="F89">
            <v>0</v>
          </cell>
          <cell r="G89">
            <v>108978.45</v>
          </cell>
          <cell r="H89">
            <v>1737901</v>
          </cell>
          <cell r="I89">
            <v>0</v>
          </cell>
          <cell r="J89">
            <v>1737901</v>
          </cell>
          <cell r="K89">
            <v>0</v>
          </cell>
          <cell r="L89">
            <v>1737901</v>
          </cell>
          <cell r="M89">
            <v>0</v>
          </cell>
          <cell r="N89">
            <v>0</v>
          </cell>
        </row>
        <row r="90">
          <cell r="A90" t="str">
            <v>1321200605</v>
          </cell>
          <cell r="B90" t="str">
            <v>VACACIONES (2 ACUMULADAS)</v>
          </cell>
          <cell r="C90">
            <v>815148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815148</v>
          </cell>
          <cell r="I90">
            <v>619446</v>
          </cell>
          <cell r="J90">
            <v>619446</v>
          </cell>
          <cell r="K90">
            <v>619446</v>
          </cell>
          <cell r="L90">
            <v>619446</v>
          </cell>
          <cell r="M90">
            <v>195702</v>
          </cell>
          <cell r="N90">
            <v>0</v>
          </cell>
        </row>
        <row r="91">
          <cell r="A91" t="str">
            <v>1321200606</v>
          </cell>
          <cell r="B91" t="str">
            <v>INDEMNIZACION DE VACACIONES</v>
          </cell>
          <cell r="C91">
            <v>486038.15</v>
          </cell>
          <cell r="D91">
            <v>0</v>
          </cell>
          <cell r="E91">
            <v>0</v>
          </cell>
          <cell r="F91">
            <v>0</v>
          </cell>
          <cell r="G91">
            <v>1500000</v>
          </cell>
          <cell r="H91">
            <v>1986038.15</v>
          </cell>
          <cell r="I91">
            <v>946425.15</v>
          </cell>
          <cell r="J91">
            <v>1986038.15</v>
          </cell>
          <cell r="K91">
            <v>946425.15</v>
          </cell>
          <cell r="L91">
            <v>1986038.15</v>
          </cell>
          <cell r="M91">
            <v>0</v>
          </cell>
          <cell r="N91">
            <v>0</v>
          </cell>
        </row>
        <row r="93">
          <cell r="A93" t="str">
            <v>1321200700</v>
          </cell>
          <cell r="B93" t="str">
            <v>JUBILADOS</v>
          </cell>
          <cell r="C93">
            <v>24235161.300000001</v>
          </cell>
          <cell r="D93">
            <v>0</v>
          </cell>
          <cell r="E93">
            <v>0</v>
          </cell>
          <cell r="F93">
            <v>0</v>
          </cell>
          <cell r="G93">
            <v>144270.04999999999</v>
          </cell>
          <cell r="H93">
            <v>24379431.350000001</v>
          </cell>
          <cell r="I93">
            <v>1730950.4</v>
          </cell>
          <cell r="J93">
            <v>24379431.350000001</v>
          </cell>
          <cell r="K93">
            <v>1730950.4</v>
          </cell>
          <cell r="L93">
            <v>24379431.350000001</v>
          </cell>
          <cell r="M93">
            <v>0</v>
          </cell>
          <cell r="N93">
            <v>0</v>
          </cell>
        </row>
        <row r="94">
          <cell r="A94" t="str">
            <v>1321200701</v>
          </cell>
          <cell r="B94" t="str">
            <v>SUELDO PERSONAL NOMINA</v>
          </cell>
          <cell r="C94">
            <v>20772995.399999999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20772995.399999999</v>
          </cell>
          <cell r="I94">
            <v>1730950.4</v>
          </cell>
          <cell r="J94">
            <v>20772995.399999999</v>
          </cell>
          <cell r="K94">
            <v>1730950.4</v>
          </cell>
          <cell r="L94">
            <v>20772995.399999999</v>
          </cell>
          <cell r="M94">
            <v>0</v>
          </cell>
          <cell r="N94">
            <v>0</v>
          </cell>
        </row>
        <row r="95">
          <cell r="A95" t="str">
            <v>1321200702</v>
          </cell>
          <cell r="B95" t="str">
            <v>MESADAS ADICCIONALES JUNIO</v>
          </cell>
          <cell r="C95">
            <v>1731082.95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1731082.95</v>
          </cell>
          <cell r="I95">
            <v>0</v>
          </cell>
          <cell r="J95">
            <v>1731082.95</v>
          </cell>
          <cell r="K95">
            <v>0</v>
          </cell>
          <cell r="L95">
            <v>1731082.95</v>
          </cell>
          <cell r="M95">
            <v>0</v>
          </cell>
          <cell r="N95">
            <v>0</v>
          </cell>
        </row>
        <row r="96">
          <cell r="A96" t="str">
            <v>1321200704</v>
          </cell>
          <cell r="B96" t="str">
            <v>PRIMA DE NAVIDAD</v>
          </cell>
          <cell r="C96">
            <v>1731082.95</v>
          </cell>
          <cell r="D96">
            <v>0</v>
          </cell>
          <cell r="E96">
            <v>0</v>
          </cell>
          <cell r="F96">
            <v>0</v>
          </cell>
          <cell r="G96">
            <v>144270.04999999999</v>
          </cell>
          <cell r="H96">
            <v>1875353</v>
          </cell>
          <cell r="I96">
            <v>0</v>
          </cell>
          <cell r="J96">
            <v>1875353</v>
          </cell>
          <cell r="K96">
            <v>0</v>
          </cell>
          <cell r="L96">
            <v>1875353</v>
          </cell>
          <cell r="M96">
            <v>0</v>
          </cell>
          <cell r="N96">
            <v>0</v>
          </cell>
        </row>
        <row r="98">
          <cell r="A98" t="str">
            <v>1321200800</v>
          </cell>
          <cell r="B98" t="str">
            <v>CONTRIBUCIONES INHERENTES A LA NOMINA</v>
          </cell>
          <cell r="C98">
            <v>44682228.960000001</v>
          </cell>
          <cell r="D98">
            <v>0</v>
          </cell>
          <cell r="E98">
            <v>0</v>
          </cell>
          <cell r="F98">
            <v>0</v>
          </cell>
          <cell r="G98">
            <v>1804465.3</v>
          </cell>
          <cell r="H98">
            <v>46486694.259999998</v>
          </cell>
          <cell r="I98">
            <v>6787623</v>
          </cell>
          <cell r="J98">
            <v>34958899</v>
          </cell>
          <cell r="K98">
            <v>6787623</v>
          </cell>
          <cell r="L98">
            <v>34390502</v>
          </cell>
          <cell r="M98">
            <v>11527795.26</v>
          </cell>
          <cell r="N98">
            <v>568397</v>
          </cell>
        </row>
        <row r="99">
          <cell r="A99" t="str">
            <v>1321200801</v>
          </cell>
          <cell r="B99" t="str">
            <v>CESANTIAS</v>
          </cell>
          <cell r="C99">
            <v>11192307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11192307</v>
          </cell>
          <cell r="I99">
            <v>1176503</v>
          </cell>
          <cell r="J99">
            <v>8293155</v>
          </cell>
          <cell r="K99">
            <v>1176503</v>
          </cell>
          <cell r="L99">
            <v>8293155</v>
          </cell>
          <cell r="M99">
            <v>2899152</v>
          </cell>
          <cell r="N99">
            <v>0</v>
          </cell>
        </row>
        <row r="100">
          <cell r="A100" t="str">
            <v>1321200802</v>
          </cell>
          <cell r="B100" t="str">
            <v>APORTES PATRONALES PENSION Y SALUD 18.125%</v>
          </cell>
          <cell r="C100">
            <v>21539979.66</v>
          </cell>
          <cell r="D100">
            <v>0</v>
          </cell>
          <cell r="E100">
            <v>0</v>
          </cell>
          <cell r="F100">
            <v>0</v>
          </cell>
          <cell r="G100">
            <v>1067219.55</v>
          </cell>
          <cell r="H100">
            <v>22607199.210000001</v>
          </cell>
          <cell r="I100">
            <v>2314400</v>
          </cell>
          <cell r="J100">
            <v>15705772</v>
          </cell>
          <cell r="K100">
            <v>2314400</v>
          </cell>
          <cell r="L100">
            <v>15137375</v>
          </cell>
          <cell r="M100">
            <v>6901427.21</v>
          </cell>
          <cell r="N100">
            <v>568397</v>
          </cell>
        </row>
        <row r="101">
          <cell r="A101" t="str">
            <v>1321200803</v>
          </cell>
          <cell r="B101" t="str">
            <v>APORTES PARAFISCALES 9%</v>
          </cell>
          <cell r="C101">
            <v>11301723.289999999</v>
          </cell>
          <cell r="D101">
            <v>0</v>
          </cell>
          <cell r="E101">
            <v>0</v>
          </cell>
          <cell r="F101">
            <v>0</v>
          </cell>
          <cell r="G101">
            <v>529946.55000000005</v>
          </cell>
          <cell r="H101">
            <v>11831669.84</v>
          </cell>
          <cell r="I101">
            <v>3244113</v>
          </cell>
          <cell r="J101">
            <v>10567167</v>
          </cell>
          <cell r="K101">
            <v>3244113</v>
          </cell>
          <cell r="L101">
            <v>10567167</v>
          </cell>
          <cell r="M101">
            <v>1264502.8400000001</v>
          </cell>
          <cell r="N101">
            <v>0</v>
          </cell>
        </row>
        <row r="102">
          <cell r="A102" t="str">
            <v>1321200804</v>
          </cell>
          <cell r="B102" t="str">
            <v>RIEZGOS PROFESIONALES 0.522%</v>
          </cell>
          <cell r="C102">
            <v>486504.01</v>
          </cell>
          <cell r="D102">
            <v>0</v>
          </cell>
          <cell r="E102">
            <v>0</v>
          </cell>
          <cell r="F102">
            <v>0</v>
          </cell>
          <cell r="G102">
            <v>30933.9</v>
          </cell>
          <cell r="H102">
            <v>517437.91</v>
          </cell>
          <cell r="I102">
            <v>52607</v>
          </cell>
          <cell r="J102">
            <v>392805</v>
          </cell>
          <cell r="K102">
            <v>52607</v>
          </cell>
          <cell r="L102">
            <v>392805</v>
          </cell>
          <cell r="M102">
            <v>124632.91</v>
          </cell>
          <cell r="N102">
            <v>0</v>
          </cell>
        </row>
        <row r="103">
          <cell r="A103" t="str">
            <v>1321200805</v>
          </cell>
          <cell r="B103" t="str">
            <v>TRANSFERENCIAS 7% (APUESTAS Y JUEGOS)COLCIENCIAS</v>
          </cell>
          <cell r="C103">
            <v>161715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161715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161715</v>
          </cell>
          <cell r="N103">
            <v>0</v>
          </cell>
        </row>
        <row r="105">
          <cell r="A105" t="str">
            <v>1321200900</v>
          </cell>
          <cell r="B105" t="str">
            <v>DIRECCION LOCAL DE SALUD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6702959.25</v>
          </cell>
          <cell r="H105">
            <v>6702959.25</v>
          </cell>
          <cell r="I105">
            <v>965833</v>
          </cell>
          <cell r="J105">
            <v>5399547</v>
          </cell>
          <cell r="K105">
            <v>965833</v>
          </cell>
          <cell r="L105">
            <v>5399547</v>
          </cell>
          <cell r="M105">
            <v>1303412.25</v>
          </cell>
          <cell r="N105">
            <v>0</v>
          </cell>
        </row>
        <row r="106">
          <cell r="A106" t="str">
            <v>1321200901</v>
          </cell>
          <cell r="B106" t="str">
            <v>SUELDO PERSONAL NOMINA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5428572</v>
          </cell>
          <cell r="H106">
            <v>5428572</v>
          </cell>
          <cell r="I106">
            <v>965833</v>
          </cell>
          <cell r="J106">
            <v>4916630</v>
          </cell>
          <cell r="K106">
            <v>965833</v>
          </cell>
          <cell r="L106">
            <v>4916630</v>
          </cell>
          <cell r="M106">
            <v>511942</v>
          </cell>
          <cell r="N106">
            <v>0</v>
          </cell>
        </row>
        <row r="107">
          <cell r="A107" t="str">
            <v>1321200902</v>
          </cell>
          <cell r="B107" t="str">
            <v>PRIMA DE VACACIONES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339220.25</v>
          </cell>
          <cell r="H107">
            <v>339220.25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339220.25</v>
          </cell>
          <cell r="N107">
            <v>0</v>
          </cell>
        </row>
        <row r="108">
          <cell r="A108" t="str">
            <v>1321200904</v>
          </cell>
          <cell r="B108" t="str">
            <v>PRIMA DE NAVIDAD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482917</v>
          </cell>
          <cell r="H108">
            <v>482917</v>
          </cell>
          <cell r="I108">
            <v>0</v>
          </cell>
          <cell r="J108">
            <v>482917</v>
          </cell>
          <cell r="K108">
            <v>0</v>
          </cell>
          <cell r="L108">
            <v>482917</v>
          </cell>
          <cell r="M108">
            <v>0</v>
          </cell>
          <cell r="N108">
            <v>0</v>
          </cell>
        </row>
        <row r="109">
          <cell r="A109" t="str">
            <v>1321200905</v>
          </cell>
          <cell r="B109" t="str">
            <v>VACACIONES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452250</v>
          </cell>
          <cell r="H109">
            <v>452250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452250</v>
          </cell>
          <cell r="N109">
            <v>0</v>
          </cell>
        </row>
        <row r="110">
          <cell r="A110" t="str">
            <v>1321200806</v>
          </cell>
          <cell r="B110" t="str">
            <v>APORTES PATRONALES PENSION Y SALUD AUMENTO SALARIAL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115622.36</v>
          </cell>
          <cell r="H110">
            <v>115622.36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115622.36</v>
          </cell>
          <cell r="N110">
            <v>0</v>
          </cell>
        </row>
        <row r="111">
          <cell r="A111" t="str">
            <v>1321200807</v>
          </cell>
          <cell r="B111" t="str">
            <v>APORTES PARAFISCALES (AJUSTE SALARIAL)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57412.46</v>
          </cell>
          <cell r="H111">
            <v>57412.46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57412.46</v>
          </cell>
          <cell r="N111">
            <v>0</v>
          </cell>
        </row>
        <row r="112">
          <cell r="A112" t="str">
            <v>1321200808</v>
          </cell>
          <cell r="B112" t="str">
            <v>RIEZGOS PROFESIONALES (AJUSTE SALARIAL)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3330.48</v>
          </cell>
          <cell r="H112">
            <v>3330.48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3330.48</v>
          </cell>
          <cell r="N112">
            <v>0</v>
          </cell>
        </row>
        <row r="114">
          <cell r="A114" t="str">
            <v>1321220000</v>
          </cell>
          <cell r="B114" t="str">
            <v>SERVICIO A LA DEUDA FUNCIONAMIENTO</v>
          </cell>
          <cell r="C114">
            <v>57612008.829999998</v>
          </cell>
          <cell r="D114">
            <v>0</v>
          </cell>
          <cell r="E114">
            <v>0</v>
          </cell>
          <cell r="F114">
            <v>64385887.18</v>
          </cell>
          <cell r="G114">
            <v>24319845.710000001</v>
          </cell>
          <cell r="H114">
            <v>17545967.359999999</v>
          </cell>
          <cell r="I114">
            <v>378599</v>
          </cell>
          <cell r="J114">
            <v>16963138.190000001</v>
          </cell>
          <cell r="K114">
            <v>378599</v>
          </cell>
          <cell r="L114">
            <v>16963138.190000001</v>
          </cell>
          <cell r="M114">
            <v>582829.17000000004</v>
          </cell>
          <cell r="N114">
            <v>0</v>
          </cell>
        </row>
        <row r="116">
          <cell r="A116" t="str">
            <v>1321221100</v>
          </cell>
          <cell r="B116" t="str">
            <v>DEFICIT FISCAL</v>
          </cell>
          <cell r="C116">
            <v>38372176.829999998</v>
          </cell>
          <cell r="D116">
            <v>0</v>
          </cell>
          <cell r="E116">
            <v>0</v>
          </cell>
          <cell r="F116">
            <v>56160055.18</v>
          </cell>
          <cell r="G116">
            <v>20815092.52</v>
          </cell>
          <cell r="H116">
            <v>3027214.17</v>
          </cell>
          <cell r="I116">
            <v>378599</v>
          </cell>
          <cell r="J116">
            <v>2444385</v>
          </cell>
          <cell r="K116">
            <v>378599</v>
          </cell>
          <cell r="L116">
            <v>2444385</v>
          </cell>
          <cell r="M116">
            <v>582829.17000000004</v>
          </cell>
          <cell r="N116">
            <v>0</v>
          </cell>
        </row>
        <row r="117">
          <cell r="A117" t="str">
            <v>1321221101</v>
          </cell>
          <cell r="B117" t="str">
            <v>Sueldo personal nomina Diciembre</v>
          </cell>
          <cell r="C117">
            <v>10791569</v>
          </cell>
          <cell r="D117">
            <v>0</v>
          </cell>
          <cell r="E117">
            <v>0</v>
          </cell>
          <cell r="F117">
            <v>10791569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1321221102</v>
          </cell>
          <cell r="B118" t="str">
            <v>Prima de navidad personal de nomina</v>
          </cell>
          <cell r="C118">
            <v>10791569</v>
          </cell>
          <cell r="D118">
            <v>0</v>
          </cell>
          <cell r="E118">
            <v>0</v>
          </cell>
          <cell r="F118">
            <v>10791569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1321221103</v>
          </cell>
          <cell r="B119" t="str">
            <v>Pago de vacaciones causadas</v>
          </cell>
          <cell r="C119">
            <v>1729836.67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1729836.67</v>
          </cell>
          <cell r="I119">
            <v>0</v>
          </cell>
          <cell r="J119">
            <v>1206763</v>
          </cell>
          <cell r="K119">
            <v>0</v>
          </cell>
          <cell r="L119">
            <v>1206763</v>
          </cell>
          <cell r="M119">
            <v>523073.67</v>
          </cell>
          <cell r="N119">
            <v>0</v>
          </cell>
        </row>
        <row r="120">
          <cell r="A120" t="str">
            <v>1321221104</v>
          </cell>
          <cell r="B120" t="str">
            <v>Prima de vacaciones Causadas</v>
          </cell>
          <cell r="C120">
            <v>1297377.5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1297377.5</v>
          </cell>
          <cell r="I120">
            <v>378599</v>
          </cell>
          <cell r="J120">
            <v>1237622</v>
          </cell>
          <cell r="K120">
            <v>378599</v>
          </cell>
          <cell r="L120">
            <v>1237622</v>
          </cell>
          <cell r="M120">
            <v>59755.5</v>
          </cell>
          <cell r="N120">
            <v>0</v>
          </cell>
        </row>
        <row r="121">
          <cell r="A121" t="str">
            <v>1321221105</v>
          </cell>
          <cell r="B121" t="str">
            <v>Personeria Municipal, Prima de navidad</v>
          </cell>
          <cell r="C121">
            <v>1299882.33</v>
          </cell>
          <cell r="D121">
            <v>0</v>
          </cell>
          <cell r="E121">
            <v>0</v>
          </cell>
          <cell r="F121">
            <v>1299882.33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 t="str">
            <v>1321221106</v>
          </cell>
          <cell r="B122" t="str">
            <v>Personeria Municipal, Sueldo mes de Diciembre</v>
          </cell>
          <cell r="C122">
            <v>2788157</v>
          </cell>
          <cell r="D122">
            <v>0</v>
          </cell>
          <cell r="E122">
            <v>0</v>
          </cell>
          <cell r="F122">
            <v>2788157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4">
          <cell r="A124" t="str">
            <v>1321221107</v>
          </cell>
          <cell r="B124" t="str">
            <v>DEFICIT FISCAL ALCALDIA MUNICIPAL</v>
          </cell>
          <cell r="C124">
            <v>0</v>
          </cell>
          <cell r="D124">
            <v>0</v>
          </cell>
          <cell r="E124">
            <v>0</v>
          </cell>
          <cell r="F124">
            <v>20815092.52</v>
          </cell>
          <cell r="G124">
            <v>20815092.52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1321221200</v>
          </cell>
          <cell r="B125" t="str">
            <v>CONCEJO MUNICIPAL</v>
          </cell>
          <cell r="C125">
            <v>9673785.3300000001</v>
          </cell>
          <cell r="D125">
            <v>0</v>
          </cell>
          <cell r="E125">
            <v>0</v>
          </cell>
          <cell r="F125">
            <v>9673785.3300000001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 t="str">
            <v>1321221201</v>
          </cell>
          <cell r="B126" t="str">
            <v>Sesiones mes de Noviembre (10 sesiones)</v>
          </cell>
          <cell r="C126">
            <v>9673785.3300000001</v>
          </cell>
          <cell r="D126">
            <v>0</v>
          </cell>
          <cell r="E126">
            <v>0</v>
          </cell>
          <cell r="F126">
            <v>9673785.3300000001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 t="str">
            <v>1321221601</v>
          </cell>
          <cell r="B127" t="str">
            <v>Pasivocol-Getulio Becerra Ortega</v>
          </cell>
          <cell r="C127">
            <v>11014000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11014000</v>
          </cell>
          <cell r="I127">
            <v>0</v>
          </cell>
          <cell r="J127">
            <v>11014000</v>
          </cell>
          <cell r="K127">
            <v>0</v>
          </cell>
          <cell r="L127">
            <v>11014000</v>
          </cell>
          <cell r="M127">
            <v>0</v>
          </cell>
          <cell r="N127">
            <v>0</v>
          </cell>
        </row>
        <row r="128">
          <cell r="A128" t="str">
            <v>1321221602</v>
          </cell>
          <cell r="B128" t="str">
            <v>Comision Fiduciaria Popular Rentar</v>
          </cell>
          <cell r="C128">
            <v>434349</v>
          </cell>
          <cell r="D128">
            <v>0</v>
          </cell>
          <cell r="E128">
            <v>0</v>
          </cell>
          <cell r="F128">
            <v>434349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1321221603</v>
          </cell>
          <cell r="B129" t="str">
            <v>Federacion Colombiana de Municipio 1998-2001</v>
          </cell>
          <cell r="C129">
            <v>7064767</v>
          </cell>
          <cell r="D129">
            <v>0</v>
          </cell>
          <cell r="E129">
            <v>0</v>
          </cell>
          <cell r="F129">
            <v>7064767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1321221604</v>
          </cell>
          <cell r="B130" t="str">
            <v>Intereses por cancelar a destiempo I.S.S.(1996-2000)</v>
          </cell>
          <cell r="C130">
            <v>431011</v>
          </cell>
          <cell r="D130">
            <v>0</v>
          </cell>
          <cell r="E130">
            <v>0</v>
          </cell>
          <cell r="F130">
            <v>431011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1321221605</v>
          </cell>
          <cell r="B131" t="str">
            <v>Papeleria sus servicios Maritza Fernandez 2001</v>
          </cell>
          <cell r="C131">
            <v>86300</v>
          </cell>
          <cell r="D131">
            <v>0</v>
          </cell>
          <cell r="E131">
            <v>0</v>
          </cell>
          <cell r="F131">
            <v>86300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1321221606</v>
          </cell>
          <cell r="B132" t="str">
            <v>Polizas la previsora 10152658-59 1999</v>
          </cell>
          <cell r="C132">
            <v>209405</v>
          </cell>
          <cell r="D132">
            <v>0</v>
          </cell>
          <cell r="E132">
            <v>0</v>
          </cell>
          <cell r="F132">
            <v>209405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 t="str">
            <v>1321221607</v>
          </cell>
          <cell r="B133" t="str">
            <v>CONSTRUCCION BIBLIOTECA LIDIA SHIRLEY PARRA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3504753.19</v>
          </cell>
          <cell r="H133">
            <v>3504753.19</v>
          </cell>
          <cell r="I133">
            <v>0</v>
          </cell>
          <cell r="J133">
            <v>3504753.19</v>
          </cell>
          <cell r="K133">
            <v>0</v>
          </cell>
          <cell r="L133">
            <v>3504753.19</v>
          </cell>
          <cell r="M133">
            <v>0</v>
          </cell>
          <cell r="N133">
            <v>0</v>
          </cell>
        </row>
        <row r="134">
          <cell r="B134" t="str">
            <v>DISPONIBILIDAD 22177 DEL 2002</v>
          </cell>
        </row>
        <row r="136">
          <cell r="A136" t="str">
            <v>1321301000</v>
          </cell>
          <cell r="B136" t="str">
            <v>PERSONERIA MUNICIPAL</v>
          </cell>
          <cell r="C136">
            <v>49131000</v>
          </cell>
          <cell r="D136">
            <v>0</v>
          </cell>
          <cell r="E136">
            <v>669000</v>
          </cell>
          <cell r="F136">
            <v>0</v>
          </cell>
          <cell r="G136">
            <v>0</v>
          </cell>
          <cell r="H136">
            <v>49800000</v>
          </cell>
          <cell r="I136">
            <v>3272734</v>
          </cell>
          <cell r="J136">
            <v>49800000</v>
          </cell>
          <cell r="K136">
            <v>3272734</v>
          </cell>
          <cell r="L136">
            <v>49800000</v>
          </cell>
          <cell r="M136">
            <v>0</v>
          </cell>
          <cell r="N136">
            <v>0</v>
          </cell>
        </row>
        <row r="137">
          <cell r="A137" t="str">
            <v>1321302000</v>
          </cell>
          <cell r="B137" t="str">
            <v>DEFICIT PERSONERIA MUNICIPAL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4088039.33</v>
          </cell>
          <cell r="H137">
            <v>4088039.33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4088039.33</v>
          </cell>
          <cell r="N137">
            <v>0</v>
          </cell>
        </row>
        <row r="139">
          <cell r="A139" t="str">
            <v>1322000000</v>
          </cell>
          <cell r="B139" t="str">
            <v>SERVICIO DE DEUDA PUBLICA- INVERSION</v>
          </cell>
          <cell r="C139">
            <v>98514506</v>
          </cell>
          <cell r="D139">
            <v>0</v>
          </cell>
          <cell r="E139">
            <v>0</v>
          </cell>
          <cell r="F139">
            <v>75200000</v>
          </cell>
          <cell r="G139">
            <v>460209748</v>
          </cell>
          <cell r="H139">
            <v>483524254</v>
          </cell>
          <cell r="I139">
            <v>0</v>
          </cell>
          <cell r="J139">
            <v>51519734</v>
          </cell>
          <cell r="K139">
            <v>0</v>
          </cell>
          <cell r="L139">
            <v>51519734</v>
          </cell>
          <cell r="M139">
            <v>432004520</v>
          </cell>
          <cell r="N139">
            <v>0</v>
          </cell>
        </row>
        <row r="140">
          <cell r="A140" t="str">
            <v>1322002100</v>
          </cell>
          <cell r="B140" t="str">
            <v>DEUDA CENTRALES ELECTRICAS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431940014</v>
          </cell>
          <cell r="H140">
            <v>431940014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431940014</v>
          </cell>
          <cell r="N140">
            <v>0</v>
          </cell>
        </row>
        <row r="141">
          <cell r="A141" t="str">
            <v>1322005500</v>
          </cell>
          <cell r="B141" t="str">
            <v>Deuda publica sector agua potable y saneamiento basico(</v>
          </cell>
          <cell r="C141">
            <v>97200000</v>
          </cell>
          <cell r="D141">
            <v>0</v>
          </cell>
          <cell r="E141">
            <v>0</v>
          </cell>
          <cell r="F141">
            <v>75200000</v>
          </cell>
          <cell r="G141">
            <v>21269734</v>
          </cell>
          <cell r="H141">
            <v>43269734</v>
          </cell>
          <cell r="I141">
            <v>0</v>
          </cell>
          <cell r="J141">
            <v>43269734</v>
          </cell>
          <cell r="K141">
            <v>0</v>
          </cell>
          <cell r="L141">
            <v>43269734</v>
          </cell>
          <cell r="M141">
            <v>0</v>
          </cell>
          <cell r="N141">
            <v>0</v>
          </cell>
        </row>
        <row r="142">
          <cell r="B142" t="str">
            <v>Mejoramiento del acueducto Municipal) Banco Popular</v>
          </cell>
        </row>
        <row r="143">
          <cell r="A143" t="str">
            <v>1322005900</v>
          </cell>
          <cell r="B143" t="str">
            <v>CONVENIO 062-2002 CORPONOR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7000000</v>
          </cell>
          <cell r="H143">
            <v>7000000</v>
          </cell>
          <cell r="I143">
            <v>0</v>
          </cell>
          <cell r="J143">
            <v>7000000</v>
          </cell>
          <cell r="K143">
            <v>0</v>
          </cell>
          <cell r="L143">
            <v>7000000</v>
          </cell>
          <cell r="M143">
            <v>0</v>
          </cell>
          <cell r="N143">
            <v>0</v>
          </cell>
        </row>
        <row r="144">
          <cell r="A144" t="str">
            <v>1322006300</v>
          </cell>
          <cell r="B144" t="str">
            <v>Fondo FIS vigencia 1998 convenio 1841 adecuacion y dota</v>
          </cell>
          <cell r="C144">
            <v>64506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64506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64506</v>
          </cell>
          <cell r="N144">
            <v>0</v>
          </cell>
        </row>
        <row r="145">
          <cell r="B145" t="str">
            <v>cion de la granja oficial (otros sectores de inversion)</v>
          </cell>
        </row>
        <row r="146">
          <cell r="A146" t="str">
            <v>1322006301</v>
          </cell>
          <cell r="B146" t="str">
            <v>CONVENIO FONDO FIS 1841</v>
          </cell>
          <cell r="C146">
            <v>64506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64506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64506</v>
          </cell>
          <cell r="N146">
            <v>0</v>
          </cell>
        </row>
        <row r="147">
          <cell r="A147" t="str">
            <v>1322007800</v>
          </cell>
          <cell r="B147" t="str">
            <v>Asesoria y capacitacion -Diciembre 2000 Contador(otros</v>
          </cell>
          <cell r="C147">
            <v>1250000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1250000</v>
          </cell>
          <cell r="I147">
            <v>0</v>
          </cell>
          <cell r="J147">
            <v>1250000</v>
          </cell>
          <cell r="K147">
            <v>0</v>
          </cell>
          <cell r="L147">
            <v>1250000</v>
          </cell>
          <cell r="M147">
            <v>0</v>
          </cell>
          <cell r="N147">
            <v>0</v>
          </cell>
        </row>
        <row r="148">
          <cell r="B148" t="str">
            <v>sectores de inversion)</v>
          </cell>
        </row>
        <row r="149">
          <cell r="A149" t="str">
            <v>1322007801</v>
          </cell>
          <cell r="B149" t="str">
            <v>ASESORIA Y CAPACITACION (DIC 2000 CONTADOR)</v>
          </cell>
          <cell r="C149">
            <v>1250000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1250000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1250000</v>
          </cell>
          <cell r="N149">
            <v>0</v>
          </cell>
        </row>
        <row r="151">
          <cell r="A151" t="str">
            <v>1323000000</v>
          </cell>
          <cell r="B151" t="str">
            <v>GASTOS DE INVERSION</v>
          </cell>
          <cell r="C151">
            <v>2576514577.9400001</v>
          </cell>
          <cell r="D151">
            <v>0</v>
          </cell>
          <cell r="E151">
            <v>0</v>
          </cell>
          <cell r="F151">
            <v>1174977500.45</v>
          </cell>
          <cell r="G151">
            <v>2364211978.5300002</v>
          </cell>
          <cell r="H151">
            <v>3765749056.02</v>
          </cell>
          <cell r="I151">
            <v>266180233.34999999</v>
          </cell>
          <cell r="J151">
            <v>3672117863.98</v>
          </cell>
          <cell r="K151">
            <v>800263341.66999996</v>
          </cell>
          <cell r="L151">
            <v>3035522635.6399999</v>
          </cell>
          <cell r="M151">
            <v>93631192.040000007</v>
          </cell>
          <cell r="N151">
            <v>636595228.34000003</v>
          </cell>
        </row>
        <row r="152">
          <cell r="A152" t="str">
            <v>132301000000</v>
          </cell>
          <cell r="B152" t="str">
            <v>INVERSION FORZOSA LEY 715 S.G.P.</v>
          </cell>
          <cell r="C152">
            <v>2376179913.8899999</v>
          </cell>
          <cell r="D152">
            <v>0</v>
          </cell>
          <cell r="E152">
            <v>0</v>
          </cell>
          <cell r="F152">
            <v>1080433029.99</v>
          </cell>
          <cell r="G152">
            <v>2084652885.8800001</v>
          </cell>
          <cell r="H152">
            <v>3380399769.7800002</v>
          </cell>
          <cell r="I152">
            <v>153448437.81999999</v>
          </cell>
          <cell r="J152">
            <v>3326392351.9899998</v>
          </cell>
          <cell r="K152">
            <v>618956321.57000005</v>
          </cell>
          <cell r="L152">
            <v>2747079328.6900001</v>
          </cell>
          <cell r="M152">
            <v>54007417.789999999</v>
          </cell>
          <cell r="N152">
            <v>579313023.29999995</v>
          </cell>
        </row>
        <row r="153">
          <cell r="A153" t="str">
            <v>132301570000</v>
          </cell>
          <cell r="B153" t="str">
            <v>PROGRAMA:SALUD</v>
          </cell>
          <cell r="C153">
            <v>1133556293.8800001</v>
          </cell>
          <cell r="D153">
            <v>0</v>
          </cell>
          <cell r="E153">
            <v>0</v>
          </cell>
          <cell r="F153">
            <v>361707367.25999999</v>
          </cell>
          <cell r="G153">
            <v>1300076708.52</v>
          </cell>
          <cell r="H153">
            <v>2071925635.1400001</v>
          </cell>
          <cell r="I153">
            <v>27023315.34</v>
          </cell>
          <cell r="J153">
            <v>2048431184.3599999</v>
          </cell>
          <cell r="K153">
            <v>346875698</v>
          </cell>
          <cell r="L153">
            <v>1676152779.78</v>
          </cell>
          <cell r="M153">
            <v>23494450.780000001</v>
          </cell>
          <cell r="N153">
            <v>372278404.57999998</v>
          </cell>
        </row>
        <row r="154">
          <cell r="A154" t="str">
            <v>13230157100</v>
          </cell>
          <cell r="B154" t="str">
            <v>Subprograma Salud Publica PAB</v>
          </cell>
          <cell r="C154">
            <v>80297589.599999994</v>
          </cell>
          <cell r="D154">
            <v>0</v>
          </cell>
          <cell r="E154">
            <v>0</v>
          </cell>
          <cell r="F154">
            <v>0</v>
          </cell>
          <cell r="G154">
            <v>28393437.399999999</v>
          </cell>
          <cell r="H154">
            <v>108691027</v>
          </cell>
          <cell r="I154">
            <v>0</v>
          </cell>
          <cell r="J154">
            <v>108630986</v>
          </cell>
          <cell r="K154">
            <v>83012180</v>
          </cell>
          <cell r="L154">
            <v>94872300</v>
          </cell>
          <cell r="M154">
            <v>60041</v>
          </cell>
          <cell r="N154">
            <v>13758686</v>
          </cell>
        </row>
        <row r="155">
          <cell r="A155" t="str">
            <v>13230157110</v>
          </cell>
          <cell r="B155" t="str">
            <v>PROMOCION Y PREVENCION POS-S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8221483</v>
          </cell>
          <cell r="H155">
            <v>8221483</v>
          </cell>
          <cell r="I155">
            <v>8042040</v>
          </cell>
          <cell r="J155">
            <v>8042040</v>
          </cell>
          <cell r="K155">
            <v>8042040</v>
          </cell>
          <cell r="L155">
            <v>8042040</v>
          </cell>
          <cell r="M155">
            <v>179443</v>
          </cell>
          <cell r="N155">
            <v>0</v>
          </cell>
        </row>
        <row r="156">
          <cell r="A156" t="str">
            <v>132301571201</v>
          </cell>
          <cell r="B156" t="str">
            <v>Regimen subsidiado(continuidad)</v>
          </cell>
          <cell r="C156">
            <v>786998961.36000001</v>
          </cell>
          <cell r="D156">
            <v>0</v>
          </cell>
          <cell r="E156">
            <v>0</v>
          </cell>
          <cell r="F156">
            <v>338041024.56</v>
          </cell>
          <cell r="G156">
            <v>171437745</v>
          </cell>
          <cell r="H156">
            <v>620395681.79999995</v>
          </cell>
          <cell r="I156">
            <v>5206330</v>
          </cell>
          <cell r="J156">
            <v>603697465.74000001</v>
          </cell>
          <cell r="K156">
            <v>96457542</v>
          </cell>
          <cell r="L156">
            <v>504839879.69999999</v>
          </cell>
          <cell r="M156">
            <v>16698216.060000001</v>
          </cell>
          <cell r="N156">
            <v>98857586.040000007</v>
          </cell>
        </row>
        <row r="158">
          <cell r="A158" t="str">
            <v>132301571201.1</v>
          </cell>
          <cell r="B158" t="str">
            <v>FOSYGA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500723773.74000001</v>
          </cell>
          <cell r="H158">
            <v>500723773.74000001</v>
          </cell>
          <cell r="I158">
            <v>13774945.34</v>
          </cell>
          <cell r="J158">
            <v>494570614.01999998</v>
          </cell>
          <cell r="K158">
            <v>79482088</v>
          </cell>
          <cell r="L158">
            <v>402213579.10000002</v>
          </cell>
          <cell r="M158">
            <v>6153159.7199999997</v>
          </cell>
          <cell r="N158">
            <v>92357034.920000002</v>
          </cell>
        </row>
        <row r="159">
          <cell r="A159" t="str">
            <v>132301571201.2</v>
          </cell>
          <cell r="B159" t="str">
            <v>ESFUERZO PROPIO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30341465</v>
          </cell>
          <cell r="H159">
            <v>30341465</v>
          </cell>
          <cell r="I159">
            <v>0</v>
          </cell>
          <cell r="J159">
            <v>30341465</v>
          </cell>
          <cell r="K159">
            <v>0</v>
          </cell>
          <cell r="L159">
            <v>30341465</v>
          </cell>
          <cell r="M159">
            <v>0</v>
          </cell>
          <cell r="N159">
            <v>0</v>
          </cell>
        </row>
        <row r="160">
          <cell r="A160" t="str">
            <v>132301571201.3</v>
          </cell>
          <cell r="B160" t="str">
            <v>RENTAS CEDIDAS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103177164.8</v>
          </cell>
          <cell r="H160">
            <v>103177164.8</v>
          </cell>
          <cell r="I160">
            <v>0</v>
          </cell>
          <cell r="J160">
            <v>103177164.8</v>
          </cell>
          <cell r="K160">
            <v>33672664</v>
          </cell>
          <cell r="L160">
            <v>69504500.400000006</v>
          </cell>
          <cell r="M160">
            <v>0</v>
          </cell>
          <cell r="N160">
            <v>33672664.399999999</v>
          </cell>
        </row>
        <row r="161">
          <cell r="A161" t="str">
            <v>132301571201.4</v>
          </cell>
          <cell r="B161" t="str">
            <v>ETESA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10576167.800000001</v>
          </cell>
          <cell r="H161">
            <v>10576167.800000001</v>
          </cell>
          <cell r="I161">
            <v>0</v>
          </cell>
          <cell r="J161">
            <v>10576167.800000001</v>
          </cell>
          <cell r="K161">
            <v>0</v>
          </cell>
          <cell r="L161">
            <v>10576167.800000001</v>
          </cell>
          <cell r="M161">
            <v>0</v>
          </cell>
          <cell r="N161">
            <v>0</v>
          </cell>
        </row>
        <row r="162">
          <cell r="A162" t="str">
            <v>132301571202</v>
          </cell>
          <cell r="B162" t="str">
            <v>Regimen subsidiado(ampliacion)</v>
          </cell>
          <cell r="C162">
            <v>44520624</v>
          </cell>
          <cell r="D162">
            <v>0</v>
          </cell>
          <cell r="E162">
            <v>0</v>
          </cell>
          <cell r="F162">
            <v>23666342.699999999</v>
          </cell>
          <cell r="G162">
            <v>5608871</v>
          </cell>
          <cell r="H162">
            <v>26463152.300000001</v>
          </cell>
          <cell r="I162">
            <v>0</v>
          </cell>
          <cell r="J162">
            <v>26463152.300000001</v>
          </cell>
          <cell r="K162">
            <v>12268</v>
          </cell>
          <cell r="L162">
            <v>1812268</v>
          </cell>
          <cell r="M162">
            <v>0</v>
          </cell>
          <cell r="N162">
            <v>24650884.300000001</v>
          </cell>
        </row>
        <row r="163">
          <cell r="A163" t="str">
            <v>132301571202.1</v>
          </cell>
          <cell r="B163" t="str">
            <v>AMPLIACION REG SUBSIDIADO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23666342.699999999</v>
          </cell>
          <cell r="H163">
            <v>23666342.699999999</v>
          </cell>
          <cell r="I163">
            <v>0</v>
          </cell>
          <cell r="J163">
            <v>23666342.699999999</v>
          </cell>
          <cell r="K163">
            <v>0</v>
          </cell>
          <cell r="L163">
            <v>23666342.699999999</v>
          </cell>
          <cell r="M163">
            <v>0</v>
          </cell>
          <cell r="N163">
            <v>0</v>
          </cell>
        </row>
        <row r="164">
          <cell r="A164" t="str">
            <v>132301571300</v>
          </cell>
          <cell r="B164" t="str">
            <v>Subprograma:Prestacion de servicios de salud a poblacio</v>
          </cell>
          <cell r="C164">
            <v>221739118.91999999</v>
          </cell>
          <cell r="D164">
            <v>0</v>
          </cell>
          <cell r="E164">
            <v>0</v>
          </cell>
          <cell r="F164">
            <v>0</v>
          </cell>
          <cell r="G164">
            <v>103583258.08</v>
          </cell>
          <cell r="H164">
            <v>325322377</v>
          </cell>
          <cell r="I164">
            <v>0</v>
          </cell>
          <cell r="J164">
            <v>325322377</v>
          </cell>
          <cell r="K164">
            <v>44129267</v>
          </cell>
          <cell r="L164">
            <v>303287869.07999998</v>
          </cell>
          <cell r="M164">
            <v>0</v>
          </cell>
          <cell r="N164">
            <v>22034507.920000002</v>
          </cell>
        </row>
        <row r="165">
          <cell r="B165" t="str">
            <v>n pobre</v>
          </cell>
        </row>
        <row r="166">
          <cell r="A166" t="str">
            <v>132301571400</v>
          </cell>
          <cell r="B166" t="str">
            <v>SUBPROGRAMA: Aportes patronales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86947000</v>
          </cell>
          <cell r="H166">
            <v>86947000</v>
          </cell>
          <cell r="I166">
            <v>0</v>
          </cell>
          <cell r="J166">
            <v>86947000</v>
          </cell>
          <cell r="K166">
            <v>0</v>
          </cell>
          <cell r="L166">
            <v>0</v>
          </cell>
          <cell r="M166">
            <v>0</v>
          </cell>
          <cell r="N166">
            <v>86947000</v>
          </cell>
        </row>
        <row r="167">
          <cell r="A167" t="str">
            <v>132301571500</v>
          </cell>
          <cell r="B167" t="str">
            <v>MEJORAMIENTO INFRAESTRUCTURA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227400000</v>
          </cell>
          <cell r="H167">
            <v>227400000</v>
          </cell>
          <cell r="I167">
            <v>0</v>
          </cell>
          <cell r="J167">
            <v>226996409</v>
          </cell>
          <cell r="K167">
            <v>2067649</v>
          </cell>
          <cell r="L167">
            <v>226996368</v>
          </cell>
          <cell r="M167">
            <v>403591</v>
          </cell>
          <cell r="N167">
            <v>41</v>
          </cell>
        </row>
        <row r="168">
          <cell r="A168" t="str">
            <v>132301580000</v>
          </cell>
          <cell r="B168" t="str">
            <v>PROGRAMA: EDUCACION PUBLICA</v>
          </cell>
          <cell r="C168">
            <v>419750577.36000001</v>
          </cell>
          <cell r="D168">
            <v>0</v>
          </cell>
          <cell r="E168">
            <v>0</v>
          </cell>
          <cell r="F168">
            <v>424093204.36000001</v>
          </cell>
          <cell r="G168">
            <v>256038574</v>
          </cell>
          <cell r="H168">
            <v>251695947</v>
          </cell>
          <cell r="I168">
            <v>0</v>
          </cell>
          <cell r="J168">
            <v>251251947</v>
          </cell>
          <cell r="K168">
            <v>0</v>
          </cell>
          <cell r="L168">
            <v>200982389.94999999</v>
          </cell>
          <cell r="M168">
            <v>444000</v>
          </cell>
          <cell r="N168">
            <v>50269557.049999997</v>
          </cell>
        </row>
        <row r="169">
          <cell r="A169" t="str">
            <v>132301581100</v>
          </cell>
          <cell r="B169" t="str">
            <v>Subprogama: Prestacion de servicios personal docente</v>
          </cell>
          <cell r="C169">
            <v>364710267.36000001</v>
          </cell>
          <cell r="D169">
            <v>0</v>
          </cell>
          <cell r="E169">
            <v>0</v>
          </cell>
          <cell r="F169">
            <v>363226616.36000001</v>
          </cell>
          <cell r="G169">
            <v>81082841</v>
          </cell>
          <cell r="H169">
            <v>82566492</v>
          </cell>
          <cell r="I169">
            <v>0</v>
          </cell>
          <cell r="J169">
            <v>82566492</v>
          </cell>
          <cell r="K169">
            <v>0</v>
          </cell>
          <cell r="L169">
            <v>81082841</v>
          </cell>
          <cell r="M169">
            <v>0</v>
          </cell>
          <cell r="N169">
            <v>1483651</v>
          </cell>
        </row>
        <row r="170">
          <cell r="A170" t="str">
            <v>132301581101</v>
          </cell>
          <cell r="B170" t="str">
            <v>Pago de Retroactivos y Horas Extras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39619556</v>
          </cell>
          <cell r="H170">
            <v>39619556</v>
          </cell>
          <cell r="I170">
            <v>0</v>
          </cell>
          <cell r="J170">
            <v>39619556</v>
          </cell>
          <cell r="K170">
            <v>0</v>
          </cell>
          <cell r="L170">
            <v>39619556</v>
          </cell>
          <cell r="M170">
            <v>0</v>
          </cell>
          <cell r="N170">
            <v>0</v>
          </cell>
        </row>
        <row r="171">
          <cell r="A171" t="str">
            <v>132301581200</v>
          </cell>
          <cell r="B171" t="str">
            <v>Subprograma: Aportes patronales (sin situacion de fondo</v>
          </cell>
          <cell r="C171">
            <v>55040310</v>
          </cell>
          <cell r="D171">
            <v>0</v>
          </cell>
          <cell r="E171">
            <v>0</v>
          </cell>
          <cell r="F171">
            <v>60866588</v>
          </cell>
          <cell r="G171">
            <v>5826278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B172" t="str">
            <v>s)</v>
          </cell>
        </row>
        <row r="173">
          <cell r="A173" t="str">
            <v>132301581300</v>
          </cell>
          <cell r="B173" t="str">
            <v>MEJORAMIENTO DE LA CALIDAD DE EDUCACION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129509899</v>
          </cell>
          <cell r="H173">
            <v>129509899</v>
          </cell>
          <cell r="I173">
            <v>0</v>
          </cell>
          <cell r="J173">
            <v>129065899</v>
          </cell>
          <cell r="K173">
            <v>0</v>
          </cell>
          <cell r="L173">
            <v>80279992.950000003</v>
          </cell>
          <cell r="M173">
            <v>444000</v>
          </cell>
          <cell r="N173">
            <v>48785906.049999997</v>
          </cell>
        </row>
        <row r="174">
          <cell r="A174" t="str">
            <v>132301590000</v>
          </cell>
          <cell r="B174" t="str">
            <v>PROGRAMA: AGUA POTABLE Y SANIAMIENTO BASICO</v>
          </cell>
          <cell r="C174">
            <v>265150259.75999999</v>
          </cell>
          <cell r="D174">
            <v>0</v>
          </cell>
          <cell r="E174">
            <v>0</v>
          </cell>
          <cell r="F174">
            <v>142675693.41999999</v>
          </cell>
          <cell r="G174">
            <v>246210157.83000001</v>
          </cell>
          <cell r="H174">
            <v>368684724.17000002</v>
          </cell>
          <cell r="I174">
            <v>0</v>
          </cell>
          <cell r="J174">
            <v>368509701.69999999</v>
          </cell>
          <cell r="K174">
            <v>107336098.81</v>
          </cell>
          <cell r="L174">
            <v>247471692.75</v>
          </cell>
          <cell r="M174">
            <v>175022.47</v>
          </cell>
          <cell r="N174">
            <v>121038008.95</v>
          </cell>
        </row>
        <row r="175">
          <cell r="A175" t="str">
            <v>132301591100</v>
          </cell>
          <cell r="B175" t="str">
            <v>Subprograma:pago de subsidios a personas pobres de estr</v>
          </cell>
          <cell r="C175">
            <v>15000000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15000000</v>
          </cell>
          <cell r="I175">
            <v>0</v>
          </cell>
          <cell r="J175">
            <v>15000000</v>
          </cell>
          <cell r="K175">
            <v>0</v>
          </cell>
          <cell r="L175">
            <v>15000000</v>
          </cell>
          <cell r="M175">
            <v>0</v>
          </cell>
          <cell r="N175">
            <v>0</v>
          </cell>
        </row>
        <row r="176">
          <cell r="B176" t="str">
            <v>rato 1</v>
          </cell>
        </row>
        <row r="177">
          <cell r="A177" t="str">
            <v>132301591200</v>
          </cell>
          <cell r="B177" t="str">
            <v>Subprograma:Construccion, adecuacion y mantenimiento ac</v>
          </cell>
          <cell r="C177">
            <v>88000000</v>
          </cell>
          <cell r="D177">
            <v>0</v>
          </cell>
          <cell r="E177">
            <v>0</v>
          </cell>
          <cell r="F177">
            <v>41445407</v>
          </cell>
          <cell r="G177">
            <v>2000000</v>
          </cell>
          <cell r="H177">
            <v>48554593</v>
          </cell>
          <cell r="I177">
            <v>0</v>
          </cell>
          <cell r="J177">
            <v>48554592.700000003</v>
          </cell>
          <cell r="K177">
            <v>0</v>
          </cell>
          <cell r="L177">
            <v>44684580.700000003</v>
          </cell>
          <cell r="M177">
            <v>0.3</v>
          </cell>
          <cell r="N177">
            <v>3870012</v>
          </cell>
        </row>
        <row r="178">
          <cell r="B178" t="str">
            <v>ueducto y alcantarillado.</v>
          </cell>
        </row>
        <row r="179">
          <cell r="A179" t="str">
            <v>132301591300</v>
          </cell>
          <cell r="B179" t="str">
            <v>Subprograma: Recuperacion y reforestacion de tomas de a</v>
          </cell>
          <cell r="C179">
            <v>48000000</v>
          </cell>
          <cell r="D179">
            <v>0</v>
          </cell>
          <cell r="E179">
            <v>0</v>
          </cell>
          <cell r="F179">
            <v>5500000</v>
          </cell>
          <cell r="G179">
            <v>5969600</v>
          </cell>
          <cell r="H179">
            <v>48469600</v>
          </cell>
          <cell r="I179">
            <v>0</v>
          </cell>
          <cell r="J179">
            <v>48469600</v>
          </cell>
          <cell r="K179">
            <v>1137525.76</v>
          </cell>
          <cell r="L179">
            <v>18666147</v>
          </cell>
          <cell r="M179">
            <v>0</v>
          </cell>
          <cell r="N179">
            <v>29803453</v>
          </cell>
        </row>
        <row r="180">
          <cell r="B180" t="str">
            <v>guas.</v>
          </cell>
        </row>
        <row r="181">
          <cell r="A181" t="str">
            <v>132301591400</v>
          </cell>
          <cell r="B181" t="str">
            <v>Subprograma: Cofinanciacion de proyectos de seneamiento</v>
          </cell>
          <cell r="C181">
            <v>20000000</v>
          </cell>
          <cell r="D181">
            <v>0</v>
          </cell>
          <cell r="E181">
            <v>0</v>
          </cell>
          <cell r="F181">
            <v>78293614.129999995</v>
          </cell>
          <cell r="G181">
            <v>95668594.879999995</v>
          </cell>
          <cell r="H181">
            <v>37374980.75</v>
          </cell>
          <cell r="I181">
            <v>0</v>
          </cell>
          <cell r="J181">
            <v>37374974</v>
          </cell>
          <cell r="K181">
            <v>1688109</v>
          </cell>
          <cell r="L181">
            <v>37374974</v>
          </cell>
          <cell r="M181">
            <v>6.75</v>
          </cell>
          <cell r="N181">
            <v>0</v>
          </cell>
        </row>
        <row r="182">
          <cell r="B182" t="str">
            <v>basico.</v>
          </cell>
        </row>
        <row r="183">
          <cell r="A183" t="str">
            <v>132301591500</v>
          </cell>
          <cell r="B183" t="str">
            <v>Subprograma: Estudios de preinversion acueducto y alcan</v>
          </cell>
          <cell r="C183">
            <v>25150259.760000002</v>
          </cell>
          <cell r="D183">
            <v>0</v>
          </cell>
          <cell r="E183">
            <v>0</v>
          </cell>
          <cell r="F183">
            <v>17436672.289999999</v>
          </cell>
          <cell r="G183">
            <v>134739.53</v>
          </cell>
          <cell r="H183">
            <v>7848327</v>
          </cell>
          <cell r="I183">
            <v>0</v>
          </cell>
          <cell r="J183">
            <v>7848327</v>
          </cell>
          <cell r="K183">
            <v>0</v>
          </cell>
          <cell r="L183">
            <v>7848327</v>
          </cell>
          <cell r="M183">
            <v>0</v>
          </cell>
          <cell r="N183">
            <v>0</v>
          </cell>
        </row>
        <row r="184">
          <cell r="B184" t="str">
            <v>rillados.</v>
          </cell>
        </row>
        <row r="185">
          <cell r="A185" t="str">
            <v>132301591600</v>
          </cell>
          <cell r="B185" t="str">
            <v>subprograma: Programas de agua potable y saneamiento ba</v>
          </cell>
          <cell r="C185">
            <v>69000000</v>
          </cell>
          <cell r="D185">
            <v>0</v>
          </cell>
          <cell r="E185">
            <v>0</v>
          </cell>
          <cell r="F185">
            <v>0</v>
          </cell>
          <cell r="G185">
            <v>142437223.41999999</v>
          </cell>
          <cell r="H185">
            <v>211437223.41999999</v>
          </cell>
          <cell r="I185">
            <v>0</v>
          </cell>
          <cell r="J185">
            <v>211262208</v>
          </cell>
          <cell r="K185">
            <v>104510464.05</v>
          </cell>
          <cell r="L185">
            <v>123897664.05</v>
          </cell>
          <cell r="M185">
            <v>175015.42</v>
          </cell>
          <cell r="N185">
            <v>87364543.950000003</v>
          </cell>
        </row>
        <row r="186">
          <cell r="B186" t="str">
            <v>sico.</v>
          </cell>
        </row>
        <row r="187">
          <cell r="A187" t="str">
            <v>132301591700</v>
          </cell>
          <cell r="B187" t="str">
            <v>PROGRAMA CONSERVACION RECURSOS AMBIENTALES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7517600</v>
          </cell>
          <cell r="H187">
            <v>7517600</v>
          </cell>
          <cell r="I187">
            <v>7517600</v>
          </cell>
          <cell r="J187">
            <v>7517600</v>
          </cell>
          <cell r="K187">
            <v>6863109</v>
          </cell>
          <cell r="L187">
            <v>6863109</v>
          </cell>
          <cell r="M187">
            <v>0</v>
          </cell>
          <cell r="N187">
            <v>654491</v>
          </cell>
        </row>
        <row r="188">
          <cell r="A188" t="str">
            <v>132301610000</v>
          </cell>
          <cell r="B188" t="str">
            <v>PROGRAMA: DEPORTES Y CREACION</v>
          </cell>
          <cell r="C188">
            <v>61864678.5</v>
          </cell>
          <cell r="D188">
            <v>0</v>
          </cell>
          <cell r="E188">
            <v>0</v>
          </cell>
          <cell r="F188">
            <v>523337.16</v>
          </cell>
          <cell r="G188">
            <v>9931370.9700000007</v>
          </cell>
          <cell r="H188">
            <v>71272712.310000002</v>
          </cell>
          <cell r="I188">
            <v>0</v>
          </cell>
          <cell r="J188">
            <v>71272712.310000002</v>
          </cell>
          <cell r="K188">
            <v>10000000</v>
          </cell>
          <cell r="L188">
            <v>71272712.310000002</v>
          </cell>
          <cell r="M188">
            <v>0</v>
          </cell>
          <cell r="N188">
            <v>0</v>
          </cell>
        </row>
        <row r="189">
          <cell r="A189" t="str">
            <v>132301611100</v>
          </cell>
          <cell r="B189" t="str">
            <v>Subprograma: Financiacion de actividades que incentiven</v>
          </cell>
          <cell r="C189">
            <v>16200000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16200000</v>
          </cell>
          <cell r="I189">
            <v>0</v>
          </cell>
          <cell r="J189">
            <v>16200000</v>
          </cell>
          <cell r="K189">
            <v>0</v>
          </cell>
          <cell r="L189">
            <v>16200000</v>
          </cell>
          <cell r="M189">
            <v>0</v>
          </cell>
          <cell r="N189">
            <v>0</v>
          </cell>
        </row>
        <row r="190">
          <cell r="B190" t="str">
            <v>la practica del deporte.</v>
          </cell>
        </row>
        <row r="191">
          <cell r="A191" t="str">
            <v>132301611200</v>
          </cell>
          <cell r="B191" t="str">
            <v>Subprograma: Apoyo Financiero a enventos Deportivos,Rec</v>
          </cell>
          <cell r="C191">
            <v>8654249.5199999996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8654249.5199999996</v>
          </cell>
          <cell r="I191">
            <v>0</v>
          </cell>
          <cell r="J191">
            <v>8654249.5199999996</v>
          </cell>
          <cell r="K191">
            <v>0</v>
          </cell>
          <cell r="L191">
            <v>8654249.5199999996</v>
          </cell>
          <cell r="M191">
            <v>0</v>
          </cell>
          <cell r="N191">
            <v>0</v>
          </cell>
        </row>
        <row r="192">
          <cell r="B192" t="str">
            <v>reativos y artisticos.</v>
          </cell>
        </row>
        <row r="193">
          <cell r="A193" t="str">
            <v>132301611300</v>
          </cell>
          <cell r="B193" t="str">
            <v>Subprograma: Construccion y mantenimiento y mejoramient</v>
          </cell>
          <cell r="C193">
            <v>27000000</v>
          </cell>
          <cell r="D193">
            <v>0</v>
          </cell>
          <cell r="E193">
            <v>0</v>
          </cell>
          <cell r="F193">
            <v>0</v>
          </cell>
          <cell r="G193">
            <v>9931370.9700000007</v>
          </cell>
          <cell r="H193">
            <v>36931370.969999999</v>
          </cell>
          <cell r="I193">
            <v>0</v>
          </cell>
          <cell r="J193">
            <v>36931370.969999999</v>
          </cell>
          <cell r="K193">
            <v>10000000</v>
          </cell>
          <cell r="L193">
            <v>36931370.969999999</v>
          </cell>
          <cell r="M193">
            <v>0</v>
          </cell>
          <cell r="N193">
            <v>0</v>
          </cell>
        </row>
        <row r="194">
          <cell r="B194" t="str">
            <v>o de escenarios deportivos</v>
          </cell>
        </row>
        <row r="195">
          <cell r="A195" t="str">
            <v>132301611400</v>
          </cell>
          <cell r="B195" t="str">
            <v>Subprograma: Cofinanciacion a programas y proyectos dep</v>
          </cell>
          <cell r="C195">
            <v>10010428.98</v>
          </cell>
          <cell r="D195">
            <v>0</v>
          </cell>
          <cell r="E195">
            <v>0</v>
          </cell>
          <cell r="F195">
            <v>523337.16</v>
          </cell>
          <cell r="G195">
            <v>0</v>
          </cell>
          <cell r="H195">
            <v>9487091.8200000003</v>
          </cell>
          <cell r="I195">
            <v>0</v>
          </cell>
          <cell r="J195">
            <v>9487091.8200000003</v>
          </cell>
          <cell r="K195">
            <v>0</v>
          </cell>
          <cell r="L195">
            <v>9487091.8200000003</v>
          </cell>
          <cell r="M195">
            <v>0</v>
          </cell>
          <cell r="N195">
            <v>0</v>
          </cell>
        </row>
        <row r="196">
          <cell r="B196" t="str">
            <v>ortivos.</v>
          </cell>
        </row>
        <row r="197">
          <cell r="A197" t="str">
            <v>132301620000</v>
          </cell>
          <cell r="B197" t="str">
            <v>PROGRAMA: CULTURA</v>
          </cell>
          <cell r="C197">
            <v>26513433.640000001</v>
          </cell>
          <cell r="D197">
            <v>0</v>
          </cell>
          <cell r="E197">
            <v>0</v>
          </cell>
          <cell r="F197">
            <v>9030650.9700000007</v>
          </cell>
          <cell r="G197">
            <v>13062664.460000001</v>
          </cell>
          <cell r="H197">
            <v>30545447.129999999</v>
          </cell>
          <cell r="I197">
            <v>8361282.2300000004</v>
          </cell>
          <cell r="J197">
            <v>28668596.23</v>
          </cell>
          <cell r="K197">
            <v>9061282.2300000004</v>
          </cell>
          <cell r="L197">
            <v>28668596.23</v>
          </cell>
          <cell r="M197">
            <v>1876850.9</v>
          </cell>
          <cell r="N197">
            <v>0</v>
          </cell>
        </row>
        <row r="198">
          <cell r="A198" t="str">
            <v>132301621100</v>
          </cell>
          <cell r="B198" t="str">
            <v>Subprograma: Apoyo financiero a la formacion cultural y</v>
          </cell>
          <cell r="C198">
            <v>16200000</v>
          </cell>
          <cell r="D198">
            <v>0</v>
          </cell>
          <cell r="E198">
            <v>0</v>
          </cell>
          <cell r="F198">
            <v>0</v>
          </cell>
          <cell r="G198">
            <v>8016582.2300000004</v>
          </cell>
          <cell r="H198">
            <v>24216582.23</v>
          </cell>
          <cell r="I198">
            <v>6166582.2300000004</v>
          </cell>
          <cell r="J198">
            <v>23166582.23</v>
          </cell>
          <cell r="K198">
            <v>6866582.2300000004</v>
          </cell>
          <cell r="L198">
            <v>23166582.23</v>
          </cell>
          <cell r="M198">
            <v>1050000</v>
          </cell>
          <cell r="N198">
            <v>0</v>
          </cell>
        </row>
        <row r="199">
          <cell r="B199" t="str">
            <v>artistica.</v>
          </cell>
        </row>
        <row r="200">
          <cell r="A200" t="str">
            <v>132301621200</v>
          </cell>
          <cell r="B200" t="str">
            <v>Subprograma: Construccion y mantenimiento de infraestru</v>
          </cell>
          <cell r="C200">
            <v>10313433.640000001</v>
          </cell>
          <cell r="D200">
            <v>0</v>
          </cell>
          <cell r="E200">
            <v>0</v>
          </cell>
          <cell r="F200">
            <v>9030650.9700000007</v>
          </cell>
          <cell r="G200">
            <v>2024531.33</v>
          </cell>
          <cell r="H200">
            <v>3307314</v>
          </cell>
          <cell r="I200">
            <v>0</v>
          </cell>
          <cell r="J200">
            <v>3307314</v>
          </cell>
          <cell r="K200">
            <v>0</v>
          </cell>
          <cell r="L200">
            <v>3307314</v>
          </cell>
          <cell r="M200">
            <v>0</v>
          </cell>
          <cell r="N200">
            <v>0</v>
          </cell>
        </row>
        <row r="201">
          <cell r="B201" t="str">
            <v>ctura cultural</v>
          </cell>
        </row>
        <row r="202">
          <cell r="A202" t="str">
            <v>132301621300</v>
          </cell>
          <cell r="B202" t="str">
            <v>APOYO PSICOSOCIAL Y ALIMENTARIO A LA POBLACION DE DESPL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2200000</v>
          </cell>
          <cell r="H202">
            <v>2200000</v>
          </cell>
          <cell r="I202">
            <v>2194700</v>
          </cell>
          <cell r="J202">
            <v>2194700</v>
          </cell>
          <cell r="K202">
            <v>2194700</v>
          </cell>
          <cell r="L202">
            <v>2194700</v>
          </cell>
          <cell r="M202">
            <v>5300</v>
          </cell>
          <cell r="N202">
            <v>0</v>
          </cell>
        </row>
        <row r="203">
          <cell r="B203" t="str">
            <v>AZADOS</v>
          </cell>
        </row>
        <row r="204">
          <cell r="A204" t="str">
            <v>132301621400</v>
          </cell>
          <cell r="B204" t="str">
            <v>APOYO A LA CULTURA DEPORTIVA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821550.9</v>
          </cell>
          <cell r="H204">
            <v>821550.9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821550.9</v>
          </cell>
          <cell r="N204">
            <v>0</v>
          </cell>
        </row>
        <row r="205">
          <cell r="A205" t="str">
            <v>132302000000</v>
          </cell>
          <cell r="B205" t="str">
            <v>OTROS SECTORES</v>
          </cell>
          <cell r="C205">
            <v>431738243.47000003</v>
          </cell>
          <cell r="D205">
            <v>0</v>
          </cell>
          <cell r="E205">
            <v>0</v>
          </cell>
          <cell r="F205">
            <v>142084649.53999999</v>
          </cell>
          <cell r="G205">
            <v>256167886.09999999</v>
          </cell>
          <cell r="H205">
            <v>545821480.02999997</v>
          </cell>
          <cell r="I205">
            <v>114032490.25</v>
          </cell>
          <cell r="J205">
            <v>518017253.38999999</v>
          </cell>
          <cell r="K205">
            <v>141651892.53</v>
          </cell>
          <cell r="L205">
            <v>482290200.67000002</v>
          </cell>
          <cell r="M205">
            <v>27804226.640000001</v>
          </cell>
          <cell r="N205">
            <v>35727052.719999999</v>
          </cell>
        </row>
        <row r="206">
          <cell r="A206" t="str">
            <v>132302581100</v>
          </cell>
          <cell r="B206" t="str">
            <v>PROGRAMA: Construccion, Mantenimiento y mejoramiento de</v>
          </cell>
          <cell r="C206">
            <v>28400000</v>
          </cell>
          <cell r="D206">
            <v>0</v>
          </cell>
          <cell r="E206">
            <v>0</v>
          </cell>
          <cell r="F206">
            <v>25000000</v>
          </cell>
          <cell r="G206">
            <v>529682.46</v>
          </cell>
          <cell r="H206">
            <v>3929682.46</v>
          </cell>
          <cell r="I206">
            <v>332000</v>
          </cell>
          <cell r="J206">
            <v>1828000</v>
          </cell>
          <cell r="K206">
            <v>332000</v>
          </cell>
          <cell r="L206">
            <v>1828000</v>
          </cell>
          <cell r="M206">
            <v>2101682.46</v>
          </cell>
          <cell r="N206">
            <v>0</v>
          </cell>
        </row>
        <row r="207">
          <cell r="B207" t="str">
            <v>centros educativos</v>
          </cell>
        </row>
        <row r="208">
          <cell r="A208" t="str">
            <v>132302581200</v>
          </cell>
          <cell r="B208" t="str">
            <v>PROGRAMA: Proyecto de educacion rural</v>
          </cell>
          <cell r="C208">
            <v>20000000</v>
          </cell>
          <cell r="D208">
            <v>0</v>
          </cell>
          <cell r="E208">
            <v>0</v>
          </cell>
          <cell r="F208">
            <v>575000</v>
          </cell>
          <cell r="G208">
            <v>0</v>
          </cell>
          <cell r="H208">
            <v>19425000</v>
          </cell>
          <cell r="I208">
            <v>0</v>
          </cell>
          <cell r="J208">
            <v>19425000</v>
          </cell>
          <cell r="K208">
            <v>2590000</v>
          </cell>
          <cell r="L208">
            <v>19425000</v>
          </cell>
          <cell r="M208">
            <v>0</v>
          </cell>
          <cell r="N208">
            <v>0</v>
          </cell>
        </row>
        <row r="209">
          <cell r="A209" t="str">
            <v>132302590000</v>
          </cell>
          <cell r="B209" t="str">
            <v>PROGRAMA: Conservacion de recursos ambientales</v>
          </cell>
          <cell r="C209">
            <v>30000000</v>
          </cell>
          <cell r="D209">
            <v>0</v>
          </cell>
          <cell r="E209">
            <v>0</v>
          </cell>
          <cell r="F209">
            <v>7000000</v>
          </cell>
          <cell r="G209">
            <v>0</v>
          </cell>
          <cell r="H209">
            <v>23000000</v>
          </cell>
          <cell r="I209">
            <v>0</v>
          </cell>
          <cell r="J209">
            <v>23000000</v>
          </cell>
          <cell r="K209">
            <v>0</v>
          </cell>
          <cell r="L209">
            <v>5000000</v>
          </cell>
          <cell r="M209">
            <v>0</v>
          </cell>
          <cell r="N209">
            <v>18000000</v>
          </cell>
        </row>
        <row r="210">
          <cell r="A210" t="str">
            <v>132302590100</v>
          </cell>
          <cell r="B210" t="str">
            <v>PROGRAMA:CONVENIO CORPONOR CAPACITACION AMBIENTAL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1000000</v>
          </cell>
          <cell r="H210">
            <v>1000000</v>
          </cell>
          <cell r="I210">
            <v>1000000</v>
          </cell>
          <cell r="J210">
            <v>1000000</v>
          </cell>
          <cell r="K210">
            <v>1000000</v>
          </cell>
          <cell r="L210">
            <v>1000000</v>
          </cell>
          <cell r="M210">
            <v>0</v>
          </cell>
          <cell r="N210">
            <v>0</v>
          </cell>
        </row>
        <row r="211">
          <cell r="A211" t="str">
            <v>132302600000</v>
          </cell>
          <cell r="B211" t="str">
            <v>PROGRAMA:Integral de Vivienda</v>
          </cell>
          <cell r="C211">
            <v>40528000</v>
          </cell>
          <cell r="D211">
            <v>0</v>
          </cell>
          <cell r="E211">
            <v>0</v>
          </cell>
          <cell r="F211">
            <v>0</v>
          </cell>
          <cell r="G211">
            <v>34952251.740000002</v>
          </cell>
          <cell r="H211">
            <v>75480251.739999995</v>
          </cell>
          <cell r="I211">
            <v>0</v>
          </cell>
          <cell r="J211">
            <v>75480251</v>
          </cell>
          <cell r="K211">
            <v>0</v>
          </cell>
          <cell r="L211">
            <v>75480251</v>
          </cell>
          <cell r="M211">
            <v>0.74</v>
          </cell>
          <cell r="N211">
            <v>0</v>
          </cell>
        </row>
        <row r="212">
          <cell r="A212" t="str">
            <v>132302631100</v>
          </cell>
          <cell r="B212" t="str">
            <v>PROGRAMA: Capacitacion a comunidades</v>
          </cell>
          <cell r="C212">
            <v>2080000</v>
          </cell>
          <cell r="D212">
            <v>0</v>
          </cell>
          <cell r="E212">
            <v>0</v>
          </cell>
          <cell r="F212">
            <v>620000</v>
          </cell>
          <cell r="G212">
            <v>0</v>
          </cell>
          <cell r="H212">
            <v>1460000</v>
          </cell>
          <cell r="I212">
            <v>0</v>
          </cell>
          <cell r="J212">
            <v>1460000</v>
          </cell>
          <cell r="K212">
            <v>0</v>
          </cell>
          <cell r="L212">
            <v>1460000</v>
          </cell>
          <cell r="M212">
            <v>0</v>
          </cell>
          <cell r="N212">
            <v>0</v>
          </cell>
        </row>
        <row r="213">
          <cell r="A213" t="str">
            <v>132302631200</v>
          </cell>
          <cell r="B213" t="str">
            <v>PROGRAMA: Asesoria tecnica apropecuaria e implementacio</v>
          </cell>
          <cell r="C213">
            <v>30680000</v>
          </cell>
          <cell r="D213">
            <v>0</v>
          </cell>
          <cell r="E213">
            <v>0</v>
          </cell>
          <cell r="F213">
            <v>1475000</v>
          </cell>
          <cell r="G213">
            <v>0</v>
          </cell>
          <cell r="H213">
            <v>29205000</v>
          </cell>
          <cell r="I213">
            <v>0</v>
          </cell>
          <cell r="J213">
            <v>29205000</v>
          </cell>
          <cell r="K213">
            <v>0</v>
          </cell>
          <cell r="L213">
            <v>29205000</v>
          </cell>
          <cell r="M213">
            <v>0</v>
          </cell>
          <cell r="N213">
            <v>0</v>
          </cell>
        </row>
        <row r="214">
          <cell r="B214" t="str">
            <v>n de la Umata</v>
          </cell>
        </row>
        <row r="215">
          <cell r="A215" t="str">
            <v>132302631300</v>
          </cell>
          <cell r="B215" t="str">
            <v>PROGRAMA:Cofinanciacion a plan de atencion adulto mayor</v>
          </cell>
          <cell r="C215">
            <v>20000000</v>
          </cell>
          <cell r="D215">
            <v>0</v>
          </cell>
          <cell r="E215">
            <v>0</v>
          </cell>
          <cell r="F215">
            <v>39262400</v>
          </cell>
          <cell r="G215">
            <v>20000000</v>
          </cell>
          <cell r="H215">
            <v>737600</v>
          </cell>
          <cell r="I215">
            <v>0</v>
          </cell>
          <cell r="J215">
            <v>737600</v>
          </cell>
          <cell r="K215">
            <v>0</v>
          </cell>
          <cell r="L215">
            <v>0</v>
          </cell>
          <cell r="M215">
            <v>0</v>
          </cell>
          <cell r="N215">
            <v>737600</v>
          </cell>
        </row>
        <row r="216">
          <cell r="A216" t="str">
            <v>132302631400</v>
          </cell>
          <cell r="B216" t="str">
            <v>PROGRAMA:Desarrollo Industrial y Empresarial del Munici</v>
          </cell>
          <cell r="C216">
            <v>30260000</v>
          </cell>
          <cell r="D216">
            <v>0</v>
          </cell>
          <cell r="E216">
            <v>0</v>
          </cell>
          <cell r="F216">
            <v>31148854.079999998</v>
          </cell>
          <cell r="G216">
            <v>11300000</v>
          </cell>
          <cell r="H216">
            <v>10411145.92</v>
          </cell>
          <cell r="I216">
            <v>4476154.92</v>
          </cell>
          <cell r="J216">
            <v>10411145.92</v>
          </cell>
          <cell r="K216">
            <v>4476154.92</v>
          </cell>
          <cell r="L216">
            <v>10411145.92</v>
          </cell>
          <cell r="M216">
            <v>0</v>
          </cell>
          <cell r="N216">
            <v>0</v>
          </cell>
        </row>
        <row r="217">
          <cell r="B217" t="str">
            <v>pio.</v>
          </cell>
        </row>
        <row r="218">
          <cell r="A218" t="str">
            <v>132302631500</v>
          </cell>
          <cell r="B218" t="str">
            <v>PROGRAMA:CAPACITACION CONCEJALES EMPLEADOS Y COMUNIDAD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800000</v>
          </cell>
          <cell r="H218">
            <v>800000</v>
          </cell>
          <cell r="I218">
            <v>800000</v>
          </cell>
          <cell r="J218">
            <v>800000</v>
          </cell>
          <cell r="K218">
            <v>800000</v>
          </cell>
          <cell r="L218">
            <v>800000</v>
          </cell>
          <cell r="M218">
            <v>0</v>
          </cell>
          <cell r="N218">
            <v>0</v>
          </cell>
        </row>
        <row r="219">
          <cell r="B219" t="str">
            <v>EN GENERAL</v>
          </cell>
        </row>
        <row r="220">
          <cell r="A220" t="str">
            <v>132302641100</v>
          </cell>
          <cell r="B220" t="str">
            <v>PROGRAMA:Seguridad Ciudadana( Poblacion desplazada,carc</v>
          </cell>
          <cell r="C220">
            <v>13000000</v>
          </cell>
          <cell r="D220">
            <v>0</v>
          </cell>
          <cell r="E220">
            <v>0</v>
          </cell>
          <cell r="F220">
            <v>8500000</v>
          </cell>
          <cell r="G220">
            <v>0</v>
          </cell>
          <cell r="H220">
            <v>4500000</v>
          </cell>
          <cell r="I220">
            <v>1549000</v>
          </cell>
          <cell r="J220">
            <v>3203700</v>
          </cell>
          <cell r="K220">
            <v>1549000</v>
          </cell>
          <cell r="L220">
            <v>3203700</v>
          </cell>
          <cell r="M220">
            <v>1296300</v>
          </cell>
          <cell r="N220">
            <v>0</v>
          </cell>
        </row>
        <row r="221">
          <cell r="B221" t="str">
            <v>elaria).</v>
          </cell>
        </row>
        <row r="222">
          <cell r="A222" t="str">
            <v>132302641200</v>
          </cell>
          <cell r="B222" t="str">
            <v>PROGRAMA: Recuperacion y promocion de la imagen Municip</v>
          </cell>
          <cell r="C222">
            <v>10000000</v>
          </cell>
          <cell r="D222">
            <v>0</v>
          </cell>
          <cell r="E222">
            <v>0</v>
          </cell>
          <cell r="F222">
            <v>1314506</v>
          </cell>
          <cell r="G222">
            <v>8000000</v>
          </cell>
          <cell r="H222">
            <v>16685494</v>
          </cell>
          <cell r="I222">
            <v>0</v>
          </cell>
          <cell r="J222">
            <v>16685494</v>
          </cell>
          <cell r="K222">
            <v>4035494</v>
          </cell>
          <cell r="L222">
            <v>16685494</v>
          </cell>
          <cell r="M222">
            <v>0</v>
          </cell>
          <cell r="N222">
            <v>0</v>
          </cell>
        </row>
        <row r="223">
          <cell r="B223" t="str">
            <v>al.</v>
          </cell>
        </row>
        <row r="224">
          <cell r="A224" t="str">
            <v>132302660000</v>
          </cell>
          <cell r="B224" t="str">
            <v>PROGRAMA: Implementacion y confinanciacion de programas</v>
          </cell>
          <cell r="C224">
            <v>10965703.35</v>
          </cell>
          <cell r="D224">
            <v>0</v>
          </cell>
          <cell r="E224">
            <v>0</v>
          </cell>
          <cell r="F224">
            <v>4000000</v>
          </cell>
          <cell r="G224">
            <v>0</v>
          </cell>
          <cell r="H224">
            <v>6965703.3499999996</v>
          </cell>
          <cell r="I224">
            <v>4795370</v>
          </cell>
          <cell r="J224">
            <v>4795370</v>
          </cell>
          <cell r="K224">
            <v>4795370</v>
          </cell>
          <cell r="L224">
            <v>4795370</v>
          </cell>
          <cell r="M224">
            <v>2170333.35</v>
          </cell>
          <cell r="N224">
            <v>0</v>
          </cell>
        </row>
        <row r="225">
          <cell r="B225" t="str">
            <v>de bienestar social.</v>
          </cell>
        </row>
        <row r="226">
          <cell r="A226" t="str">
            <v>132302741100</v>
          </cell>
          <cell r="B226" t="str">
            <v>PROGRAMA:Cofinanciacion proyectos de inversion</v>
          </cell>
          <cell r="C226">
            <v>10685494</v>
          </cell>
          <cell r="D226">
            <v>0</v>
          </cell>
          <cell r="E226">
            <v>0</v>
          </cell>
          <cell r="F226">
            <v>0</v>
          </cell>
          <cell r="G226">
            <v>2050000</v>
          </cell>
          <cell r="H226">
            <v>12735494</v>
          </cell>
          <cell r="I226">
            <v>0</v>
          </cell>
          <cell r="J226">
            <v>12735494</v>
          </cell>
          <cell r="K226">
            <v>8055204</v>
          </cell>
          <cell r="L226">
            <v>12735494</v>
          </cell>
          <cell r="M226">
            <v>0</v>
          </cell>
          <cell r="N226">
            <v>0</v>
          </cell>
        </row>
        <row r="227">
          <cell r="A227" t="str">
            <v>132302741200</v>
          </cell>
          <cell r="B227" t="str">
            <v>PROGRAMA: Mejoramiento de caminos y vias rurales</v>
          </cell>
          <cell r="C227">
            <v>32750000</v>
          </cell>
          <cell r="D227">
            <v>0</v>
          </cell>
          <cell r="E227">
            <v>0</v>
          </cell>
          <cell r="F227">
            <v>13465200</v>
          </cell>
          <cell r="G227">
            <v>4007200</v>
          </cell>
          <cell r="H227">
            <v>23292000</v>
          </cell>
          <cell r="I227">
            <v>6972681.5</v>
          </cell>
          <cell r="J227">
            <v>23264681.5</v>
          </cell>
          <cell r="K227">
            <v>6972681.5</v>
          </cell>
          <cell r="L227">
            <v>23264681.5</v>
          </cell>
          <cell r="M227">
            <v>27318.5</v>
          </cell>
          <cell r="N227">
            <v>0</v>
          </cell>
        </row>
        <row r="228">
          <cell r="A228" t="str">
            <v>132302741201</v>
          </cell>
          <cell r="B228" t="str">
            <v>MEJORAMIENTO CARRETEABLE LA PUNTA PAN DE AZUCAR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30000000</v>
          </cell>
          <cell r="H228">
            <v>30000000</v>
          </cell>
          <cell r="I228">
            <v>0</v>
          </cell>
          <cell r="J228">
            <v>15000000</v>
          </cell>
          <cell r="K228">
            <v>0</v>
          </cell>
          <cell r="L228">
            <v>15000000</v>
          </cell>
          <cell r="M228">
            <v>15000000</v>
          </cell>
          <cell r="N228">
            <v>0</v>
          </cell>
        </row>
        <row r="229">
          <cell r="A229" t="str">
            <v>132302741300</v>
          </cell>
          <cell r="B229" t="str">
            <v>PROGRAMA: Pavimentacion de vias urbanas</v>
          </cell>
          <cell r="C229">
            <v>46471046.119999997</v>
          </cell>
          <cell r="D229">
            <v>0</v>
          </cell>
          <cell r="E229">
            <v>0</v>
          </cell>
          <cell r="F229">
            <v>0</v>
          </cell>
          <cell r="G229">
            <v>83715945.200000003</v>
          </cell>
          <cell r="H229">
            <v>130186991.31999999</v>
          </cell>
          <cell r="I229">
            <v>69086606.129999995</v>
          </cell>
          <cell r="J229">
            <v>125992328.73</v>
          </cell>
          <cell r="K229">
            <v>71141976.409999996</v>
          </cell>
          <cell r="L229">
            <v>123897699.01000001</v>
          </cell>
          <cell r="M229">
            <v>4194662.59</v>
          </cell>
          <cell r="N229">
            <v>2094629.72</v>
          </cell>
        </row>
        <row r="230">
          <cell r="A230" t="str">
            <v>132302750000</v>
          </cell>
          <cell r="B230" t="str">
            <v>PROGRAMA: Coofinanciacion y ejecucion programas de elec</v>
          </cell>
          <cell r="C230">
            <v>21600000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21600000</v>
          </cell>
          <cell r="I230">
            <v>21386071</v>
          </cell>
          <cell r="J230">
            <v>21586071</v>
          </cell>
          <cell r="K230">
            <v>21386071</v>
          </cell>
          <cell r="L230">
            <v>21586071</v>
          </cell>
          <cell r="M230">
            <v>13929</v>
          </cell>
          <cell r="N230">
            <v>0</v>
          </cell>
        </row>
        <row r="231">
          <cell r="B231" t="str">
            <v>trificacion</v>
          </cell>
        </row>
        <row r="232">
          <cell r="A232" t="str">
            <v>132302781100</v>
          </cell>
          <cell r="B232" t="str">
            <v>PROGRAMA:Desarrollo institucional Asesorias y capacitac</v>
          </cell>
          <cell r="C232">
            <v>35000000</v>
          </cell>
          <cell r="D232">
            <v>0</v>
          </cell>
          <cell r="E232">
            <v>0</v>
          </cell>
          <cell r="F232">
            <v>0</v>
          </cell>
          <cell r="G232">
            <v>11312806.699999999</v>
          </cell>
          <cell r="H232">
            <v>46312806.700000003</v>
          </cell>
          <cell r="I232">
            <v>634606.69999999995</v>
          </cell>
          <cell r="J232">
            <v>46312806.700000003</v>
          </cell>
          <cell r="K232">
            <v>7784606.7000000002</v>
          </cell>
          <cell r="L232">
            <v>46312806.700000003</v>
          </cell>
          <cell r="M232">
            <v>0</v>
          </cell>
          <cell r="N232">
            <v>0</v>
          </cell>
        </row>
        <row r="233">
          <cell r="B233" t="str">
            <v>ion servidores publicos</v>
          </cell>
        </row>
        <row r="234">
          <cell r="A234" t="str">
            <v>132302781200</v>
          </cell>
          <cell r="B234" t="str">
            <v>PROGRAMA: De fortalecimiento Institucional</v>
          </cell>
          <cell r="C234">
            <v>25008000</v>
          </cell>
          <cell r="D234">
            <v>0</v>
          </cell>
          <cell r="E234">
            <v>0</v>
          </cell>
          <cell r="F234">
            <v>12807</v>
          </cell>
          <cell r="G234">
            <v>47000000</v>
          </cell>
          <cell r="H234">
            <v>71995193</v>
          </cell>
          <cell r="I234">
            <v>3000000</v>
          </cell>
          <cell r="J234">
            <v>71995193</v>
          </cell>
          <cell r="K234">
            <v>6733334</v>
          </cell>
          <cell r="L234">
            <v>57100370</v>
          </cell>
          <cell r="M234">
            <v>0</v>
          </cell>
          <cell r="N234">
            <v>14894823</v>
          </cell>
        </row>
        <row r="235">
          <cell r="A235" t="str">
            <v>132302781300</v>
          </cell>
          <cell r="B235" t="str">
            <v>PROGRAMA: Levantamiento topograficos e implementacion d</v>
          </cell>
          <cell r="C235">
            <v>8000000</v>
          </cell>
          <cell r="D235">
            <v>0</v>
          </cell>
          <cell r="E235">
            <v>0</v>
          </cell>
          <cell r="F235">
            <v>4007200</v>
          </cell>
          <cell r="G235">
            <v>0</v>
          </cell>
          <cell r="H235">
            <v>3992800</v>
          </cell>
          <cell r="I235">
            <v>0</v>
          </cell>
          <cell r="J235">
            <v>3992800</v>
          </cell>
          <cell r="K235">
            <v>0</v>
          </cell>
          <cell r="L235">
            <v>3992800</v>
          </cell>
          <cell r="M235">
            <v>0</v>
          </cell>
          <cell r="N235">
            <v>0</v>
          </cell>
        </row>
        <row r="236">
          <cell r="B236" t="str">
            <v>el Banco de tierras</v>
          </cell>
        </row>
        <row r="237">
          <cell r="A237" t="str">
            <v>132302790000</v>
          </cell>
          <cell r="B237" t="str">
            <v>PROGRAMA: Prevencion y Atencion de desastres.</v>
          </cell>
          <cell r="C237">
            <v>16310000</v>
          </cell>
          <cell r="D237">
            <v>0</v>
          </cell>
          <cell r="E237">
            <v>0</v>
          </cell>
          <cell r="F237">
            <v>5174000</v>
          </cell>
          <cell r="G237">
            <v>0</v>
          </cell>
          <cell r="H237">
            <v>11136000</v>
          </cell>
          <cell r="I237">
            <v>0</v>
          </cell>
          <cell r="J237">
            <v>8136000</v>
          </cell>
          <cell r="K237">
            <v>0</v>
          </cell>
          <cell r="L237">
            <v>8136000</v>
          </cell>
          <cell r="M237">
            <v>3000000</v>
          </cell>
          <cell r="N237">
            <v>0</v>
          </cell>
        </row>
        <row r="239">
          <cell r="A239" t="str">
            <v>132302800000</v>
          </cell>
          <cell r="B239" t="str">
            <v>COFINANCIACION A LA FORMACION TECNICA PROFESIONAL DE (2</v>
          </cell>
          <cell r="C239">
            <v>0</v>
          </cell>
          <cell r="D239">
            <v>0</v>
          </cell>
          <cell r="E239">
            <v>0</v>
          </cell>
          <cell r="F239">
            <v>529682.46</v>
          </cell>
          <cell r="G239">
            <v>1500000</v>
          </cell>
          <cell r="H239">
            <v>970317.54</v>
          </cell>
          <cell r="I239">
            <v>0</v>
          </cell>
          <cell r="J239">
            <v>970317.54</v>
          </cell>
          <cell r="K239">
            <v>0</v>
          </cell>
          <cell r="L239">
            <v>970317.54</v>
          </cell>
          <cell r="M239">
            <v>0</v>
          </cell>
          <cell r="N239">
            <v>0</v>
          </cell>
        </row>
        <row r="240">
          <cell r="B240" t="str">
            <v>0) VEINTE JOVENES ZULIANOS</v>
          </cell>
        </row>
        <row r="241">
          <cell r="A241" t="str">
            <v>132303000000</v>
          </cell>
          <cell r="B241" t="str">
            <v>ALIMENTACION ESCOLAR</v>
          </cell>
          <cell r="C241">
            <v>37606427.280000001</v>
          </cell>
          <cell r="D241">
            <v>0</v>
          </cell>
          <cell r="E241">
            <v>0</v>
          </cell>
          <cell r="F241">
            <v>318127.28000000003</v>
          </cell>
          <cell r="G241">
            <v>3165524</v>
          </cell>
          <cell r="H241">
            <v>40453824</v>
          </cell>
          <cell r="I241">
            <v>4031350</v>
          </cell>
          <cell r="J241">
            <v>40240957</v>
          </cell>
          <cell r="K241">
            <v>4031350</v>
          </cell>
          <cell r="L241">
            <v>40240957</v>
          </cell>
          <cell r="M241">
            <v>212867</v>
          </cell>
          <cell r="N241">
            <v>0</v>
          </cell>
        </row>
        <row r="242">
          <cell r="A242" t="str">
            <v>132303580000</v>
          </cell>
          <cell r="B242" t="str">
            <v>PROGRAMA:Complemento nutricional poblacion escolarizada</v>
          </cell>
          <cell r="C242">
            <v>37606427.280000001</v>
          </cell>
          <cell r="D242">
            <v>0</v>
          </cell>
          <cell r="E242">
            <v>0</v>
          </cell>
          <cell r="F242">
            <v>318127.28000000003</v>
          </cell>
          <cell r="G242">
            <v>3165524</v>
          </cell>
          <cell r="H242">
            <v>40453824</v>
          </cell>
          <cell r="I242">
            <v>4031350</v>
          </cell>
          <cell r="J242">
            <v>40240957</v>
          </cell>
          <cell r="K242">
            <v>4031350</v>
          </cell>
          <cell r="L242">
            <v>40240957</v>
          </cell>
          <cell r="M242">
            <v>212867</v>
          </cell>
          <cell r="N242">
            <v>0</v>
          </cell>
        </row>
        <row r="244">
          <cell r="A244" t="str">
            <v>132304000000</v>
          </cell>
          <cell r="B244" t="str">
            <v>INVERSION DE RECURSOS DE REGALIAS</v>
          </cell>
          <cell r="C244">
            <v>100000000</v>
          </cell>
          <cell r="D244">
            <v>0</v>
          </cell>
          <cell r="E244">
            <v>0</v>
          </cell>
          <cell r="F244">
            <v>29150000</v>
          </cell>
          <cell r="G244">
            <v>186696146.94</v>
          </cell>
          <cell r="H244">
            <v>257546146.94</v>
          </cell>
          <cell r="I244">
            <v>84929422.510000005</v>
          </cell>
          <cell r="J244">
            <v>232413182.50999999</v>
          </cell>
          <cell r="K244">
            <v>131334647.08</v>
          </cell>
          <cell r="L244">
            <v>189130977.47</v>
          </cell>
          <cell r="M244">
            <v>25132964.43</v>
          </cell>
          <cell r="N244">
            <v>43282205.039999999</v>
          </cell>
        </row>
        <row r="245">
          <cell r="A245" t="str">
            <v>132304300000</v>
          </cell>
          <cell r="B245" t="str">
            <v>INVERSION DE RECURSOS PROPIOS</v>
          </cell>
          <cell r="C245">
            <v>100334664.05</v>
          </cell>
          <cell r="D245">
            <v>0</v>
          </cell>
          <cell r="E245">
            <v>0</v>
          </cell>
          <cell r="F245">
            <v>65394470.460000001</v>
          </cell>
          <cell r="G245">
            <v>92862945.709999993</v>
          </cell>
          <cell r="H245">
            <v>127803139.3</v>
          </cell>
          <cell r="I245">
            <v>27802373.02</v>
          </cell>
          <cell r="J245">
            <v>113312329.48</v>
          </cell>
          <cell r="K245">
            <v>49972373.020000003</v>
          </cell>
          <cell r="L245">
            <v>99312329.480000004</v>
          </cell>
          <cell r="M245">
            <v>14490809.82</v>
          </cell>
          <cell r="N245">
            <v>14000000</v>
          </cell>
        </row>
        <row r="246">
          <cell r="A246" t="str">
            <v>132304381100</v>
          </cell>
          <cell r="B246" t="str">
            <v>PROGRAMA: Recuperacion embellecimiento equipamiento y m</v>
          </cell>
          <cell r="C246">
            <v>17414687.23</v>
          </cell>
          <cell r="D246">
            <v>0</v>
          </cell>
          <cell r="E246">
            <v>0</v>
          </cell>
          <cell r="F246">
            <v>12583884.029999999</v>
          </cell>
          <cell r="G246">
            <v>3045196.8</v>
          </cell>
          <cell r="H246">
            <v>7876000</v>
          </cell>
          <cell r="I246">
            <v>0</v>
          </cell>
          <cell r="J246">
            <v>7876000</v>
          </cell>
          <cell r="K246">
            <v>0</v>
          </cell>
          <cell r="L246">
            <v>7876000</v>
          </cell>
          <cell r="M246">
            <v>0</v>
          </cell>
          <cell r="N246">
            <v>0</v>
          </cell>
        </row>
        <row r="247">
          <cell r="B247" t="str">
            <v>ejoramiento del espacio publico (80%R.F,ICLD)</v>
          </cell>
        </row>
        <row r="248">
          <cell r="A248" t="str">
            <v>132304381200</v>
          </cell>
          <cell r="B248" t="str">
            <v>PROGRAMA: Actualizacion censo predial(15%) I.C.L.D.</v>
          </cell>
          <cell r="C248">
            <v>27000000</v>
          </cell>
          <cell r="D248">
            <v>0</v>
          </cell>
          <cell r="E248">
            <v>0</v>
          </cell>
          <cell r="F248">
            <v>26780788</v>
          </cell>
          <cell r="G248">
            <v>0</v>
          </cell>
          <cell r="H248">
            <v>219212</v>
          </cell>
          <cell r="I248">
            <v>0</v>
          </cell>
          <cell r="J248">
            <v>219212</v>
          </cell>
          <cell r="K248">
            <v>0</v>
          </cell>
          <cell r="L248">
            <v>219212</v>
          </cell>
          <cell r="M248">
            <v>0</v>
          </cell>
          <cell r="N248">
            <v>0</v>
          </cell>
        </row>
        <row r="249">
          <cell r="A249" t="str">
            <v>132304381300</v>
          </cell>
          <cell r="B249" t="str">
            <v>PROGRAMA: Remodelacion imnuebles administracion central</v>
          </cell>
          <cell r="C249">
            <v>30000000</v>
          </cell>
          <cell r="D249">
            <v>0</v>
          </cell>
          <cell r="E249">
            <v>0</v>
          </cell>
          <cell r="F249">
            <v>25049798.43</v>
          </cell>
          <cell r="G249">
            <v>2507938.4300000002</v>
          </cell>
          <cell r="H249">
            <v>7458140</v>
          </cell>
          <cell r="I249">
            <v>0</v>
          </cell>
          <cell r="J249">
            <v>7458140</v>
          </cell>
          <cell r="K249">
            <v>0</v>
          </cell>
          <cell r="L249">
            <v>7458140</v>
          </cell>
          <cell r="M249">
            <v>0</v>
          </cell>
          <cell r="N249">
            <v>0</v>
          </cell>
        </row>
        <row r="250">
          <cell r="B250" t="str">
            <v>(15% I.C.L.D.)</v>
          </cell>
        </row>
        <row r="251">
          <cell r="A251" t="str">
            <v>132304381400</v>
          </cell>
          <cell r="B251" t="str">
            <v>IMPLEMENTACION DEL ARCHIVO GENERAL DEL MUNICIPIO</v>
          </cell>
          <cell r="C251">
            <v>0</v>
          </cell>
          <cell r="D251">
            <v>0</v>
          </cell>
          <cell r="E251">
            <v>0</v>
          </cell>
          <cell r="F251">
            <v>980000</v>
          </cell>
          <cell r="G251">
            <v>12980000</v>
          </cell>
          <cell r="H251">
            <v>12000000</v>
          </cell>
          <cell r="I251">
            <v>0</v>
          </cell>
          <cell r="J251">
            <v>12000000</v>
          </cell>
          <cell r="K251">
            <v>8000000</v>
          </cell>
          <cell r="L251">
            <v>12000000</v>
          </cell>
          <cell r="M251">
            <v>0</v>
          </cell>
          <cell r="N251">
            <v>0</v>
          </cell>
        </row>
        <row r="252">
          <cell r="A252" t="str">
            <v>132304381500</v>
          </cell>
          <cell r="B252" t="str">
            <v>ASISTENCIA TECNICA AGROPECUARIA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7665000</v>
          </cell>
          <cell r="H252">
            <v>7665000</v>
          </cell>
          <cell r="I252">
            <v>1305000</v>
          </cell>
          <cell r="J252">
            <v>7665000</v>
          </cell>
          <cell r="K252">
            <v>5475000</v>
          </cell>
          <cell r="L252">
            <v>7665000</v>
          </cell>
          <cell r="M252">
            <v>0</v>
          </cell>
          <cell r="N252">
            <v>0</v>
          </cell>
        </row>
        <row r="253">
          <cell r="A253" t="str">
            <v>132304381600</v>
          </cell>
          <cell r="B253" t="str">
            <v>COOFINANCIACION FORMACION EDUCATIVA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6988682.46</v>
          </cell>
          <cell r="H253">
            <v>6988682.46</v>
          </cell>
          <cell r="I253">
            <v>0</v>
          </cell>
          <cell r="J253">
            <v>6988682.46</v>
          </cell>
          <cell r="K253">
            <v>0</v>
          </cell>
          <cell r="L253">
            <v>6988682.46</v>
          </cell>
          <cell r="M253">
            <v>0</v>
          </cell>
          <cell r="N253">
            <v>0</v>
          </cell>
        </row>
        <row r="254">
          <cell r="A254" t="str">
            <v>132304381700</v>
          </cell>
          <cell r="B254" t="str">
            <v>PROGRAMA:APOYO A LA PRACTICA DEL DEPORTE (ESTAMPILLAS)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7447136.96</v>
          </cell>
          <cell r="H254">
            <v>7447136.96</v>
          </cell>
          <cell r="I254">
            <v>7446468.96</v>
          </cell>
          <cell r="J254">
            <v>7446468.96</v>
          </cell>
          <cell r="K254">
            <v>7446468.96</v>
          </cell>
          <cell r="L254">
            <v>7446468.96</v>
          </cell>
          <cell r="M254">
            <v>668</v>
          </cell>
          <cell r="N254">
            <v>0</v>
          </cell>
        </row>
        <row r="255">
          <cell r="A255" t="str">
            <v>132304381800</v>
          </cell>
          <cell r="B255" t="str">
            <v>PROGRAMA:APOYO INCENTIVO A LA CULTURA (ESTAMPILLAS)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5958259.0599999996</v>
          </cell>
          <cell r="H255">
            <v>5958259.0599999996</v>
          </cell>
          <cell r="I255">
            <v>5958259.0599999996</v>
          </cell>
          <cell r="J255">
            <v>5958259.0599999996</v>
          </cell>
          <cell r="K255">
            <v>5958259.0599999996</v>
          </cell>
          <cell r="L255">
            <v>5958259.0599999996</v>
          </cell>
          <cell r="M255">
            <v>0</v>
          </cell>
          <cell r="N255">
            <v>0</v>
          </cell>
        </row>
        <row r="256">
          <cell r="A256" t="str">
            <v>132304381900</v>
          </cell>
          <cell r="B256" t="str">
            <v>PROGRAMA:APOYOE INCENTIVO DEL TURISMO (ESTAMPILLAS)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3414600</v>
          </cell>
          <cell r="H256">
            <v>3414600</v>
          </cell>
          <cell r="I256">
            <v>3414600</v>
          </cell>
          <cell r="J256">
            <v>3414600</v>
          </cell>
          <cell r="K256">
            <v>3414600</v>
          </cell>
          <cell r="L256">
            <v>3414600</v>
          </cell>
          <cell r="M256">
            <v>0</v>
          </cell>
          <cell r="N256">
            <v>0</v>
          </cell>
        </row>
        <row r="257">
          <cell r="A257" t="str">
            <v>132304382000</v>
          </cell>
          <cell r="B257" t="str">
            <v>PROGRAMA:DE TERCERA EDAD ( ESTAMPILLAS)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6075344</v>
          </cell>
          <cell r="H257">
            <v>6075344</v>
          </cell>
          <cell r="I257">
            <v>6075344</v>
          </cell>
          <cell r="J257">
            <v>6075344</v>
          </cell>
          <cell r="K257">
            <v>6075344</v>
          </cell>
          <cell r="L257">
            <v>6075344</v>
          </cell>
          <cell r="M257">
            <v>0</v>
          </cell>
          <cell r="N257">
            <v>0</v>
          </cell>
        </row>
        <row r="258">
          <cell r="A258" t="str">
            <v>132304382100</v>
          </cell>
          <cell r="B258" t="str">
            <v>ESTRATIFICACION RURAL LEY 732/2002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9000000</v>
          </cell>
          <cell r="H258">
            <v>9000000</v>
          </cell>
          <cell r="I258">
            <v>0</v>
          </cell>
          <cell r="J258">
            <v>9000000</v>
          </cell>
          <cell r="K258">
            <v>0</v>
          </cell>
          <cell r="L258">
            <v>0</v>
          </cell>
          <cell r="M258">
            <v>0</v>
          </cell>
          <cell r="N258">
            <v>9000000</v>
          </cell>
        </row>
        <row r="259">
          <cell r="A259" t="str">
            <v>132304382200</v>
          </cell>
          <cell r="B259" t="str">
            <v>APOYO TECNOLOGICO A LA EDUCACION JOVENES ZULIANOS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5000000</v>
          </cell>
          <cell r="H259">
            <v>5000000</v>
          </cell>
          <cell r="I259">
            <v>0</v>
          </cell>
          <cell r="J259">
            <v>5000000</v>
          </cell>
          <cell r="K259">
            <v>0</v>
          </cell>
          <cell r="L259">
            <v>0</v>
          </cell>
          <cell r="M259">
            <v>0</v>
          </cell>
          <cell r="N259">
            <v>5000000</v>
          </cell>
        </row>
        <row r="260">
          <cell r="B260" t="str">
            <v>(POLITECNICO MARCO FIDEL SUAREZ)</v>
          </cell>
        </row>
        <row r="261">
          <cell r="A261" t="str">
            <v>132304382300</v>
          </cell>
          <cell r="B261" t="str">
            <v>APOYO A LA GESTION ADMINISTRATIVA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22780788</v>
          </cell>
          <cell r="H261">
            <v>22780788</v>
          </cell>
          <cell r="I261">
            <v>2139600</v>
          </cell>
          <cell r="J261">
            <v>12139600</v>
          </cell>
          <cell r="K261">
            <v>12139600</v>
          </cell>
          <cell r="L261">
            <v>12139600</v>
          </cell>
          <cell r="M261">
            <v>10641188</v>
          </cell>
          <cell r="N261">
            <v>0</v>
          </cell>
        </row>
        <row r="262">
          <cell r="A262" t="str">
            <v>132304660000</v>
          </cell>
          <cell r="B262" t="str">
            <v>PROGRAMA: Financiacion de comisaria de familia e inspec</v>
          </cell>
          <cell r="C262">
            <v>25919976.82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25919976.82</v>
          </cell>
          <cell r="I262">
            <v>1463101</v>
          </cell>
          <cell r="J262">
            <v>22071023</v>
          </cell>
          <cell r="K262">
            <v>1463101</v>
          </cell>
          <cell r="L262">
            <v>22071023</v>
          </cell>
          <cell r="M262">
            <v>3848953.82</v>
          </cell>
          <cell r="N262">
            <v>0</v>
          </cell>
        </row>
        <row r="263">
          <cell r="B263" t="str">
            <v>ciones de policia ( 15% I.C.L.D. LEY 617-A-018/01</v>
          </cell>
        </row>
        <row r="264">
          <cell r="A264" t="str">
            <v>132304741100</v>
          </cell>
          <cell r="B264" t="str">
            <v>PROGRAMA: Electrificacion,salud, educacion, agua potabl</v>
          </cell>
          <cell r="C264">
            <v>50000000</v>
          </cell>
          <cell r="D264">
            <v>0</v>
          </cell>
          <cell r="E264">
            <v>0</v>
          </cell>
          <cell r="F264">
            <v>24150000</v>
          </cell>
          <cell r="G264">
            <v>99673172.510000005</v>
          </cell>
          <cell r="H264">
            <v>125523172.51000001</v>
          </cell>
          <cell r="I264">
            <v>49529422.509999998</v>
          </cell>
          <cell r="J264">
            <v>125087603.51000001</v>
          </cell>
          <cell r="K264">
            <v>65395286.079999998</v>
          </cell>
          <cell r="L264">
            <v>96460824.079999998</v>
          </cell>
          <cell r="M264">
            <v>435569</v>
          </cell>
          <cell r="N264">
            <v>28626779.43</v>
          </cell>
        </row>
        <row r="265">
          <cell r="B265" t="str">
            <v>e  ley 141</v>
          </cell>
        </row>
        <row r="266">
          <cell r="A266" t="str">
            <v>132304741200</v>
          </cell>
          <cell r="B266" t="str">
            <v>PROGRAMA:Pavimentacion y mejoramiento de vias urbanas y</v>
          </cell>
          <cell r="C266">
            <v>40000000</v>
          </cell>
          <cell r="D266">
            <v>0</v>
          </cell>
          <cell r="E266">
            <v>0</v>
          </cell>
          <cell r="F266">
            <v>5000000</v>
          </cell>
          <cell r="G266">
            <v>25968095</v>
          </cell>
          <cell r="H266">
            <v>60968095</v>
          </cell>
          <cell r="I266">
            <v>0</v>
          </cell>
          <cell r="J266">
            <v>59389360</v>
          </cell>
          <cell r="K266">
            <v>30539361</v>
          </cell>
          <cell r="L266">
            <v>44964361</v>
          </cell>
          <cell r="M266">
            <v>1578735</v>
          </cell>
          <cell r="N266">
            <v>14424999</v>
          </cell>
        </row>
        <row r="267">
          <cell r="B267" t="str">
            <v>rurales ley 141</v>
          </cell>
        </row>
        <row r="268">
          <cell r="A268" t="str">
            <v>132304741300</v>
          </cell>
          <cell r="B268" t="str">
            <v>PROGRAMA: Interventoria e implementacion de proyectos c</v>
          </cell>
          <cell r="C268">
            <v>10000000</v>
          </cell>
          <cell r="D268">
            <v>0</v>
          </cell>
          <cell r="E268">
            <v>0</v>
          </cell>
          <cell r="F268">
            <v>0</v>
          </cell>
          <cell r="G268">
            <v>5000000</v>
          </cell>
          <cell r="H268">
            <v>15000000</v>
          </cell>
          <cell r="I268">
            <v>5400000</v>
          </cell>
          <cell r="J268">
            <v>12282560</v>
          </cell>
          <cell r="K268">
            <v>5400000</v>
          </cell>
          <cell r="L268">
            <v>12053000</v>
          </cell>
          <cell r="M268">
            <v>2717440</v>
          </cell>
          <cell r="N268">
            <v>229560</v>
          </cell>
        </row>
        <row r="269">
          <cell r="B269" t="str">
            <v>on recursos de regalias ley 756 de 2002</v>
          </cell>
        </row>
        <row r="270">
          <cell r="A270" t="str">
            <v>132304741400</v>
          </cell>
          <cell r="B270" t="str">
            <v>PARTICIPACION OTROS ENTES TERRITORIALES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1503659.43</v>
          </cell>
          <cell r="H270">
            <v>1503659.43</v>
          </cell>
          <cell r="I270">
            <v>0</v>
          </cell>
          <cell r="J270">
            <v>1503659</v>
          </cell>
          <cell r="K270">
            <v>0</v>
          </cell>
          <cell r="L270">
            <v>1503659</v>
          </cell>
          <cell r="M270">
            <v>0.43</v>
          </cell>
          <cell r="N270">
            <v>0</v>
          </cell>
        </row>
        <row r="271">
          <cell r="A271" t="str">
            <v>132304741500</v>
          </cell>
          <cell r="B271" t="str">
            <v>CONVEMNIO DNP-PNUD ACTUALIZACION DEL SISBEN 2003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20401220</v>
          </cell>
          <cell r="H271">
            <v>20401220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20401220</v>
          </cell>
          <cell r="N271">
            <v>0</v>
          </cell>
        </row>
        <row r="272">
          <cell r="A272" t="str">
            <v>132304741600</v>
          </cell>
          <cell r="B272" t="str">
            <v>COFINANCIACION PROYECTOS DE SALUD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4150000</v>
          </cell>
          <cell r="H272">
            <v>4150000</v>
          </cell>
          <cell r="I272">
            <v>0</v>
          </cell>
          <cell r="J272">
            <v>4150000</v>
          </cell>
          <cell r="K272">
            <v>0</v>
          </cell>
          <cell r="L272">
            <v>4149133.39</v>
          </cell>
          <cell r="M272">
            <v>0</v>
          </cell>
          <cell r="N272">
            <v>866.61</v>
          </cell>
        </row>
        <row r="273">
          <cell r="A273" t="str">
            <v>132304741700</v>
          </cell>
          <cell r="B273" t="str">
            <v>CONVENIO AREA METROPOLITANA ELECTRIFICACION LAS PIEDRAS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30000000</v>
          </cell>
          <cell r="H273">
            <v>30000000</v>
          </cell>
          <cell r="I273">
            <v>30000000</v>
          </cell>
          <cell r="J273">
            <v>30000000</v>
          </cell>
          <cell r="K273">
            <v>30000000</v>
          </cell>
          <cell r="L273">
            <v>30000000</v>
          </cell>
          <cell r="M273">
            <v>0</v>
          </cell>
          <cell r="N273">
            <v>0</v>
          </cell>
        </row>
        <row r="274">
          <cell r="B274" t="str">
            <v>LA MILAGROSA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RBANO REGIONAL"/>
      <sheetName val="SOCIOCULTURAL"/>
      <sheetName val="ECONOMICO PRODUCTIVO "/>
      <sheetName val="POLITICO INSTITUCIONAL"/>
      <sheetName val="AMBIENTAL "/>
      <sheetName val="Hoja1"/>
      <sheetName val="Hoja4"/>
      <sheetName val="Hoja2"/>
    </sheetNames>
    <sheetDataSet>
      <sheetData sheetId="0" refreshError="1">
        <row r="34">
          <cell r="AX34">
            <v>54000000000</v>
          </cell>
          <cell r="CK34">
            <v>37000000000</v>
          </cell>
          <cell r="DW34">
            <v>34000000000</v>
          </cell>
          <cell r="FI34">
            <v>5000000000</v>
          </cell>
        </row>
        <row r="35">
          <cell r="AX35">
            <v>0</v>
          </cell>
          <cell r="CK35">
            <v>0</v>
          </cell>
          <cell r="DW35">
            <v>0</v>
          </cell>
          <cell r="FI35">
            <v>0</v>
          </cell>
        </row>
        <row r="36">
          <cell r="AX36">
            <v>0</v>
          </cell>
          <cell r="CK36">
            <v>0</v>
          </cell>
          <cell r="DW36">
            <v>0</v>
          </cell>
          <cell r="FI36">
            <v>0</v>
          </cell>
        </row>
        <row r="37">
          <cell r="AX37">
            <v>1500000000</v>
          </cell>
          <cell r="CK37">
            <v>1500000000</v>
          </cell>
          <cell r="DW37">
            <v>1500000000</v>
          </cell>
          <cell r="FI37">
            <v>1500000000</v>
          </cell>
        </row>
        <row r="38">
          <cell r="AX38">
            <v>6000000000</v>
          </cell>
          <cell r="CK38">
            <v>4000000000</v>
          </cell>
          <cell r="DW38">
            <v>4000000000</v>
          </cell>
          <cell r="FI38">
            <v>1000000000</v>
          </cell>
        </row>
        <row r="39">
          <cell r="AX39">
            <v>2000000000</v>
          </cell>
          <cell r="CK39">
            <v>2000000000</v>
          </cell>
          <cell r="DW39">
            <v>2000000000</v>
          </cell>
          <cell r="FI39">
            <v>1000000000</v>
          </cell>
        </row>
        <row r="40">
          <cell r="AX40">
            <v>0</v>
          </cell>
          <cell r="CK40">
            <v>2000000000</v>
          </cell>
          <cell r="DW40">
            <v>0</v>
          </cell>
          <cell r="FI40">
            <v>0</v>
          </cell>
        </row>
        <row r="41">
          <cell r="AX41">
            <v>0</v>
          </cell>
          <cell r="CK41">
            <v>2000000000</v>
          </cell>
          <cell r="DW41">
            <v>0</v>
          </cell>
          <cell r="FI41">
            <v>0</v>
          </cell>
        </row>
        <row r="42">
          <cell r="AX42">
            <v>0</v>
          </cell>
          <cell r="CK42">
            <v>0</v>
          </cell>
          <cell r="DW42">
            <v>0</v>
          </cell>
          <cell r="FI42">
            <v>0</v>
          </cell>
        </row>
        <row r="44">
          <cell r="AM44">
            <v>68.5</v>
          </cell>
          <cell r="AX44">
            <v>2000000000</v>
          </cell>
          <cell r="CK44">
            <v>1000000000</v>
          </cell>
          <cell r="DW44">
            <v>0</v>
          </cell>
          <cell r="FI44">
            <v>0</v>
          </cell>
        </row>
        <row r="45">
          <cell r="AM45">
            <v>0</v>
          </cell>
          <cell r="AX45">
            <v>1000000000</v>
          </cell>
          <cell r="CK45">
            <v>0</v>
          </cell>
          <cell r="DW45">
            <v>0</v>
          </cell>
          <cell r="FI45">
            <v>0</v>
          </cell>
        </row>
        <row r="46">
          <cell r="AM46">
            <v>0</v>
          </cell>
          <cell r="AX46">
            <v>1000000000</v>
          </cell>
          <cell r="CK46">
            <v>1000000000</v>
          </cell>
          <cell r="DW46">
            <v>500000000</v>
          </cell>
          <cell r="FI46">
            <v>0</v>
          </cell>
        </row>
        <row r="47">
          <cell r="AM47">
            <v>494</v>
          </cell>
          <cell r="AX47">
            <v>1000000000</v>
          </cell>
          <cell r="CK47">
            <v>1000000000</v>
          </cell>
          <cell r="DW47">
            <v>1000000000</v>
          </cell>
          <cell r="FI47">
            <v>1000000000</v>
          </cell>
        </row>
        <row r="48">
          <cell r="AM48">
            <v>0</v>
          </cell>
          <cell r="AX48">
            <v>4000000000</v>
          </cell>
          <cell r="CK48">
            <v>6000000000</v>
          </cell>
          <cell r="DW48">
            <v>0</v>
          </cell>
          <cell r="FI48">
            <v>0</v>
          </cell>
        </row>
        <row r="49">
          <cell r="AM49">
            <v>0.5</v>
          </cell>
          <cell r="AX49">
            <v>4000000000</v>
          </cell>
          <cell r="CK49">
            <v>0</v>
          </cell>
          <cell r="DW49">
            <v>0</v>
          </cell>
          <cell r="FI49">
            <v>0</v>
          </cell>
        </row>
        <row r="50">
          <cell r="AM50" t="str">
            <v>ND</v>
          </cell>
          <cell r="AX50">
            <v>500000000</v>
          </cell>
          <cell r="CK50">
            <v>0</v>
          </cell>
          <cell r="DW50">
            <v>0</v>
          </cell>
          <cell r="FI50">
            <v>0</v>
          </cell>
        </row>
      </sheetData>
      <sheetData sheetId="1" refreshError="1">
        <row r="4">
          <cell r="H4">
            <v>2.5</v>
          </cell>
        </row>
        <row r="5">
          <cell r="AF5">
            <v>1</v>
          </cell>
          <cell r="AG5">
            <v>1</v>
          </cell>
          <cell r="AH5">
            <v>1</v>
          </cell>
          <cell r="AI5">
            <v>1</v>
          </cell>
        </row>
        <row r="7">
          <cell r="AP7">
            <v>154435900</v>
          </cell>
        </row>
        <row r="11">
          <cell r="AP11">
            <v>250000000</v>
          </cell>
        </row>
        <row r="12">
          <cell r="AP12">
            <v>13700000000</v>
          </cell>
        </row>
        <row r="13">
          <cell r="AP13">
            <v>8000000000</v>
          </cell>
        </row>
        <row r="14">
          <cell r="AP14">
            <v>0</v>
          </cell>
        </row>
        <row r="15">
          <cell r="AP15">
            <v>4000000000</v>
          </cell>
        </row>
        <row r="16">
          <cell r="AP16">
            <v>0</v>
          </cell>
        </row>
        <row r="17">
          <cell r="AP17">
            <v>3850000000</v>
          </cell>
        </row>
        <row r="18">
          <cell r="AP18">
            <v>37028265</v>
          </cell>
        </row>
        <row r="19">
          <cell r="AP19">
            <v>0</v>
          </cell>
        </row>
        <row r="20">
          <cell r="AP20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J996"/>
  <sheetViews>
    <sheetView tabSelected="1" topLeftCell="A5" zoomScale="90" zoomScaleNormal="90" workbookViewId="0">
      <pane ySplit="2" topLeftCell="A579" activePane="bottomLeft" state="frozen"/>
      <selection activeCell="A5" sqref="A5"/>
      <selection pane="bottomLeft" activeCell="A586" sqref="A586"/>
    </sheetView>
  </sheetViews>
  <sheetFormatPr baseColWidth="10" defaultRowHeight="12.75"/>
  <cols>
    <col min="1" max="1" width="24.85546875" customWidth="1"/>
    <col min="2" max="6" width="11.42578125" customWidth="1"/>
    <col min="7" max="7" width="16.140625" customWidth="1"/>
    <col min="8" max="8" width="20.42578125" customWidth="1"/>
    <col min="9" max="9" width="11.140625" customWidth="1"/>
    <col min="10" max="13" width="11.42578125" customWidth="1"/>
    <col min="14" max="14" width="21.85546875" customWidth="1"/>
    <col min="15" max="16" width="13" customWidth="1"/>
    <col min="17" max="19" width="11.42578125" customWidth="1"/>
    <col min="20" max="20" width="18.42578125" customWidth="1"/>
    <col min="21" max="22" width="11.42578125" customWidth="1"/>
    <col min="23" max="23" width="17.140625" customWidth="1"/>
    <col min="24" max="24" width="16.5703125" customWidth="1"/>
    <col min="25" max="25" width="14.140625" customWidth="1"/>
    <col min="26" max="26" width="15.5703125" customWidth="1"/>
    <col min="27" max="28" width="14.140625" customWidth="1"/>
    <col min="29" max="29" width="26.42578125" customWidth="1"/>
    <col min="30" max="30" width="15.85546875" customWidth="1"/>
    <col min="31" max="32" width="8.85546875" customWidth="1"/>
    <col min="33" max="33" width="9.140625" customWidth="1"/>
    <col min="34" max="34" width="10.42578125" customWidth="1"/>
    <col min="35" max="35" width="37.28515625" customWidth="1"/>
    <col min="36" max="39" width="11.42578125" customWidth="1"/>
    <col min="40" max="40" width="8.7109375" customWidth="1"/>
    <col min="41" max="41" width="31.42578125" customWidth="1"/>
    <col min="42" max="43" width="11.42578125" customWidth="1"/>
    <col min="44" max="44" width="17.140625" customWidth="1"/>
    <col min="45" max="45" width="17" customWidth="1"/>
    <col min="46" max="47" width="19.140625" customWidth="1"/>
    <col min="48" max="49" width="19.5703125" customWidth="1"/>
    <col min="50" max="50" width="18.42578125" customWidth="1"/>
    <col min="51" max="51" width="23.42578125" customWidth="1"/>
    <col min="52" max="52" width="21.85546875" customWidth="1"/>
    <col min="53" max="53" width="21.140625" customWidth="1"/>
    <col min="54" max="54" width="22.140625" customWidth="1"/>
    <col min="55" max="55" width="23.140625" customWidth="1"/>
    <col min="56" max="56" width="21.42578125" customWidth="1"/>
    <col min="57" max="57" width="27.28515625" customWidth="1"/>
    <col min="58" max="58" width="11.42578125" customWidth="1"/>
  </cols>
  <sheetData>
    <row r="1" spans="1:166">
      <c r="A1" s="465" t="s">
        <v>29</v>
      </c>
      <c r="B1" s="465"/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T1" s="465"/>
      <c r="U1" s="465"/>
      <c r="V1" s="465"/>
      <c r="W1" s="465"/>
      <c r="X1" s="465"/>
      <c r="Y1" s="465"/>
      <c r="Z1" s="465"/>
      <c r="AA1" s="465"/>
      <c r="AB1" s="465"/>
      <c r="AC1" s="465"/>
      <c r="AD1" s="465"/>
      <c r="AE1" s="465"/>
      <c r="AF1" s="465"/>
      <c r="AG1" s="465"/>
      <c r="AH1" s="465"/>
      <c r="AI1" s="465"/>
      <c r="AJ1" s="465"/>
      <c r="AK1" s="465"/>
      <c r="AL1" s="465"/>
      <c r="AM1" s="465"/>
      <c r="AN1" s="465"/>
      <c r="AO1" s="465"/>
      <c r="AP1" s="465"/>
      <c r="AQ1" s="465"/>
      <c r="AR1" s="465"/>
      <c r="AS1" s="465"/>
      <c r="AT1" s="465"/>
      <c r="AU1" s="465"/>
      <c r="AV1" s="465"/>
      <c r="AW1" s="465"/>
      <c r="AX1" s="465"/>
      <c r="AY1" s="465"/>
      <c r="AZ1" s="465"/>
      <c r="BA1" s="465"/>
      <c r="BB1" s="465"/>
      <c r="BC1" s="465"/>
      <c r="BD1" s="465"/>
      <c r="BE1" s="465"/>
    </row>
    <row r="2" spans="1:166">
      <c r="A2" s="465" t="s">
        <v>30</v>
      </c>
      <c r="B2" s="465"/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465"/>
      <c r="Q2" s="465"/>
      <c r="R2" s="465"/>
      <c r="S2" s="465"/>
      <c r="T2" s="465"/>
      <c r="U2" s="465"/>
      <c r="V2" s="465"/>
      <c r="W2" s="465"/>
      <c r="X2" s="465"/>
      <c r="Y2" s="465"/>
      <c r="Z2" s="465"/>
      <c r="AA2" s="465"/>
      <c r="AB2" s="465"/>
      <c r="AC2" s="465"/>
      <c r="AD2" s="465"/>
      <c r="AE2" s="465"/>
      <c r="AF2" s="465"/>
      <c r="AG2" s="465"/>
      <c r="AH2" s="465"/>
      <c r="AI2" s="465"/>
      <c r="AJ2" s="465"/>
      <c r="AK2" s="465"/>
      <c r="AL2" s="465"/>
      <c r="AM2" s="465"/>
      <c r="AN2" s="465"/>
      <c r="AO2" s="465"/>
      <c r="AP2" s="465"/>
      <c r="AQ2" s="465"/>
      <c r="AR2" s="465"/>
      <c r="AS2" s="465"/>
      <c r="AT2" s="465"/>
      <c r="AU2" s="465"/>
      <c r="AV2" s="465"/>
      <c r="AW2" s="465"/>
      <c r="AX2" s="465"/>
      <c r="AY2" s="465"/>
      <c r="AZ2" s="465"/>
      <c r="BA2" s="465"/>
      <c r="BB2" s="465"/>
      <c r="BC2" s="465"/>
      <c r="BD2" s="465"/>
      <c r="BE2" s="465"/>
    </row>
    <row r="3" spans="1:166">
      <c r="A3" s="465" t="s">
        <v>26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465"/>
      <c r="S3" s="465"/>
      <c r="T3" s="465"/>
      <c r="U3" s="465"/>
      <c r="V3" s="465"/>
      <c r="W3" s="465"/>
      <c r="X3" s="465"/>
      <c r="Y3" s="465"/>
      <c r="Z3" s="465"/>
      <c r="AA3" s="465"/>
      <c r="AB3" s="465"/>
      <c r="AC3" s="465"/>
      <c r="AD3" s="465"/>
      <c r="AE3" s="465"/>
      <c r="AF3" s="465"/>
      <c r="AG3" s="465"/>
      <c r="AH3" s="465"/>
      <c r="AI3" s="465"/>
      <c r="AJ3" s="465"/>
      <c r="AK3" s="465"/>
      <c r="AL3" s="465"/>
      <c r="AM3" s="465"/>
      <c r="AN3" s="465"/>
      <c r="AO3" s="465"/>
      <c r="AP3" s="465"/>
      <c r="AQ3" s="465"/>
      <c r="AR3" s="465"/>
      <c r="AS3" s="465"/>
      <c r="AT3" s="465"/>
      <c r="AU3" s="465"/>
      <c r="AV3" s="465"/>
      <c r="AW3" s="465"/>
      <c r="AX3" s="465"/>
      <c r="AY3" s="465"/>
      <c r="AZ3" s="465"/>
      <c r="BA3" s="465"/>
      <c r="BB3" s="465"/>
      <c r="BC3" s="465"/>
      <c r="BD3" s="465"/>
      <c r="BE3" s="465"/>
    </row>
    <row r="4" spans="1:166">
      <c r="C4" s="390">
        <v>0.1</v>
      </c>
      <c r="D4" s="390">
        <v>0.45</v>
      </c>
      <c r="E4" s="390">
        <v>0.25</v>
      </c>
      <c r="F4" s="390">
        <v>0.2</v>
      </c>
    </row>
    <row r="5" spans="1:166" ht="23.25" customHeight="1">
      <c r="A5" s="463" t="s">
        <v>21</v>
      </c>
      <c r="B5" s="466" t="s">
        <v>22</v>
      </c>
      <c r="C5" s="26" t="s">
        <v>22</v>
      </c>
      <c r="D5" s="26" t="s">
        <v>22</v>
      </c>
      <c r="E5" s="26" t="s">
        <v>22</v>
      </c>
      <c r="F5" s="26" t="s">
        <v>22</v>
      </c>
      <c r="G5" s="463" t="s">
        <v>5</v>
      </c>
      <c r="H5" s="463" t="s">
        <v>0</v>
      </c>
      <c r="I5" s="463" t="s">
        <v>22</v>
      </c>
      <c r="J5" s="26" t="s">
        <v>22</v>
      </c>
      <c r="K5" s="26" t="s">
        <v>22</v>
      </c>
      <c r="L5" s="26" t="s">
        <v>22</v>
      </c>
      <c r="M5" s="26" t="s">
        <v>22</v>
      </c>
      <c r="N5" s="463" t="s">
        <v>3</v>
      </c>
      <c r="O5" s="463" t="s">
        <v>22</v>
      </c>
      <c r="P5" s="26" t="s">
        <v>22</v>
      </c>
      <c r="Q5" s="26" t="s">
        <v>22</v>
      </c>
      <c r="R5" s="26" t="s">
        <v>22</v>
      </c>
      <c r="S5" s="26" t="s">
        <v>22</v>
      </c>
      <c r="T5" s="463" t="s">
        <v>20</v>
      </c>
      <c r="U5" s="463"/>
      <c r="V5" s="463"/>
      <c r="W5" s="463"/>
      <c r="X5" s="463"/>
      <c r="Y5" s="463"/>
      <c r="Z5" s="463"/>
      <c r="AA5" s="463"/>
      <c r="AB5" s="463"/>
      <c r="AC5" s="463" t="s">
        <v>6</v>
      </c>
      <c r="AD5" s="463" t="s">
        <v>22</v>
      </c>
      <c r="AE5" s="26" t="s">
        <v>22</v>
      </c>
      <c r="AF5" s="26" t="s">
        <v>22</v>
      </c>
      <c r="AG5" s="26" t="s">
        <v>22</v>
      </c>
      <c r="AH5" s="26" t="s">
        <v>22</v>
      </c>
      <c r="AI5" s="463" t="s">
        <v>4</v>
      </c>
      <c r="AJ5" s="463" t="s">
        <v>22</v>
      </c>
      <c r="AK5" s="26" t="s">
        <v>22</v>
      </c>
      <c r="AL5" s="26" t="s">
        <v>22</v>
      </c>
      <c r="AM5" s="26" t="s">
        <v>22</v>
      </c>
      <c r="AN5" s="26" t="s">
        <v>22</v>
      </c>
      <c r="AO5" s="463" t="s">
        <v>19</v>
      </c>
      <c r="AP5" s="463"/>
      <c r="AQ5" s="463"/>
      <c r="AR5" s="463"/>
      <c r="AS5" s="26"/>
      <c r="AT5" s="391"/>
      <c r="AU5" s="391"/>
      <c r="AV5" s="391"/>
      <c r="AW5" s="391"/>
      <c r="AX5" s="26"/>
      <c r="AY5" s="463" t="s">
        <v>23</v>
      </c>
      <c r="AZ5" s="463"/>
      <c r="BA5" s="463"/>
      <c r="BB5" s="463"/>
      <c r="BC5" s="463"/>
      <c r="BD5" s="463" t="s">
        <v>7</v>
      </c>
      <c r="BE5" s="463" t="s">
        <v>8</v>
      </c>
    </row>
    <row r="6" spans="1:166" ht="23.25" thickBot="1">
      <c r="A6" s="464"/>
      <c r="B6" s="467"/>
      <c r="C6" s="27">
        <v>2012</v>
      </c>
      <c r="D6" s="27">
        <v>2013</v>
      </c>
      <c r="E6" s="27">
        <v>2014</v>
      </c>
      <c r="F6" s="27">
        <v>2015</v>
      </c>
      <c r="G6" s="464"/>
      <c r="H6" s="464"/>
      <c r="I6" s="464"/>
      <c r="J6" s="27">
        <v>2012</v>
      </c>
      <c r="K6" s="27">
        <v>2013</v>
      </c>
      <c r="L6" s="27">
        <v>2014</v>
      </c>
      <c r="M6" s="27">
        <v>2015</v>
      </c>
      <c r="N6" s="464"/>
      <c r="O6" s="464"/>
      <c r="P6" s="27">
        <v>2012</v>
      </c>
      <c r="Q6" s="27">
        <v>2013</v>
      </c>
      <c r="R6" s="27">
        <v>2014</v>
      </c>
      <c r="S6" s="27">
        <v>2015</v>
      </c>
      <c r="T6" s="27" t="s">
        <v>9</v>
      </c>
      <c r="U6" s="27" t="s">
        <v>10</v>
      </c>
      <c r="V6" s="27" t="s">
        <v>11</v>
      </c>
      <c r="W6" s="27" t="s">
        <v>12</v>
      </c>
      <c r="X6" s="27" t="s">
        <v>13</v>
      </c>
      <c r="Y6" s="27" t="s">
        <v>14</v>
      </c>
      <c r="Z6" s="27" t="s">
        <v>15</v>
      </c>
      <c r="AA6" s="27" t="s">
        <v>16</v>
      </c>
      <c r="AB6" s="27" t="s">
        <v>17</v>
      </c>
      <c r="AC6" s="464"/>
      <c r="AD6" s="464"/>
      <c r="AE6" s="36">
        <v>2012</v>
      </c>
      <c r="AF6" s="27">
        <v>2013</v>
      </c>
      <c r="AG6" s="27">
        <v>2014</v>
      </c>
      <c r="AH6" s="27">
        <v>2015</v>
      </c>
      <c r="AI6" s="464"/>
      <c r="AJ6" s="464"/>
      <c r="AK6" s="27">
        <v>2012</v>
      </c>
      <c r="AL6" s="27">
        <v>2013</v>
      </c>
      <c r="AM6" s="27">
        <v>2014</v>
      </c>
      <c r="AN6" s="27">
        <v>2015</v>
      </c>
      <c r="AO6" s="27" t="s">
        <v>2</v>
      </c>
      <c r="AP6" s="27" t="s">
        <v>10</v>
      </c>
      <c r="AQ6" s="27" t="s">
        <v>18</v>
      </c>
      <c r="AR6" s="27" t="s">
        <v>1</v>
      </c>
      <c r="AS6" s="27" t="s">
        <v>27</v>
      </c>
      <c r="AT6" s="392" t="s">
        <v>14</v>
      </c>
      <c r="AU6" s="392" t="s">
        <v>15</v>
      </c>
      <c r="AV6" s="392" t="s">
        <v>16</v>
      </c>
      <c r="AW6" s="392" t="s">
        <v>17</v>
      </c>
      <c r="AX6" s="27" t="s">
        <v>28</v>
      </c>
      <c r="AY6" s="27" t="s">
        <v>14</v>
      </c>
      <c r="AZ6" s="27" t="s">
        <v>15</v>
      </c>
      <c r="BA6" s="27" t="s">
        <v>16</v>
      </c>
      <c r="BB6" s="27" t="s">
        <v>17</v>
      </c>
      <c r="BC6" s="27" t="s">
        <v>13</v>
      </c>
      <c r="BD6" s="464"/>
      <c r="BE6" s="464"/>
    </row>
    <row r="7" spans="1:166" ht="78.75" customHeight="1">
      <c r="A7" s="495" t="s">
        <v>25</v>
      </c>
      <c r="B7" s="470">
        <v>8</v>
      </c>
      <c r="C7" s="470">
        <f>+B7*C4</f>
        <v>0.8</v>
      </c>
      <c r="D7" s="470">
        <f>+B7*D4</f>
        <v>3.6</v>
      </c>
      <c r="E7" s="470">
        <f>+B7*E4</f>
        <v>2</v>
      </c>
      <c r="F7" s="470">
        <f>+B7*F4</f>
        <v>1.6</v>
      </c>
      <c r="G7" s="495" t="s">
        <v>31</v>
      </c>
      <c r="H7" s="495" t="s">
        <v>32</v>
      </c>
      <c r="I7" s="470">
        <f>+(8*100)/8</f>
        <v>100</v>
      </c>
      <c r="J7" s="470">
        <f>+I7*C4</f>
        <v>10</v>
      </c>
      <c r="K7" s="470">
        <f>+I7*D4</f>
        <v>45</v>
      </c>
      <c r="L7" s="470">
        <f>+I7*E4</f>
        <v>25</v>
      </c>
      <c r="M7" s="470">
        <f>+I7*F4</f>
        <v>20</v>
      </c>
      <c r="N7" s="496" t="s">
        <v>33</v>
      </c>
      <c r="O7" s="470">
        <f>+(4*100)/8</f>
        <v>50</v>
      </c>
      <c r="P7" s="470">
        <f>+O7*C4</f>
        <v>5</v>
      </c>
      <c r="Q7" s="470">
        <f>+O7*D4</f>
        <v>22.5</v>
      </c>
      <c r="R7" s="470">
        <f>+O7*E4</f>
        <v>12.5</v>
      </c>
      <c r="S7" s="470">
        <f>O7*F4</f>
        <v>10</v>
      </c>
      <c r="T7" s="497" t="s">
        <v>34</v>
      </c>
      <c r="U7" s="497" t="s">
        <v>202</v>
      </c>
      <c r="V7" s="478" t="s">
        <v>22</v>
      </c>
      <c r="W7" s="498">
        <v>0.32919999999999999</v>
      </c>
      <c r="X7" s="468">
        <v>0.9</v>
      </c>
      <c r="Y7" s="468">
        <v>0.45</v>
      </c>
      <c r="Z7" s="468">
        <v>0.65</v>
      </c>
      <c r="AA7" s="468">
        <v>0.8</v>
      </c>
      <c r="AB7" s="468">
        <v>0.9</v>
      </c>
      <c r="AC7" s="469" t="s">
        <v>35</v>
      </c>
      <c r="AD7" s="470">
        <f>+(4*100)/4</f>
        <v>100</v>
      </c>
      <c r="AE7" s="471">
        <f>+AD7*C4</f>
        <v>10</v>
      </c>
      <c r="AF7" s="471">
        <f>+AD7*D4</f>
        <v>45</v>
      </c>
      <c r="AG7" s="471">
        <f>+AD7*E4</f>
        <v>25</v>
      </c>
      <c r="AH7" s="471">
        <f>+AD7*F4</f>
        <v>20</v>
      </c>
      <c r="AI7" s="472" t="s">
        <v>36</v>
      </c>
      <c r="AJ7" s="473">
        <v>39.57</v>
      </c>
      <c r="AK7" s="473">
        <f>+AJ7*C4</f>
        <v>3.9570000000000003</v>
      </c>
      <c r="AL7" s="473">
        <f>+AJ7*D4</f>
        <v>17.8065</v>
      </c>
      <c r="AM7" s="473">
        <f>+AJ7*E4</f>
        <v>9.8925000000000001</v>
      </c>
      <c r="AN7" s="473">
        <f>+AJ7*F4</f>
        <v>7.9140000000000006</v>
      </c>
      <c r="AO7" s="472" t="s">
        <v>52</v>
      </c>
      <c r="AP7" s="474" t="s">
        <v>202</v>
      </c>
      <c r="AQ7" s="474" t="s">
        <v>87</v>
      </c>
      <c r="AR7" s="475">
        <v>3054</v>
      </c>
      <c r="AS7" s="476">
        <v>5554</v>
      </c>
      <c r="AT7" s="477">
        <v>737.17948717948718</v>
      </c>
      <c r="AU7" s="477">
        <v>480.76923076923077</v>
      </c>
      <c r="AV7" s="477">
        <v>480.76923076923077</v>
      </c>
      <c r="AW7" s="477">
        <v>801.28205128205127</v>
      </c>
      <c r="AX7" s="478">
        <v>2500</v>
      </c>
      <c r="AY7" s="479">
        <v>2300000000</v>
      </c>
      <c r="AZ7" s="479">
        <v>1500000000</v>
      </c>
      <c r="BA7" s="479">
        <v>1500000000</v>
      </c>
      <c r="BB7" s="479">
        <v>2500000000</v>
      </c>
      <c r="BC7" s="480">
        <f>SUM(AY7:BB7)</f>
        <v>7800000000</v>
      </c>
      <c r="BD7" s="481" t="s">
        <v>68</v>
      </c>
      <c r="BE7" s="482" t="s">
        <v>69</v>
      </c>
      <c r="CL7">
        <v>1500000000</v>
      </c>
      <c r="CM7">
        <v>500000000</v>
      </c>
      <c r="CN7">
        <v>1000000000</v>
      </c>
      <c r="DX7">
        <v>1500000000</v>
      </c>
      <c r="DY7">
        <v>1500000000</v>
      </c>
      <c r="FJ7">
        <v>2500000000</v>
      </c>
    </row>
    <row r="8" spans="1:166" ht="33.75">
      <c r="A8" s="484"/>
      <c r="B8" s="484"/>
      <c r="C8" s="484"/>
      <c r="D8" s="484"/>
      <c r="E8" s="484"/>
      <c r="F8" s="484"/>
      <c r="G8" s="484"/>
      <c r="H8" s="484"/>
      <c r="I8" s="499"/>
      <c r="J8" s="499"/>
      <c r="K8" s="499"/>
      <c r="L8" s="499"/>
      <c r="M8" s="499"/>
      <c r="N8" s="500"/>
      <c r="O8" s="499"/>
      <c r="P8" s="500"/>
      <c r="Q8" s="500"/>
      <c r="R8" s="500"/>
      <c r="S8" s="500"/>
      <c r="T8" s="501"/>
      <c r="U8" s="501"/>
      <c r="V8" s="502"/>
      <c r="W8" s="483"/>
      <c r="X8" s="483"/>
      <c r="Y8" s="483"/>
      <c r="Z8" s="483"/>
      <c r="AA8" s="483"/>
      <c r="AB8" s="483"/>
      <c r="AC8" s="484"/>
      <c r="AD8" s="484"/>
      <c r="AE8" s="485"/>
      <c r="AF8" s="485"/>
      <c r="AG8" s="485"/>
      <c r="AH8" s="485"/>
      <c r="AI8" s="472" t="s">
        <v>37</v>
      </c>
      <c r="AJ8" s="473">
        <v>3.37</v>
      </c>
      <c r="AK8" s="473">
        <v>0</v>
      </c>
      <c r="AL8" s="473">
        <v>0</v>
      </c>
      <c r="AM8" s="473">
        <v>3.37</v>
      </c>
      <c r="AN8" s="473">
        <v>0</v>
      </c>
      <c r="AO8" s="472" t="s">
        <v>53</v>
      </c>
      <c r="AP8" s="474" t="s">
        <v>202</v>
      </c>
      <c r="AQ8" s="474" t="s">
        <v>87</v>
      </c>
      <c r="AR8" s="475">
        <v>0</v>
      </c>
      <c r="AS8" s="486">
        <v>1</v>
      </c>
      <c r="AT8" s="477">
        <v>0.33333333333333331</v>
      </c>
      <c r="AU8" s="477">
        <v>0.33333333333333331</v>
      </c>
      <c r="AV8" s="477">
        <v>1</v>
      </c>
      <c r="AW8" s="477">
        <v>0</v>
      </c>
      <c r="AX8" s="486">
        <v>1</v>
      </c>
      <c r="AY8" s="479">
        <v>200000000</v>
      </c>
      <c r="AZ8" s="479">
        <v>200000000</v>
      </c>
      <c r="BA8" s="479">
        <v>200000000</v>
      </c>
      <c r="BB8" s="479">
        <v>0</v>
      </c>
      <c r="BC8" s="480">
        <f t="shared" ref="BC8:BC22" si="0">SUM(AY8:BB8)</f>
        <v>600000000</v>
      </c>
      <c r="BD8" s="481" t="s">
        <v>68</v>
      </c>
      <c r="BE8" s="482" t="s">
        <v>69</v>
      </c>
      <c r="CL8">
        <v>200000000</v>
      </c>
      <c r="CM8">
        <v>200000000</v>
      </c>
      <c r="DX8">
        <v>200000000</v>
      </c>
      <c r="DY8">
        <v>200000000</v>
      </c>
      <c r="FJ8">
        <v>0</v>
      </c>
    </row>
    <row r="9" spans="1:166" ht="22.5">
      <c r="A9" s="484"/>
      <c r="B9" s="484"/>
      <c r="C9" s="484"/>
      <c r="D9" s="484"/>
      <c r="E9" s="484"/>
      <c r="F9" s="484"/>
      <c r="G9" s="484"/>
      <c r="H9" s="484"/>
      <c r="I9" s="499"/>
      <c r="J9" s="499"/>
      <c r="K9" s="499"/>
      <c r="L9" s="499"/>
      <c r="M9" s="499"/>
      <c r="N9" s="500"/>
      <c r="O9" s="500"/>
      <c r="P9" s="500"/>
      <c r="Q9" s="500"/>
      <c r="R9" s="500"/>
      <c r="S9" s="500"/>
      <c r="T9" s="501"/>
      <c r="U9" s="501"/>
      <c r="V9" s="502"/>
      <c r="W9" s="483"/>
      <c r="X9" s="483"/>
      <c r="Y9" s="483"/>
      <c r="Z9" s="483"/>
      <c r="AA9" s="483"/>
      <c r="AB9" s="483"/>
      <c r="AC9" s="484"/>
      <c r="AD9" s="484"/>
      <c r="AE9" s="485"/>
      <c r="AF9" s="485"/>
      <c r="AG9" s="485"/>
      <c r="AH9" s="485"/>
      <c r="AI9" s="472" t="s">
        <v>38</v>
      </c>
      <c r="AJ9" s="473">
        <v>0.13</v>
      </c>
      <c r="AK9" s="473">
        <v>0</v>
      </c>
      <c r="AL9" s="473">
        <v>7.0000000000000007E-2</v>
      </c>
      <c r="AM9" s="473">
        <f>+AJ9*E4</f>
        <v>3.2500000000000001E-2</v>
      </c>
      <c r="AN9" s="473">
        <f>+AJ9*F4</f>
        <v>2.6000000000000002E-2</v>
      </c>
      <c r="AO9" s="472" t="s">
        <v>54</v>
      </c>
      <c r="AP9" s="474" t="s">
        <v>202</v>
      </c>
      <c r="AQ9" s="474" t="s">
        <v>87</v>
      </c>
      <c r="AR9" s="487">
        <v>400</v>
      </c>
      <c r="AS9" s="486">
        <v>2400</v>
      </c>
      <c r="AT9" s="488">
        <v>0</v>
      </c>
      <c r="AU9" s="477">
        <v>1000</v>
      </c>
      <c r="AV9" s="477">
        <v>500</v>
      </c>
      <c r="AW9" s="477">
        <v>500</v>
      </c>
      <c r="AX9" s="486">
        <v>2000</v>
      </c>
      <c r="AY9" s="479">
        <v>0</v>
      </c>
      <c r="AZ9" s="479">
        <v>0</v>
      </c>
      <c r="BA9" s="480">
        <v>0</v>
      </c>
      <c r="BB9" s="480">
        <v>0</v>
      </c>
      <c r="BC9" s="480">
        <f t="shared" si="0"/>
        <v>0</v>
      </c>
      <c r="BD9" s="481" t="s">
        <v>68</v>
      </c>
      <c r="BE9" s="482" t="s">
        <v>69</v>
      </c>
      <c r="CL9">
        <v>0</v>
      </c>
      <c r="DX9">
        <v>0</v>
      </c>
      <c r="FJ9">
        <v>0</v>
      </c>
    </row>
    <row r="10" spans="1:166" ht="22.5">
      <c r="A10" s="484"/>
      <c r="B10" s="484"/>
      <c r="C10" s="484"/>
      <c r="D10" s="484"/>
      <c r="E10" s="484"/>
      <c r="F10" s="484"/>
      <c r="G10" s="484"/>
      <c r="H10" s="484"/>
      <c r="I10" s="499"/>
      <c r="J10" s="499"/>
      <c r="K10" s="499"/>
      <c r="L10" s="499"/>
      <c r="M10" s="499"/>
      <c r="N10" s="500"/>
      <c r="O10" s="500"/>
      <c r="P10" s="500"/>
      <c r="Q10" s="500"/>
      <c r="R10" s="500"/>
      <c r="S10" s="500"/>
      <c r="T10" s="501"/>
      <c r="U10" s="501"/>
      <c r="V10" s="502"/>
      <c r="W10" s="483"/>
      <c r="X10" s="483"/>
      <c r="Y10" s="483"/>
      <c r="Z10" s="483"/>
      <c r="AA10" s="483"/>
      <c r="AB10" s="483"/>
      <c r="AC10" s="484"/>
      <c r="AD10" s="484"/>
      <c r="AE10" s="485"/>
      <c r="AF10" s="485"/>
      <c r="AG10" s="485"/>
      <c r="AH10" s="485"/>
      <c r="AI10" s="472" t="s">
        <v>39</v>
      </c>
      <c r="AJ10" s="473">
        <v>3.1</v>
      </c>
      <c r="AK10" s="473">
        <f>+AJ10*C4</f>
        <v>0.31000000000000005</v>
      </c>
      <c r="AL10" s="473">
        <f>+AJ10*D4</f>
        <v>1.395</v>
      </c>
      <c r="AM10" s="473">
        <f>+AJ10*E4</f>
        <v>0.77500000000000002</v>
      </c>
      <c r="AN10" s="473">
        <f>+AJ10*F4</f>
        <v>0.62000000000000011</v>
      </c>
      <c r="AO10" s="472" t="s">
        <v>55</v>
      </c>
      <c r="AP10" s="474" t="s">
        <v>202</v>
      </c>
      <c r="AQ10" s="474" t="s">
        <v>87</v>
      </c>
      <c r="AR10" s="475">
        <v>17</v>
      </c>
      <c r="AS10" s="486">
        <v>43</v>
      </c>
      <c r="AT10" s="477">
        <v>11</v>
      </c>
      <c r="AU10" s="477">
        <v>5</v>
      </c>
      <c r="AV10" s="477">
        <v>5</v>
      </c>
      <c r="AW10" s="477">
        <v>5</v>
      </c>
      <c r="AX10" s="486">
        <v>26</v>
      </c>
      <c r="AY10" s="479">
        <v>225146872.55000001</v>
      </c>
      <c r="AZ10" s="479">
        <v>162160000</v>
      </c>
      <c r="BA10" s="480">
        <v>157840000</v>
      </c>
      <c r="BB10" s="480">
        <v>62853127.450000003</v>
      </c>
      <c r="BC10" s="480">
        <f t="shared" si="0"/>
        <v>608000000</v>
      </c>
      <c r="BD10" s="481" t="s">
        <v>68</v>
      </c>
      <c r="BE10" s="482" t="s">
        <v>69</v>
      </c>
      <c r="BT10">
        <v>125146872.55000001</v>
      </c>
      <c r="CL10">
        <v>162160000</v>
      </c>
      <c r="CN10">
        <v>150000000</v>
      </c>
      <c r="DF10">
        <v>12160000</v>
      </c>
      <c r="DX10">
        <v>157840000</v>
      </c>
      <c r="DZ10">
        <v>150000000</v>
      </c>
      <c r="EQ10">
        <v>7840000</v>
      </c>
      <c r="FJ10">
        <v>62853127.450000003</v>
      </c>
    </row>
    <row r="11" spans="1:166" ht="22.5">
      <c r="A11" s="484"/>
      <c r="B11" s="484"/>
      <c r="C11" s="484"/>
      <c r="D11" s="484"/>
      <c r="E11" s="484"/>
      <c r="F11" s="484"/>
      <c r="G11" s="484"/>
      <c r="H11" s="484"/>
      <c r="I11" s="499"/>
      <c r="J11" s="499"/>
      <c r="K11" s="499"/>
      <c r="L11" s="499"/>
      <c r="M11" s="499"/>
      <c r="N11" s="500"/>
      <c r="O11" s="500"/>
      <c r="P11" s="500"/>
      <c r="Q11" s="500"/>
      <c r="R11" s="500"/>
      <c r="S11" s="500"/>
      <c r="T11" s="501"/>
      <c r="U11" s="501"/>
      <c r="V11" s="502"/>
      <c r="W11" s="483"/>
      <c r="X11" s="483"/>
      <c r="Y11" s="483"/>
      <c r="Z11" s="483"/>
      <c r="AA11" s="483"/>
      <c r="AB11" s="483"/>
      <c r="AC11" s="484"/>
      <c r="AD11" s="484"/>
      <c r="AE11" s="485"/>
      <c r="AF11" s="485"/>
      <c r="AG11" s="485"/>
      <c r="AH11" s="485"/>
      <c r="AI11" s="472" t="s">
        <v>40</v>
      </c>
      <c r="AJ11" s="473">
        <v>4</v>
      </c>
      <c r="AK11" s="473">
        <f>+AJ11*C4</f>
        <v>0.4</v>
      </c>
      <c r="AL11" s="473">
        <v>3.6</v>
      </c>
      <c r="AM11" s="473">
        <v>0</v>
      </c>
      <c r="AN11" s="473">
        <v>0</v>
      </c>
      <c r="AO11" s="472" t="s">
        <v>56</v>
      </c>
      <c r="AP11" s="474" t="s">
        <v>202</v>
      </c>
      <c r="AQ11" s="474" t="s">
        <v>87</v>
      </c>
      <c r="AR11" s="475">
        <v>0</v>
      </c>
      <c r="AS11" s="486">
        <v>1</v>
      </c>
      <c r="AT11" s="477">
        <v>1</v>
      </c>
      <c r="AU11" s="477">
        <v>1</v>
      </c>
      <c r="AV11" s="477">
        <v>0.25</v>
      </c>
      <c r="AW11" s="477">
        <v>0.12</v>
      </c>
      <c r="AX11" s="486">
        <v>1</v>
      </c>
      <c r="AY11" s="479">
        <v>300000000</v>
      </c>
      <c r="AZ11" s="479">
        <v>200000000</v>
      </c>
      <c r="BA11" s="480">
        <v>200000000</v>
      </c>
      <c r="BB11" s="480">
        <v>100000000</v>
      </c>
      <c r="BC11" s="480">
        <f t="shared" si="0"/>
        <v>800000000</v>
      </c>
      <c r="BD11" s="481" t="s">
        <v>68</v>
      </c>
      <c r="BE11" s="482" t="s">
        <v>69</v>
      </c>
      <c r="CL11">
        <v>200000000</v>
      </c>
      <c r="CM11">
        <v>200000000</v>
      </c>
      <c r="DX11">
        <v>200000000</v>
      </c>
      <c r="DY11">
        <v>200000000</v>
      </c>
      <c r="FJ11">
        <v>100000000</v>
      </c>
    </row>
    <row r="12" spans="1:166" ht="33.75">
      <c r="A12" s="484"/>
      <c r="B12" s="484"/>
      <c r="C12" s="484"/>
      <c r="D12" s="484"/>
      <c r="E12" s="484"/>
      <c r="F12" s="484"/>
      <c r="G12" s="484"/>
      <c r="H12" s="484"/>
      <c r="I12" s="499"/>
      <c r="J12" s="499"/>
      <c r="K12" s="499"/>
      <c r="L12" s="499"/>
      <c r="M12" s="499"/>
      <c r="N12" s="500"/>
      <c r="O12" s="500"/>
      <c r="P12" s="500"/>
      <c r="Q12" s="500"/>
      <c r="R12" s="500"/>
      <c r="S12" s="500"/>
      <c r="T12" s="501"/>
      <c r="U12" s="501"/>
      <c r="V12" s="502"/>
      <c r="W12" s="483"/>
      <c r="X12" s="483"/>
      <c r="Y12" s="483"/>
      <c r="Z12" s="483"/>
      <c r="AA12" s="483"/>
      <c r="AB12" s="483"/>
      <c r="AC12" s="484"/>
      <c r="AD12" s="484"/>
      <c r="AE12" s="485"/>
      <c r="AF12" s="485"/>
      <c r="AG12" s="485"/>
      <c r="AH12" s="485"/>
      <c r="AI12" s="472" t="s">
        <v>41</v>
      </c>
      <c r="AJ12" s="473">
        <v>5.93</v>
      </c>
      <c r="AK12" s="473">
        <v>0</v>
      </c>
      <c r="AL12" s="473">
        <v>5.93</v>
      </c>
      <c r="AM12" s="473">
        <v>0</v>
      </c>
      <c r="AN12" s="473">
        <v>0</v>
      </c>
      <c r="AO12" s="472" t="s">
        <v>57</v>
      </c>
      <c r="AP12" s="474" t="s">
        <v>202</v>
      </c>
      <c r="AQ12" s="474" t="s">
        <v>87</v>
      </c>
      <c r="AR12" s="475">
        <v>0</v>
      </c>
      <c r="AS12" s="486">
        <v>1</v>
      </c>
      <c r="AT12" s="477">
        <v>0</v>
      </c>
      <c r="AU12" s="477">
        <v>0.5</v>
      </c>
      <c r="AV12" s="477">
        <v>0</v>
      </c>
      <c r="AW12" s="477">
        <v>0</v>
      </c>
      <c r="AX12" s="486">
        <v>1</v>
      </c>
      <c r="AY12" s="479">
        <v>500000000</v>
      </c>
      <c r="AZ12" s="479">
        <v>500000000</v>
      </c>
      <c r="BA12" s="480">
        <v>0</v>
      </c>
      <c r="BB12" s="480">
        <v>0</v>
      </c>
      <c r="BC12" s="480">
        <f t="shared" si="0"/>
        <v>1000000000</v>
      </c>
      <c r="BD12" s="481" t="s">
        <v>68</v>
      </c>
      <c r="BE12" s="482" t="s">
        <v>69</v>
      </c>
      <c r="CL12">
        <v>500000000</v>
      </c>
      <c r="CM12">
        <v>500000000</v>
      </c>
      <c r="DX12">
        <v>0</v>
      </c>
      <c r="FJ12">
        <v>0</v>
      </c>
    </row>
    <row r="13" spans="1:166" ht="33.75">
      <c r="A13" s="484"/>
      <c r="B13" s="484"/>
      <c r="C13" s="484"/>
      <c r="D13" s="484"/>
      <c r="E13" s="484"/>
      <c r="F13" s="484"/>
      <c r="G13" s="484"/>
      <c r="H13" s="484"/>
      <c r="I13" s="499"/>
      <c r="J13" s="499"/>
      <c r="K13" s="499"/>
      <c r="L13" s="499"/>
      <c r="M13" s="499"/>
      <c r="N13" s="500"/>
      <c r="O13" s="500"/>
      <c r="P13" s="500"/>
      <c r="Q13" s="500"/>
      <c r="R13" s="500"/>
      <c r="S13" s="500"/>
      <c r="T13" s="501"/>
      <c r="U13" s="501"/>
      <c r="V13" s="502"/>
      <c r="W13" s="483"/>
      <c r="X13" s="483"/>
      <c r="Y13" s="483"/>
      <c r="Z13" s="483"/>
      <c r="AA13" s="483"/>
      <c r="AB13" s="483"/>
      <c r="AC13" s="484"/>
      <c r="AD13" s="484"/>
      <c r="AE13" s="485"/>
      <c r="AF13" s="485"/>
      <c r="AG13" s="485"/>
      <c r="AH13" s="485"/>
      <c r="AI13" s="472" t="s">
        <v>42</v>
      </c>
      <c r="AJ13" s="473">
        <v>0.56999999999999995</v>
      </c>
      <c r="AK13" s="473">
        <f>+AJ13</f>
        <v>0.56999999999999995</v>
      </c>
      <c r="AL13" s="473">
        <v>0</v>
      </c>
      <c r="AM13" s="473">
        <v>0</v>
      </c>
      <c r="AN13" s="473">
        <v>0</v>
      </c>
      <c r="AO13" s="472" t="s">
        <v>58</v>
      </c>
      <c r="AP13" s="474" t="s">
        <v>202</v>
      </c>
      <c r="AQ13" s="474" t="s">
        <v>87</v>
      </c>
      <c r="AR13" s="475">
        <v>0</v>
      </c>
      <c r="AS13" s="486">
        <v>7</v>
      </c>
      <c r="AT13" s="477">
        <v>7</v>
      </c>
      <c r="AU13" s="477">
        <v>0</v>
      </c>
      <c r="AV13" s="477">
        <v>0</v>
      </c>
      <c r="AW13" s="477">
        <v>0</v>
      </c>
      <c r="AX13" s="486">
        <v>7</v>
      </c>
      <c r="AY13" s="479">
        <v>400000000</v>
      </c>
      <c r="AZ13" s="479">
        <v>0</v>
      </c>
      <c r="BA13" s="480">
        <v>0</v>
      </c>
      <c r="BB13" s="480">
        <v>0</v>
      </c>
      <c r="BC13" s="480">
        <f t="shared" si="0"/>
        <v>400000000</v>
      </c>
      <c r="BD13" s="481" t="s">
        <v>68</v>
      </c>
      <c r="BE13" s="482" t="s">
        <v>69</v>
      </c>
      <c r="CL13">
        <v>0</v>
      </c>
      <c r="DX13">
        <v>0</v>
      </c>
      <c r="FJ13">
        <v>0</v>
      </c>
    </row>
    <row r="14" spans="1:166" ht="33.75">
      <c r="A14" s="484"/>
      <c r="B14" s="484"/>
      <c r="C14" s="484"/>
      <c r="D14" s="484"/>
      <c r="E14" s="484"/>
      <c r="F14" s="484"/>
      <c r="G14" s="484"/>
      <c r="H14" s="484"/>
      <c r="I14" s="499"/>
      <c r="J14" s="499"/>
      <c r="K14" s="499"/>
      <c r="L14" s="499"/>
      <c r="M14" s="499"/>
      <c r="N14" s="500"/>
      <c r="O14" s="500"/>
      <c r="P14" s="500"/>
      <c r="Q14" s="500"/>
      <c r="R14" s="500"/>
      <c r="S14" s="500"/>
      <c r="T14" s="501"/>
      <c r="U14" s="501"/>
      <c r="V14" s="502"/>
      <c r="W14" s="483"/>
      <c r="X14" s="483"/>
      <c r="Y14" s="483"/>
      <c r="Z14" s="483"/>
      <c r="AA14" s="483"/>
      <c r="AB14" s="483"/>
      <c r="AC14" s="484"/>
      <c r="AD14" s="484"/>
      <c r="AE14" s="485"/>
      <c r="AF14" s="485"/>
      <c r="AG14" s="485"/>
      <c r="AH14" s="485"/>
      <c r="AI14" s="472" t="s">
        <v>43</v>
      </c>
      <c r="AJ14" s="473">
        <v>6.17</v>
      </c>
      <c r="AK14" s="473">
        <f>+AJ14*C4</f>
        <v>0.61699999999999999</v>
      </c>
      <c r="AL14" s="473">
        <f>+AJ14*D4</f>
        <v>2.7765</v>
      </c>
      <c r="AM14" s="473">
        <f>+AJ14*E4</f>
        <v>1.5425</v>
      </c>
      <c r="AN14" s="473">
        <f>+AJ14*F4</f>
        <v>1.234</v>
      </c>
      <c r="AO14" s="472" t="s">
        <v>59</v>
      </c>
      <c r="AP14" s="474" t="s">
        <v>202</v>
      </c>
      <c r="AQ14" s="474" t="s">
        <v>87</v>
      </c>
      <c r="AR14" s="475">
        <v>0</v>
      </c>
      <c r="AS14" s="486">
        <v>7</v>
      </c>
      <c r="AT14" s="477">
        <v>3</v>
      </c>
      <c r="AU14" s="477">
        <v>2</v>
      </c>
      <c r="AV14" s="477">
        <v>1</v>
      </c>
      <c r="AW14" s="477">
        <v>1</v>
      </c>
      <c r="AX14" s="486">
        <v>7</v>
      </c>
      <c r="AY14" s="479">
        <v>500000000</v>
      </c>
      <c r="AZ14" s="479">
        <v>300000000</v>
      </c>
      <c r="BA14" s="480">
        <v>150000000</v>
      </c>
      <c r="BB14" s="480">
        <v>300000000</v>
      </c>
      <c r="BC14" s="480">
        <f t="shared" si="0"/>
        <v>1250000000</v>
      </c>
      <c r="BD14" s="481" t="s">
        <v>68</v>
      </c>
      <c r="BE14" s="482" t="s">
        <v>69</v>
      </c>
      <c r="CL14">
        <v>300000000</v>
      </c>
      <c r="CM14">
        <v>300000000</v>
      </c>
      <c r="DX14">
        <v>150000000</v>
      </c>
      <c r="DY14">
        <v>150000000</v>
      </c>
      <c r="FJ14">
        <v>300000000</v>
      </c>
    </row>
    <row r="15" spans="1:166" ht="33.75">
      <c r="A15" s="484"/>
      <c r="B15" s="484"/>
      <c r="C15" s="484"/>
      <c r="D15" s="484"/>
      <c r="E15" s="484"/>
      <c r="F15" s="484"/>
      <c r="G15" s="484"/>
      <c r="H15" s="484"/>
      <c r="I15" s="499"/>
      <c r="J15" s="499"/>
      <c r="K15" s="499"/>
      <c r="L15" s="499"/>
      <c r="M15" s="499"/>
      <c r="N15" s="500"/>
      <c r="O15" s="500"/>
      <c r="P15" s="500"/>
      <c r="Q15" s="500"/>
      <c r="R15" s="500"/>
      <c r="S15" s="500"/>
      <c r="T15" s="501"/>
      <c r="U15" s="501"/>
      <c r="V15" s="502"/>
      <c r="W15" s="483"/>
      <c r="X15" s="483"/>
      <c r="Y15" s="483"/>
      <c r="Z15" s="483"/>
      <c r="AA15" s="483"/>
      <c r="AB15" s="483"/>
      <c r="AC15" s="484"/>
      <c r="AD15" s="484"/>
      <c r="AE15" s="485"/>
      <c r="AF15" s="485"/>
      <c r="AG15" s="485"/>
      <c r="AH15" s="485"/>
      <c r="AI15" s="472" t="s">
        <v>44</v>
      </c>
      <c r="AJ15" s="473">
        <v>8.27</v>
      </c>
      <c r="AK15" s="473">
        <f>+AJ15*C4</f>
        <v>0.82699999999999996</v>
      </c>
      <c r="AL15" s="473">
        <v>7.44</v>
      </c>
      <c r="AM15" s="473">
        <v>0</v>
      </c>
      <c r="AN15" s="473">
        <v>0</v>
      </c>
      <c r="AO15" s="472" t="s">
        <v>60</v>
      </c>
      <c r="AP15" s="474" t="s">
        <v>202</v>
      </c>
      <c r="AQ15" s="474" t="s">
        <v>87</v>
      </c>
      <c r="AR15" s="475">
        <v>0</v>
      </c>
      <c r="AS15" s="486">
        <v>7</v>
      </c>
      <c r="AT15" s="477">
        <v>3</v>
      </c>
      <c r="AU15" s="477">
        <v>4</v>
      </c>
      <c r="AV15" s="477">
        <v>0</v>
      </c>
      <c r="AW15" s="477">
        <v>0</v>
      </c>
      <c r="AX15" s="486">
        <v>7</v>
      </c>
      <c r="AY15" s="479">
        <v>700000000</v>
      </c>
      <c r="AZ15" s="479">
        <v>700000000</v>
      </c>
      <c r="BA15" s="480"/>
      <c r="BB15" s="480"/>
      <c r="BC15" s="480">
        <f t="shared" si="0"/>
        <v>1400000000</v>
      </c>
      <c r="BD15" s="481" t="s">
        <v>68</v>
      </c>
      <c r="BE15" s="482" t="s">
        <v>69</v>
      </c>
      <c r="CL15">
        <v>700000000</v>
      </c>
      <c r="CP15">
        <v>700000000</v>
      </c>
    </row>
    <row r="16" spans="1:166" ht="22.5">
      <c r="A16" s="484"/>
      <c r="B16" s="484"/>
      <c r="C16" s="484"/>
      <c r="D16" s="484"/>
      <c r="E16" s="484"/>
      <c r="F16" s="484"/>
      <c r="G16" s="484"/>
      <c r="H16" s="484"/>
      <c r="I16" s="499"/>
      <c r="J16" s="499"/>
      <c r="K16" s="499"/>
      <c r="L16" s="499"/>
      <c r="M16" s="499"/>
      <c r="N16" s="500"/>
      <c r="O16" s="500"/>
      <c r="P16" s="500"/>
      <c r="Q16" s="500"/>
      <c r="R16" s="500"/>
      <c r="S16" s="500"/>
      <c r="T16" s="501"/>
      <c r="U16" s="501"/>
      <c r="V16" s="502"/>
      <c r="W16" s="483"/>
      <c r="X16" s="483"/>
      <c r="Y16" s="483"/>
      <c r="Z16" s="483"/>
      <c r="AA16" s="483"/>
      <c r="AB16" s="483"/>
      <c r="AC16" s="484"/>
      <c r="AD16" s="484"/>
      <c r="AE16" s="485"/>
      <c r="AF16" s="485"/>
      <c r="AG16" s="485"/>
      <c r="AH16" s="485"/>
      <c r="AI16" s="472" t="s">
        <v>45</v>
      </c>
      <c r="AJ16" s="473">
        <v>0.7</v>
      </c>
      <c r="AK16" s="473">
        <f>+AJ16*1</f>
        <v>0.7</v>
      </c>
      <c r="AL16" s="473">
        <v>0</v>
      </c>
      <c r="AM16" s="473">
        <v>0</v>
      </c>
      <c r="AN16" s="473">
        <v>0</v>
      </c>
      <c r="AO16" s="472" t="s">
        <v>61</v>
      </c>
      <c r="AP16" s="474" t="s">
        <v>202</v>
      </c>
      <c r="AQ16" s="474" t="s">
        <v>87</v>
      </c>
      <c r="AR16" s="475">
        <v>0</v>
      </c>
      <c r="AS16" s="486">
        <v>1</v>
      </c>
      <c r="AT16" s="477">
        <v>1</v>
      </c>
      <c r="AU16" s="477">
        <v>0</v>
      </c>
      <c r="AV16" s="477">
        <v>0</v>
      </c>
      <c r="AW16" s="477">
        <v>0</v>
      </c>
      <c r="AX16" s="486">
        <v>1</v>
      </c>
      <c r="AY16" s="479">
        <v>500000000</v>
      </c>
      <c r="AZ16" s="479">
        <v>0</v>
      </c>
      <c r="BA16" s="480">
        <v>0</v>
      </c>
      <c r="BB16" s="480">
        <v>0</v>
      </c>
      <c r="BC16" s="480">
        <f t="shared" si="0"/>
        <v>500000000</v>
      </c>
      <c r="BD16" s="481" t="s">
        <v>68</v>
      </c>
      <c r="BE16" s="482" t="s">
        <v>69</v>
      </c>
      <c r="CL16">
        <v>0</v>
      </c>
      <c r="DX16">
        <v>0</v>
      </c>
      <c r="FJ16">
        <v>0</v>
      </c>
    </row>
    <row r="17" spans="1:166" ht="33.75">
      <c r="A17" s="484"/>
      <c r="B17" s="484"/>
      <c r="C17" s="484"/>
      <c r="D17" s="484"/>
      <c r="E17" s="484"/>
      <c r="F17" s="484"/>
      <c r="G17" s="484"/>
      <c r="H17" s="484"/>
      <c r="I17" s="499"/>
      <c r="J17" s="499"/>
      <c r="K17" s="499"/>
      <c r="L17" s="499"/>
      <c r="M17" s="499"/>
      <c r="N17" s="500"/>
      <c r="O17" s="500"/>
      <c r="P17" s="500"/>
      <c r="Q17" s="500"/>
      <c r="R17" s="500"/>
      <c r="S17" s="500"/>
      <c r="T17" s="501"/>
      <c r="U17" s="501"/>
      <c r="V17" s="502"/>
      <c r="W17" s="483"/>
      <c r="X17" s="483"/>
      <c r="Y17" s="483"/>
      <c r="Z17" s="483"/>
      <c r="AA17" s="483"/>
      <c r="AB17" s="483"/>
      <c r="AC17" s="484"/>
      <c r="AD17" s="484"/>
      <c r="AE17" s="485"/>
      <c r="AF17" s="485"/>
      <c r="AG17" s="485"/>
      <c r="AH17" s="485"/>
      <c r="AI17" s="472" t="s">
        <v>46</v>
      </c>
      <c r="AJ17" s="473">
        <v>6.1</v>
      </c>
      <c r="AK17" s="473">
        <v>0</v>
      </c>
      <c r="AL17" s="473">
        <v>0</v>
      </c>
      <c r="AM17" s="473">
        <f>+AJ17</f>
        <v>6.1</v>
      </c>
      <c r="AN17" s="473">
        <v>0</v>
      </c>
      <c r="AO17" s="472" t="s">
        <v>62</v>
      </c>
      <c r="AP17" s="474" t="s">
        <v>202</v>
      </c>
      <c r="AQ17" s="474" t="s">
        <v>87</v>
      </c>
      <c r="AR17" s="475">
        <v>0</v>
      </c>
      <c r="AS17" s="486">
        <v>1</v>
      </c>
      <c r="AT17" s="477">
        <v>0</v>
      </c>
      <c r="AU17" s="477">
        <v>0</v>
      </c>
      <c r="AV17" s="477">
        <v>0.5</v>
      </c>
      <c r="AW17" s="477">
        <v>0</v>
      </c>
      <c r="AX17" s="486">
        <v>1</v>
      </c>
      <c r="AY17" s="479">
        <v>1000000000</v>
      </c>
      <c r="AZ17" s="479">
        <v>0</v>
      </c>
      <c r="BA17" s="480">
        <v>1000000000</v>
      </c>
      <c r="BB17" s="480">
        <v>0</v>
      </c>
      <c r="BC17" s="480">
        <f t="shared" si="0"/>
        <v>2000000000</v>
      </c>
      <c r="BD17" s="481" t="s">
        <v>68</v>
      </c>
      <c r="BE17" s="482" t="s">
        <v>69</v>
      </c>
      <c r="CL17">
        <v>0</v>
      </c>
      <c r="DX17">
        <v>1000000000</v>
      </c>
      <c r="EB17">
        <v>1000000000</v>
      </c>
      <c r="FJ17">
        <v>0</v>
      </c>
    </row>
    <row r="18" spans="1:166" ht="22.5">
      <c r="A18" s="484"/>
      <c r="B18" s="484"/>
      <c r="C18" s="484"/>
      <c r="D18" s="484"/>
      <c r="E18" s="484"/>
      <c r="F18" s="484"/>
      <c r="G18" s="484"/>
      <c r="H18" s="484"/>
      <c r="I18" s="499"/>
      <c r="J18" s="499"/>
      <c r="K18" s="499"/>
      <c r="L18" s="499"/>
      <c r="M18" s="499"/>
      <c r="N18" s="500"/>
      <c r="O18" s="500"/>
      <c r="P18" s="500"/>
      <c r="Q18" s="500"/>
      <c r="R18" s="500"/>
      <c r="S18" s="500"/>
      <c r="T18" s="501"/>
      <c r="U18" s="501"/>
      <c r="V18" s="502"/>
      <c r="W18" s="483"/>
      <c r="X18" s="483"/>
      <c r="Y18" s="483"/>
      <c r="Z18" s="483"/>
      <c r="AA18" s="483"/>
      <c r="AB18" s="483"/>
      <c r="AC18" s="484"/>
      <c r="AD18" s="484"/>
      <c r="AE18" s="485"/>
      <c r="AF18" s="485"/>
      <c r="AG18" s="485"/>
      <c r="AH18" s="485"/>
      <c r="AI18" s="472" t="s">
        <v>47</v>
      </c>
      <c r="AJ18" s="473">
        <v>2.67</v>
      </c>
      <c r="AK18" s="473">
        <v>0</v>
      </c>
      <c r="AL18" s="473">
        <v>1.33</v>
      </c>
      <c r="AM18" s="473">
        <v>1.34</v>
      </c>
      <c r="AN18" s="473">
        <v>0</v>
      </c>
      <c r="AO18" s="472" t="s">
        <v>63</v>
      </c>
      <c r="AP18" s="474" t="s">
        <v>202</v>
      </c>
      <c r="AQ18" s="474" t="s">
        <v>87</v>
      </c>
      <c r="AR18" s="475">
        <v>0</v>
      </c>
      <c r="AS18" s="486">
        <v>1</v>
      </c>
      <c r="AT18" s="477">
        <v>0.46</v>
      </c>
      <c r="AU18" s="477">
        <v>1</v>
      </c>
      <c r="AV18" s="477">
        <v>1</v>
      </c>
      <c r="AW18" s="477">
        <v>0.16</v>
      </c>
      <c r="AX18" s="486">
        <v>1</v>
      </c>
      <c r="AY18" s="479">
        <v>300000000</v>
      </c>
      <c r="AZ18" s="479">
        <v>100000000</v>
      </c>
      <c r="BA18" s="480">
        <v>150000000</v>
      </c>
      <c r="BB18" s="480">
        <v>100000000</v>
      </c>
      <c r="BC18" s="480">
        <f t="shared" si="0"/>
        <v>650000000</v>
      </c>
      <c r="BD18" s="481" t="s">
        <v>68</v>
      </c>
      <c r="BE18" s="482" t="s">
        <v>69</v>
      </c>
      <c r="CL18">
        <v>100000000</v>
      </c>
      <c r="CM18">
        <v>100000000</v>
      </c>
      <c r="DX18">
        <v>150000000</v>
      </c>
      <c r="DY18">
        <v>150000000</v>
      </c>
      <c r="FJ18">
        <v>100000000</v>
      </c>
    </row>
    <row r="19" spans="1:166" ht="22.5">
      <c r="A19" s="484"/>
      <c r="B19" s="484"/>
      <c r="C19" s="484"/>
      <c r="D19" s="484"/>
      <c r="E19" s="484"/>
      <c r="F19" s="484"/>
      <c r="G19" s="484"/>
      <c r="H19" s="484"/>
      <c r="I19" s="499"/>
      <c r="J19" s="499"/>
      <c r="K19" s="499"/>
      <c r="L19" s="499"/>
      <c r="M19" s="499"/>
      <c r="N19" s="500"/>
      <c r="O19" s="500"/>
      <c r="P19" s="500"/>
      <c r="Q19" s="500"/>
      <c r="R19" s="500"/>
      <c r="S19" s="500"/>
      <c r="T19" s="501"/>
      <c r="U19" s="501"/>
      <c r="V19" s="502"/>
      <c r="W19" s="483"/>
      <c r="X19" s="483"/>
      <c r="Y19" s="483"/>
      <c r="Z19" s="483"/>
      <c r="AA19" s="483"/>
      <c r="AB19" s="483"/>
      <c r="AC19" s="484"/>
      <c r="AD19" s="484"/>
      <c r="AE19" s="485"/>
      <c r="AF19" s="485"/>
      <c r="AG19" s="485"/>
      <c r="AH19" s="485"/>
      <c r="AI19" s="472" t="s">
        <v>48</v>
      </c>
      <c r="AJ19" s="473">
        <v>8.9</v>
      </c>
      <c r="AK19" s="473">
        <v>4.5</v>
      </c>
      <c r="AL19" s="473">
        <v>0</v>
      </c>
      <c r="AM19" s="473">
        <v>4.4000000000000004</v>
      </c>
      <c r="AN19" s="473">
        <v>0</v>
      </c>
      <c r="AO19" s="472" t="s">
        <v>64</v>
      </c>
      <c r="AP19" s="474" t="s">
        <v>202</v>
      </c>
      <c r="AQ19" s="474" t="s">
        <v>87</v>
      </c>
      <c r="AR19" s="475">
        <v>0</v>
      </c>
      <c r="AS19" s="486">
        <v>500</v>
      </c>
      <c r="AT19" s="477">
        <v>250</v>
      </c>
      <c r="AU19" s="477">
        <v>0</v>
      </c>
      <c r="AV19" s="477">
        <v>250</v>
      </c>
      <c r="AW19" s="477">
        <v>0</v>
      </c>
      <c r="AX19" s="486">
        <v>500</v>
      </c>
      <c r="AY19" s="479">
        <v>1500000000</v>
      </c>
      <c r="AZ19" s="479">
        <v>0</v>
      </c>
      <c r="BA19" s="480">
        <v>1500000000</v>
      </c>
      <c r="BB19" s="480">
        <v>0</v>
      </c>
      <c r="BC19" s="480">
        <f t="shared" si="0"/>
        <v>3000000000</v>
      </c>
      <c r="BD19" s="481" t="s">
        <v>68</v>
      </c>
      <c r="BE19" s="482" t="s">
        <v>69</v>
      </c>
      <c r="CL19">
        <v>0</v>
      </c>
      <c r="DX19">
        <v>1500000000</v>
      </c>
      <c r="EB19">
        <v>1500000000</v>
      </c>
      <c r="FJ19">
        <v>0</v>
      </c>
    </row>
    <row r="20" spans="1:166" ht="22.5">
      <c r="A20" s="484"/>
      <c r="B20" s="484"/>
      <c r="C20" s="484"/>
      <c r="D20" s="484"/>
      <c r="E20" s="484"/>
      <c r="F20" s="484"/>
      <c r="G20" s="484"/>
      <c r="H20" s="484"/>
      <c r="I20" s="499"/>
      <c r="J20" s="499"/>
      <c r="K20" s="499"/>
      <c r="L20" s="499"/>
      <c r="M20" s="499"/>
      <c r="N20" s="500"/>
      <c r="O20" s="500"/>
      <c r="P20" s="500"/>
      <c r="Q20" s="500"/>
      <c r="R20" s="500"/>
      <c r="S20" s="500"/>
      <c r="T20" s="501"/>
      <c r="U20" s="501"/>
      <c r="V20" s="502"/>
      <c r="W20" s="483"/>
      <c r="X20" s="483"/>
      <c r="Y20" s="483"/>
      <c r="Z20" s="483"/>
      <c r="AA20" s="483"/>
      <c r="AB20" s="483"/>
      <c r="AC20" s="484"/>
      <c r="AD20" s="484"/>
      <c r="AE20" s="485"/>
      <c r="AF20" s="485"/>
      <c r="AG20" s="485"/>
      <c r="AH20" s="485"/>
      <c r="AI20" s="472" t="s">
        <v>49</v>
      </c>
      <c r="AJ20" s="473">
        <v>3.67</v>
      </c>
      <c r="AK20" s="473">
        <f>+AJ20*C4</f>
        <v>0.36699999999999999</v>
      </c>
      <c r="AL20" s="473">
        <f>+AJ20*D4</f>
        <v>1.6515</v>
      </c>
      <c r="AM20" s="473">
        <f>+AJ20*E4</f>
        <v>0.91749999999999998</v>
      </c>
      <c r="AN20" s="473">
        <f>+AJ20*F4</f>
        <v>0.73399999999999999</v>
      </c>
      <c r="AO20" s="472" t="s">
        <v>65</v>
      </c>
      <c r="AP20" s="474" t="s">
        <v>202</v>
      </c>
      <c r="AQ20" s="474" t="s">
        <v>87</v>
      </c>
      <c r="AR20" s="489">
        <v>0</v>
      </c>
      <c r="AS20" s="486">
        <v>500</v>
      </c>
      <c r="AT20" s="490">
        <v>0</v>
      </c>
      <c r="AU20" s="477">
        <v>200</v>
      </c>
      <c r="AV20" s="477">
        <v>100</v>
      </c>
      <c r="AW20" s="477">
        <v>200</v>
      </c>
      <c r="AX20" s="486">
        <v>500</v>
      </c>
      <c r="AY20" s="479">
        <v>0</v>
      </c>
      <c r="AZ20" s="479">
        <v>200000000</v>
      </c>
      <c r="BA20" s="480">
        <v>100000000</v>
      </c>
      <c r="BB20" s="480">
        <v>200000000</v>
      </c>
      <c r="BC20" s="480">
        <f t="shared" si="0"/>
        <v>500000000</v>
      </c>
      <c r="BD20" s="481" t="s">
        <v>68</v>
      </c>
      <c r="BE20" s="482" t="s">
        <v>69</v>
      </c>
      <c r="CL20">
        <v>200000000</v>
      </c>
      <c r="CN20">
        <v>200000000</v>
      </c>
      <c r="DX20">
        <v>100000000</v>
      </c>
      <c r="DY20">
        <v>100000000</v>
      </c>
      <c r="FJ20">
        <v>200000000</v>
      </c>
    </row>
    <row r="21" spans="1:166" ht="22.5">
      <c r="A21" s="484"/>
      <c r="B21" s="484"/>
      <c r="C21" s="484"/>
      <c r="D21" s="484"/>
      <c r="E21" s="484"/>
      <c r="F21" s="484"/>
      <c r="G21" s="484"/>
      <c r="H21" s="484"/>
      <c r="I21" s="499"/>
      <c r="J21" s="499"/>
      <c r="K21" s="499"/>
      <c r="L21" s="499"/>
      <c r="M21" s="499"/>
      <c r="N21" s="500"/>
      <c r="O21" s="500"/>
      <c r="P21" s="500"/>
      <c r="Q21" s="500"/>
      <c r="R21" s="500"/>
      <c r="S21" s="500"/>
      <c r="T21" s="501"/>
      <c r="U21" s="501"/>
      <c r="V21" s="502"/>
      <c r="W21" s="483"/>
      <c r="X21" s="483"/>
      <c r="Y21" s="483"/>
      <c r="Z21" s="483"/>
      <c r="AA21" s="483"/>
      <c r="AB21" s="483"/>
      <c r="AC21" s="484"/>
      <c r="AD21" s="484"/>
      <c r="AE21" s="485"/>
      <c r="AF21" s="485"/>
      <c r="AG21" s="485"/>
      <c r="AH21" s="485"/>
      <c r="AI21" s="472" t="s">
        <v>50</v>
      </c>
      <c r="AJ21" s="473">
        <v>2.13</v>
      </c>
      <c r="AK21" s="473">
        <v>0</v>
      </c>
      <c r="AL21" s="473">
        <f>+AJ21</f>
        <v>2.13</v>
      </c>
      <c r="AM21" s="473">
        <v>0</v>
      </c>
      <c r="AN21" s="473">
        <v>0</v>
      </c>
      <c r="AO21" s="472" t="s">
        <v>66</v>
      </c>
      <c r="AP21" s="474" t="s">
        <v>202</v>
      </c>
      <c r="AQ21" s="474" t="s">
        <v>87</v>
      </c>
      <c r="AR21" s="489">
        <v>0</v>
      </c>
      <c r="AS21" s="486">
        <v>1</v>
      </c>
      <c r="AT21" s="490">
        <v>0</v>
      </c>
      <c r="AU21" s="477">
        <v>1</v>
      </c>
      <c r="AV21" s="477">
        <v>0</v>
      </c>
      <c r="AW21" s="477">
        <v>0</v>
      </c>
      <c r="AX21" s="486">
        <v>1</v>
      </c>
      <c r="AY21" s="479">
        <v>0</v>
      </c>
      <c r="AZ21" s="479">
        <v>200000000</v>
      </c>
      <c r="BA21" s="480">
        <v>0</v>
      </c>
      <c r="BB21" s="480">
        <v>0</v>
      </c>
      <c r="BC21" s="480">
        <f t="shared" si="0"/>
        <v>200000000</v>
      </c>
      <c r="BD21" s="481" t="s">
        <v>68</v>
      </c>
      <c r="BE21" s="482" t="s">
        <v>69</v>
      </c>
      <c r="CL21">
        <v>200000000</v>
      </c>
      <c r="CM21">
        <v>200000000</v>
      </c>
      <c r="DX21">
        <v>0</v>
      </c>
      <c r="FJ21">
        <v>0</v>
      </c>
    </row>
    <row r="22" spans="1:166" ht="22.5">
      <c r="A22" s="484"/>
      <c r="B22" s="484"/>
      <c r="C22" s="484"/>
      <c r="D22" s="484"/>
      <c r="E22" s="484"/>
      <c r="F22" s="484"/>
      <c r="G22" s="484"/>
      <c r="H22" s="484"/>
      <c r="I22" s="499"/>
      <c r="J22" s="499"/>
      <c r="K22" s="499"/>
      <c r="L22" s="499"/>
      <c r="M22" s="499"/>
      <c r="N22" s="503"/>
      <c r="O22" s="503"/>
      <c r="P22" s="503"/>
      <c r="Q22" s="503"/>
      <c r="R22" s="503"/>
      <c r="S22" s="503"/>
      <c r="T22" s="504"/>
      <c r="U22" s="504"/>
      <c r="V22" s="505"/>
      <c r="W22" s="491"/>
      <c r="X22" s="491"/>
      <c r="Y22" s="491"/>
      <c r="Z22" s="491"/>
      <c r="AA22" s="491"/>
      <c r="AB22" s="491"/>
      <c r="AC22" s="492"/>
      <c r="AD22" s="492"/>
      <c r="AE22" s="493"/>
      <c r="AF22" s="493"/>
      <c r="AG22" s="493"/>
      <c r="AH22" s="493"/>
      <c r="AI22" s="472" t="s">
        <v>51</v>
      </c>
      <c r="AJ22" s="473">
        <v>4.7300000000000004</v>
      </c>
      <c r="AK22" s="473">
        <v>0</v>
      </c>
      <c r="AL22" s="473">
        <v>2.6</v>
      </c>
      <c r="AM22" s="473">
        <f>+AJ22*E4</f>
        <v>1.1825000000000001</v>
      </c>
      <c r="AN22" s="473">
        <f>+AJ22*F4</f>
        <v>0.94600000000000017</v>
      </c>
      <c r="AO22" s="472" t="s">
        <v>67</v>
      </c>
      <c r="AP22" s="474" t="s">
        <v>202</v>
      </c>
      <c r="AQ22" s="474" t="s">
        <v>88</v>
      </c>
      <c r="AR22" s="475">
        <v>0</v>
      </c>
      <c r="AS22" s="474">
        <v>0.2</v>
      </c>
      <c r="AT22" s="477">
        <v>0</v>
      </c>
      <c r="AU22" s="494">
        <v>0.06</v>
      </c>
      <c r="AV22" s="494">
        <v>0.06</v>
      </c>
      <c r="AW22" s="494">
        <v>0.08</v>
      </c>
      <c r="AX22" s="494">
        <v>0.2</v>
      </c>
      <c r="AY22" s="479">
        <v>0</v>
      </c>
      <c r="AZ22" s="479">
        <v>200000000</v>
      </c>
      <c r="BA22" s="480">
        <v>200000000</v>
      </c>
      <c r="BB22" s="480">
        <v>300000000</v>
      </c>
      <c r="BC22" s="480">
        <f t="shared" si="0"/>
        <v>700000000</v>
      </c>
      <c r="BD22" s="481" t="s">
        <v>68</v>
      </c>
      <c r="BE22" s="482" t="s">
        <v>69</v>
      </c>
      <c r="CL22">
        <v>200000000</v>
      </c>
      <c r="CN22">
        <v>200000000</v>
      </c>
      <c r="DX22">
        <v>200000000</v>
      </c>
      <c r="DY22">
        <v>200000000</v>
      </c>
      <c r="FJ22">
        <v>300000000</v>
      </c>
    </row>
    <row r="23" spans="1:166" ht="13.5" thickBot="1">
      <c r="A23" s="484"/>
      <c r="B23" s="484"/>
      <c r="C23" s="484"/>
      <c r="D23" s="484"/>
      <c r="E23" s="484"/>
      <c r="F23" s="484"/>
      <c r="G23" s="484"/>
      <c r="H23" s="484"/>
      <c r="I23" s="499"/>
      <c r="J23" s="499"/>
      <c r="K23" s="499"/>
      <c r="L23" s="499"/>
      <c r="M23" s="499"/>
      <c r="N23" s="56"/>
      <c r="O23" s="39"/>
      <c r="P23" s="39"/>
      <c r="Q23" s="39"/>
      <c r="R23" s="39"/>
      <c r="S23" s="39"/>
      <c r="T23" s="40"/>
      <c r="U23" s="40"/>
      <c r="V23" s="41"/>
      <c r="W23" s="42"/>
      <c r="X23" s="42"/>
      <c r="Y23" s="42"/>
      <c r="Z23" s="42"/>
      <c r="AA23" s="42"/>
      <c r="AB23" s="42"/>
      <c r="AC23" s="349" t="s">
        <v>1453</v>
      </c>
      <c r="AD23" s="417">
        <f>+AD7</f>
        <v>100</v>
      </c>
      <c r="AE23" s="43"/>
      <c r="AF23" s="43"/>
      <c r="AG23" s="43"/>
      <c r="AH23" s="43"/>
      <c r="AI23" s="43"/>
      <c r="AJ23" s="430">
        <f>SUM(AJ7:AJ22)</f>
        <v>100.01</v>
      </c>
      <c r="AK23" s="429"/>
      <c r="AL23" s="429"/>
      <c r="AM23" s="429"/>
      <c r="AN23" s="429"/>
      <c r="AO23" s="43"/>
      <c r="AP23" s="44"/>
      <c r="AQ23" s="44"/>
      <c r="AR23" s="45"/>
      <c r="AS23" s="46"/>
      <c r="AT23" s="47"/>
      <c r="AU23" s="47"/>
      <c r="AV23" s="47"/>
      <c r="AW23" s="48"/>
      <c r="AX23" s="46"/>
      <c r="AY23" s="60">
        <f>SUM(AY7:AY22)</f>
        <v>8425146872.5500002</v>
      </c>
      <c r="AZ23" s="60">
        <f t="shared" ref="AZ23:BC23" si="1">SUM(AZ7:AZ22)</f>
        <v>4262160000</v>
      </c>
      <c r="BA23" s="60">
        <f t="shared" si="1"/>
        <v>5157840000</v>
      </c>
      <c r="BB23" s="60">
        <f t="shared" si="1"/>
        <v>3562853127.4499998</v>
      </c>
      <c r="BC23" s="60">
        <f t="shared" si="1"/>
        <v>21408000000</v>
      </c>
      <c r="BD23" s="49"/>
      <c r="BE23" s="44"/>
    </row>
    <row r="24" spans="1:166" ht="78.75" customHeight="1">
      <c r="A24" s="484"/>
      <c r="B24" s="484"/>
      <c r="C24" s="484"/>
      <c r="D24" s="484"/>
      <c r="E24" s="484"/>
      <c r="F24" s="484"/>
      <c r="G24" s="484"/>
      <c r="H24" s="484"/>
      <c r="I24" s="499"/>
      <c r="J24" s="499"/>
      <c r="K24" s="499"/>
      <c r="L24" s="499"/>
      <c r="M24" s="499"/>
      <c r="N24" s="500" t="s">
        <v>70</v>
      </c>
      <c r="O24" s="507">
        <f>+(4*100)/8</f>
        <v>50</v>
      </c>
      <c r="P24" s="507">
        <f>+O24*C4</f>
        <v>5</v>
      </c>
      <c r="Q24" s="507">
        <f>+O24*D4</f>
        <v>22.5</v>
      </c>
      <c r="R24" s="507">
        <f>+O24*E4</f>
        <v>12.5</v>
      </c>
      <c r="S24" s="507">
        <f>O24*F4</f>
        <v>10</v>
      </c>
      <c r="T24" s="500" t="s">
        <v>71</v>
      </c>
      <c r="U24" s="508" t="s">
        <v>202</v>
      </c>
      <c r="V24" s="508" t="s">
        <v>22</v>
      </c>
      <c r="W24" s="508">
        <v>0</v>
      </c>
      <c r="X24" s="509">
        <v>0.4</v>
      </c>
      <c r="Y24" s="509">
        <v>0.05</v>
      </c>
      <c r="Z24" s="509">
        <v>0.25</v>
      </c>
      <c r="AA24" s="509">
        <v>0.35</v>
      </c>
      <c r="AB24" s="509">
        <v>0.4</v>
      </c>
      <c r="AC24" s="485" t="s">
        <v>72</v>
      </c>
      <c r="AD24" s="470">
        <f>+(4*100)/4</f>
        <v>100</v>
      </c>
      <c r="AE24" s="507">
        <f>+AD24*C4</f>
        <v>10</v>
      </c>
      <c r="AF24" s="507">
        <f>+AD24*D4</f>
        <v>45</v>
      </c>
      <c r="AG24" s="507">
        <f>+AD24*E4</f>
        <v>25</v>
      </c>
      <c r="AH24" s="507">
        <f>+AD24*F4</f>
        <v>20</v>
      </c>
      <c r="AI24" s="472" t="s">
        <v>73</v>
      </c>
      <c r="AJ24" s="473">
        <v>2.94</v>
      </c>
      <c r="AK24" s="473">
        <f>+AJ24/2</f>
        <v>1.47</v>
      </c>
      <c r="AL24" s="473">
        <v>0</v>
      </c>
      <c r="AM24" s="473">
        <f>+AJ24/2</f>
        <v>1.47</v>
      </c>
      <c r="AN24" s="473">
        <v>0</v>
      </c>
      <c r="AO24" s="502" t="s">
        <v>78</v>
      </c>
      <c r="AP24" s="510" t="s">
        <v>202</v>
      </c>
      <c r="AQ24" s="510" t="s">
        <v>88</v>
      </c>
      <c r="AR24" s="511">
        <v>0.04</v>
      </c>
      <c r="AS24" s="512">
        <v>0.06</v>
      </c>
      <c r="AT24" s="494">
        <v>8.0000000000000002E-3</v>
      </c>
      <c r="AU24" s="494">
        <v>0</v>
      </c>
      <c r="AV24" s="494">
        <v>5.0000000000000001E-3</v>
      </c>
      <c r="AW24" s="494">
        <v>0</v>
      </c>
      <c r="AX24" s="474">
        <v>0.02</v>
      </c>
      <c r="AY24" s="513">
        <v>150000000</v>
      </c>
      <c r="AZ24" s="513">
        <v>30000000</v>
      </c>
      <c r="BA24" s="513">
        <v>150000000</v>
      </c>
      <c r="BB24" s="513">
        <v>200000000</v>
      </c>
      <c r="BC24" s="513">
        <f>SUM(AY24:BB24)</f>
        <v>530000000</v>
      </c>
      <c r="BD24" s="514" t="s">
        <v>68</v>
      </c>
      <c r="BE24" s="515" t="s">
        <v>69</v>
      </c>
    </row>
    <row r="25" spans="1:166" ht="33.75">
      <c r="A25" s="484"/>
      <c r="B25" s="484"/>
      <c r="C25" s="484"/>
      <c r="D25" s="484"/>
      <c r="E25" s="484"/>
      <c r="F25" s="484"/>
      <c r="G25" s="484"/>
      <c r="H25" s="484"/>
      <c r="I25" s="499"/>
      <c r="J25" s="499"/>
      <c r="K25" s="499"/>
      <c r="L25" s="499"/>
      <c r="M25" s="499"/>
      <c r="N25" s="500"/>
      <c r="O25" s="500"/>
      <c r="P25" s="500"/>
      <c r="Q25" s="500"/>
      <c r="R25" s="500"/>
      <c r="S25" s="500"/>
      <c r="T25" s="500"/>
      <c r="U25" s="500"/>
      <c r="V25" s="500"/>
      <c r="W25" s="500"/>
      <c r="X25" s="500"/>
      <c r="Y25" s="500"/>
      <c r="Z25" s="500"/>
      <c r="AA25" s="500"/>
      <c r="AB25" s="500"/>
      <c r="AC25" s="485"/>
      <c r="AD25" s="485"/>
      <c r="AE25" s="485"/>
      <c r="AF25" s="485"/>
      <c r="AG25" s="485"/>
      <c r="AH25" s="485"/>
      <c r="AI25" s="472" t="s">
        <v>74</v>
      </c>
      <c r="AJ25" s="473">
        <v>0.08</v>
      </c>
      <c r="AK25" s="473">
        <f>+AJ25*C4</f>
        <v>8.0000000000000002E-3</v>
      </c>
      <c r="AL25" s="473">
        <f>+AJ25*D4</f>
        <v>3.6000000000000004E-2</v>
      </c>
      <c r="AM25" s="473">
        <f>+AJ25*E4</f>
        <v>0.02</v>
      </c>
      <c r="AN25" s="473">
        <f>+AJ25*F4</f>
        <v>1.6E-2</v>
      </c>
      <c r="AO25" s="516" t="s">
        <v>79</v>
      </c>
      <c r="AP25" s="510" t="s">
        <v>202</v>
      </c>
      <c r="AQ25" s="510" t="s">
        <v>88</v>
      </c>
      <c r="AR25" s="475">
        <v>0</v>
      </c>
      <c r="AS25" s="474">
        <v>1</v>
      </c>
      <c r="AT25" s="494">
        <v>1</v>
      </c>
      <c r="AU25" s="494">
        <v>1</v>
      </c>
      <c r="AV25" s="494">
        <v>1</v>
      </c>
      <c r="AW25" s="494">
        <v>1</v>
      </c>
      <c r="AX25" s="474">
        <v>1</v>
      </c>
      <c r="AY25" s="513">
        <v>0</v>
      </c>
      <c r="AZ25" s="513">
        <v>0</v>
      </c>
      <c r="BA25" s="513">
        <v>0</v>
      </c>
      <c r="BB25" s="517">
        <v>0</v>
      </c>
      <c r="BC25" s="517">
        <f t="shared" ref="BC25:BC30" si="2">SUM(AY25:BB25)</f>
        <v>0</v>
      </c>
      <c r="BD25" s="481" t="s">
        <v>68</v>
      </c>
      <c r="BE25" s="482" t="s">
        <v>69</v>
      </c>
    </row>
    <row r="26" spans="1:166" ht="33.75">
      <c r="A26" s="484"/>
      <c r="B26" s="484"/>
      <c r="C26" s="484"/>
      <c r="D26" s="484"/>
      <c r="E26" s="484"/>
      <c r="F26" s="484"/>
      <c r="G26" s="484"/>
      <c r="H26" s="484"/>
      <c r="I26" s="499"/>
      <c r="J26" s="499"/>
      <c r="K26" s="499"/>
      <c r="L26" s="499"/>
      <c r="M26" s="499"/>
      <c r="N26" s="500"/>
      <c r="O26" s="500"/>
      <c r="P26" s="500"/>
      <c r="Q26" s="500"/>
      <c r="R26" s="500"/>
      <c r="S26" s="500"/>
      <c r="T26" s="500"/>
      <c r="U26" s="500"/>
      <c r="V26" s="500"/>
      <c r="W26" s="500"/>
      <c r="X26" s="500"/>
      <c r="Y26" s="500"/>
      <c r="Z26" s="500"/>
      <c r="AA26" s="500"/>
      <c r="AB26" s="500"/>
      <c r="AC26" s="485"/>
      <c r="AD26" s="485"/>
      <c r="AE26" s="485"/>
      <c r="AF26" s="485"/>
      <c r="AG26" s="485"/>
      <c r="AH26" s="485"/>
      <c r="AI26" s="472" t="s">
        <v>1498</v>
      </c>
      <c r="AJ26" s="473">
        <v>91.98</v>
      </c>
      <c r="AK26" s="473">
        <f>+AJ26*C4</f>
        <v>9.1980000000000004</v>
      </c>
      <c r="AL26" s="473">
        <f>+AJ26*D4</f>
        <v>41.391000000000005</v>
      </c>
      <c r="AM26" s="473">
        <f>+AJ26*E4</f>
        <v>22.995000000000001</v>
      </c>
      <c r="AN26" s="473">
        <f>+AJ26*F4</f>
        <v>18.396000000000001</v>
      </c>
      <c r="AO26" s="516" t="s">
        <v>1497</v>
      </c>
      <c r="AP26" s="510" t="s">
        <v>202</v>
      </c>
      <c r="AQ26" s="510" t="s">
        <v>88</v>
      </c>
      <c r="AR26" s="475">
        <v>2</v>
      </c>
      <c r="AS26" s="486">
        <v>12</v>
      </c>
      <c r="AT26" s="477">
        <v>2</v>
      </c>
      <c r="AU26" s="477">
        <v>4</v>
      </c>
      <c r="AV26" s="477">
        <v>2</v>
      </c>
      <c r="AW26" s="477">
        <v>2</v>
      </c>
      <c r="AX26" s="475">
        <v>1</v>
      </c>
      <c r="AY26" s="513">
        <v>6000000000</v>
      </c>
      <c r="AZ26" s="513">
        <v>1000000000</v>
      </c>
      <c r="BA26" s="513">
        <v>3000000000</v>
      </c>
      <c r="BB26" s="517">
        <v>10000000000</v>
      </c>
      <c r="BC26" s="517">
        <f t="shared" si="2"/>
        <v>20000000000</v>
      </c>
      <c r="BD26" s="481" t="s">
        <v>68</v>
      </c>
      <c r="BE26" s="482" t="s">
        <v>69</v>
      </c>
    </row>
    <row r="27" spans="1:166" ht="22.5">
      <c r="A27" s="484"/>
      <c r="B27" s="484"/>
      <c r="C27" s="484"/>
      <c r="D27" s="484"/>
      <c r="E27" s="484"/>
      <c r="F27" s="484"/>
      <c r="G27" s="484"/>
      <c r="H27" s="484"/>
      <c r="I27" s="499"/>
      <c r="J27" s="499"/>
      <c r="K27" s="499"/>
      <c r="L27" s="499"/>
      <c r="M27" s="499"/>
      <c r="N27" s="500"/>
      <c r="O27" s="500"/>
      <c r="P27" s="500"/>
      <c r="Q27" s="500"/>
      <c r="R27" s="500"/>
      <c r="S27" s="500"/>
      <c r="T27" s="500"/>
      <c r="U27" s="500"/>
      <c r="V27" s="500"/>
      <c r="W27" s="500"/>
      <c r="X27" s="500"/>
      <c r="Y27" s="500"/>
      <c r="Z27" s="500"/>
      <c r="AA27" s="500"/>
      <c r="AB27" s="500"/>
      <c r="AC27" s="485"/>
      <c r="AD27" s="485"/>
      <c r="AE27" s="485"/>
      <c r="AF27" s="485"/>
      <c r="AG27" s="485"/>
      <c r="AH27" s="485"/>
      <c r="AI27" s="472" t="s">
        <v>75</v>
      </c>
      <c r="AJ27" s="473">
        <v>2.54</v>
      </c>
      <c r="AK27" s="473">
        <f>+AJ27*C4</f>
        <v>0.254</v>
      </c>
      <c r="AL27" s="473">
        <v>2.29</v>
      </c>
      <c r="AM27" s="473">
        <v>0</v>
      </c>
      <c r="AN27" s="473">
        <v>0</v>
      </c>
      <c r="AO27" s="516" t="s">
        <v>80</v>
      </c>
      <c r="AP27" s="510" t="s">
        <v>202</v>
      </c>
      <c r="AQ27" s="510" t="s">
        <v>87</v>
      </c>
      <c r="AR27" s="475">
        <v>0</v>
      </c>
      <c r="AS27" s="486">
        <v>8</v>
      </c>
      <c r="AT27" s="477">
        <v>2</v>
      </c>
      <c r="AU27" s="477">
        <v>6</v>
      </c>
      <c r="AV27" s="477">
        <v>0</v>
      </c>
      <c r="AW27" s="477">
        <v>0</v>
      </c>
      <c r="AX27" s="475">
        <v>8</v>
      </c>
      <c r="AY27" s="513">
        <v>150000000</v>
      </c>
      <c r="AZ27" s="513">
        <v>25000000</v>
      </c>
      <c r="BA27" s="513">
        <v>150000000</v>
      </c>
      <c r="BB27" s="517">
        <v>100000000</v>
      </c>
      <c r="BC27" s="517">
        <f t="shared" si="2"/>
        <v>425000000</v>
      </c>
      <c r="BD27" s="481" t="s">
        <v>68</v>
      </c>
      <c r="BE27" s="482" t="s">
        <v>69</v>
      </c>
    </row>
    <row r="28" spans="1:166" ht="22.5">
      <c r="A28" s="484"/>
      <c r="B28" s="484"/>
      <c r="C28" s="484"/>
      <c r="D28" s="484"/>
      <c r="E28" s="484"/>
      <c r="F28" s="484"/>
      <c r="G28" s="484"/>
      <c r="H28" s="484"/>
      <c r="I28" s="499"/>
      <c r="J28" s="499"/>
      <c r="K28" s="499"/>
      <c r="L28" s="499"/>
      <c r="M28" s="499"/>
      <c r="N28" s="500"/>
      <c r="O28" s="500"/>
      <c r="P28" s="500"/>
      <c r="Q28" s="500"/>
      <c r="R28" s="500"/>
      <c r="S28" s="500"/>
      <c r="T28" s="500"/>
      <c r="U28" s="500"/>
      <c r="V28" s="500"/>
      <c r="W28" s="500"/>
      <c r="X28" s="500"/>
      <c r="Y28" s="500"/>
      <c r="Z28" s="500"/>
      <c r="AA28" s="500"/>
      <c r="AB28" s="500"/>
      <c r="AC28" s="485"/>
      <c r="AD28" s="485"/>
      <c r="AE28" s="485"/>
      <c r="AF28" s="485"/>
      <c r="AG28" s="485"/>
      <c r="AH28" s="485"/>
      <c r="AI28" s="472" t="s">
        <v>76</v>
      </c>
      <c r="AJ28" s="473">
        <v>1</v>
      </c>
      <c r="AK28" s="473">
        <f>+AJ28*C4</f>
        <v>0.1</v>
      </c>
      <c r="AL28" s="473">
        <f>+AJ28*D4</f>
        <v>0.45</v>
      </c>
      <c r="AM28" s="473">
        <f>+AJ28*E4</f>
        <v>0.25</v>
      </c>
      <c r="AN28" s="473">
        <f>+AJ28*F4</f>
        <v>0.2</v>
      </c>
      <c r="AO28" s="516" t="s">
        <v>81</v>
      </c>
      <c r="AP28" s="510" t="s">
        <v>202</v>
      </c>
      <c r="AQ28" s="510" t="s">
        <v>87</v>
      </c>
      <c r="AR28" s="475">
        <v>1</v>
      </c>
      <c r="AS28" s="486">
        <v>5</v>
      </c>
      <c r="AT28" s="477">
        <v>1</v>
      </c>
      <c r="AU28" s="477">
        <v>1</v>
      </c>
      <c r="AV28" s="477">
        <v>1</v>
      </c>
      <c r="AW28" s="477">
        <v>1</v>
      </c>
      <c r="AX28" s="475">
        <v>4</v>
      </c>
      <c r="AY28" s="513">
        <v>50000000</v>
      </c>
      <c r="AZ28" s="513">
        <v>0</v>
      </c>
      <c r="BA28" s="513">
        <v>100000000</v>
      </c>
      <c r="BB28" s="517">
        <v>100000000</v>
      </c>
      <c r="BC28" s="517">
        <f t="shared" si="2"/>
        <v>250000000</v>
      </c>
      <c r="BD28" s="481" t="s">
        <v>68</v>
      </c>
      <c r="BE28" s="482" t="s">
        <v>69</v>
      </c>
    </row>
    <row r="29" spans="1:166" ht="22.5">
      <c r="A29" s="484"/>
      <c r="B29" s="484"/>
      <c r="C29" s="484"/>
      <c r="D29" s="484"/>
      <c r="E29" s="484"/>
      <c r="F29" s="484"/>
      <c r="G29" s="484"/>
      <c r="H29" s="484"/>
      <c r="I29" s="499"/>
      <c r="J29" s="499"/>
      <c r="K29" s="499"/>
      <c r="L29" s="499"/>
      <c r="M29" s="499"/>
      <c r="N29" s="500"/>
      <c r="O29" s="500"/>
      <c r="P29" s="500"/>
      <c r="Q29" s="500"/>
      <c r="R29" s="500"/>
      <c r="S29" s="500"/>
      <c r="T29" s="500"/>
      <c r="U29" s="500"/>
      <c r="V29" s="500"/>
      <c r="W29" s="500"/>
      <c r="X29" s="500"/>
      <c r="Y29" s="500"/>
      <c r="Z29" s="500"/>
      <c r="AA29" s="500"/>
      <c r="AB29" s="500"/>
      <c r="AC29" s="485"/>
      <c r="AD29" s="485"/>
      <c r="AE29" s="485"/>
      <c r="AF29" s="485"/>
      <c r="AG29" s="485"/>
      <c r="AH29" s="485"/>
      <c r="AI29" s="472" t="s">
        <v>77</v>
      </c>
      <c r="AJ29" s="473">
        <v>0.54</v>
      </c>
      <c r="AK29" s="473">
        <f>+AJ29*C4</f>
        <v>5.4000000000000006E-2</v>
      </c>
      <c r="AL29" s="473">
        <v>0</v>
      </c>
      <c r="AM29" s="473">
        <v>0.38</v>
      </c>
      <c r="AN29" s="473">
        <f>+AJ29*F4</f>
        <v>0.10800000000000001</v>
      </c>
      <c r="AO29" s="516" t="s">
        <v>82</v>
      </c>
      <c r="AP29" s="510" t="s">
        <v>202</v>
      </c>
      <c r="AQ29" s="510" t="s">
        <v>87</v>
      </c>
      <c r="AR29" s="475">
        <v>0</v>
      </c>
      <c r="AS29" s="486">
        <v>1</v>
      </c>
      <c r="AT29" s="477">
        <v>1</v>
      </c>
      <c r="AU29" s="477">
        <v>1</v>
      </c>
      <c r="AV29" s="477">
        <v>0</v>
      </c>
      <c r="AW29" s="477" t="s">
        <v>83</v>
      </c>
      <c r="AX29" s="475">
        <v>1</v>
      </c>
      <c r="AY29" s="513">
        <v>50000000</v>
      </c>
      <c r="AZ29" s="513">
        <v>0</v>
      </c>
      <c r="BA29" s="513">
        <v>50000000</v>
      </c>
      <c r="BB29" s="518">
        <v>50000000</v>
      </c>
      <c r="BC29" s="518">
        <f t="shared" si="2"/>
        <v>150000000</v>
      </c>
      <c r="BD29" s="481" t="s">
        <v>68</v>
      </c>
      <c r="BE29" s="482" t="s">
        <v>69</v>
      </c>
    </row>
    <row r="30" spans="1:166" ht="33.75">
      <c r="A30" s="492"/>
      <c r="B30" s="492"/>
      <c r="C30" s="492"/>
      <c r="D30" s="492"/>
      <c r="E30" s="492"/>
      <c r="F30" s="492"/>
      <c r="G30" s="492"/>
      <c r="H30" s="492"/>
      <c r="I30" s="506"/>
      <c r="J30" s="506"/>
      <c r="K30" s="506"/>
      <c r="L30" s="506"/>
      <c r="M30" s="506"/>
      <c r="N30" s="500"/>
      <c r="O30" s="500"/>
      <c r="P30" s="500"/>
      <c r="Q30" s="500"/>
      <c r="R30" s="500"/>
      <c r="S30" s="500"/>
      <c r="T30" s="500"/>
      <c r="U30" s="500"/>
      <c r="V30" s="500"/>
      <c r="W30" s="500"/>
      <c r="X30" s="500"/>
      <c r="Y30" s="500"/>
      <c r="Z30" s="500"/>
      <c r="AA30" s="500"/>
      <c r="AB30" s="500"/>
      <c r="AC30" s="485"/>
      <c r="AD30" s="485"/>
      <c r="AE30" s="485"/>
      <c r="AF30" s="485"/>
      <c r="AG30" s="485"/>
      <c r="AH30" s="485"/>
      <c r="AI30" s="472" t="s">
        <v>1500</v>
      </c>
      <c r="AJ30" s="473">
        <v>0.9</v>
      </c>
      <c r="AK30" s="473">
        <f>+AJ30*C4</f>
        <v>9.0000000000000011E-2</v>
      </c>
      <c r="AL30" s="473">
        <v>0</v>
      </c>
      <c r="AM30" s="473">
        <v>0.63</v>
      </c>
      <c r="AN30" s="473">
        <f>+AJ30*F4</f>
        <v>0.18000000000000002</v>
      </c>
      <c r="AO30" s="519" t="s">
        <v>1501</v>
      </c>
      <c r="AP30" s="510" t="s">
        <v>202</v>
      </c>
      <c r="AQ30" s="510" t="s">
        <v>88</v>
      </c>
      <c r="AR30" s="475">
        <v>0</v>
      </c>
      <c r="AS30" s="474" t="s">
        <v>1499</v>
      </c>
      <c r="AT30" s="477">
        <v>1</v>
      </c>
      <c r="AU30" s="477">
        <v>0</v>
      </c>
      <c r="AV30" s="477">
        <v>2</v>
      </c>
      <c r="AW30" s="477" t="s">
        <v>83</v>
      </c>
      <c r="AX30" s="474" t="s">
        <v>1511</v>
      </c>
      <c r="AY30" s="513">
        <v>50000000</v>
      </c>
      <c r="AZ30" s="513">
        <v>0</v>
      </c>
      <c r="BA30" s="513">
        <v>100000000</v>
      </c>
      <c r="BB30" s="518">
        <v>50000000</v>
      </c>
      <c r="BC30" s="518">
        <f t="shared" si="2"/>
        <v>200000000</v>
      </c>
      <c r="BD30" s="481" t="s">
        <v>68</v>
      </c>
      <c r="BE30" s="482" t="s">
        <v>69</v>
      </c>
    </row>
    <row r="31" spans="1:166">
      <c r="A31" s="50"/>
      <c r="B31" s="342"/>
      <c r="C31" s="51"/>
      <c r="D31" s="51"/>
      <c r="E31" s="51"/>
      <c r="F31" s="51"/>
      <c r="G31" s="52"/>
      <c r="H31" s="52"/>
      <c r="I31" s="53"/>
      <c r="J31" s="53"/>
      <c r="K31" s="53"/>
      <c r="L31" s="53"/>
      <c r="M31" s="53"/>
      <c r="N31" s="52"/>
      <c r="O31" s="54"/>
      <c r="P31" s="54"/>
      <c r="Q31" s="54"/>
      <c r="R31" s="54"/>
      <c r="S31" s="54"/>
      <c r="T31" s="52"/>
      <c r="U31" s="52"/>
      <c r="V31" s="52"/>
      <c r="W31" s="52"/>
      <c r="X31" s="52"/>
      <c r="Y31" s="52"/>
      <c r="Z31" s="52"/>
      <c r="AA31" s="52"/>
      <c r="AB31" s="52"/>
      <c r="AC31" s="349" t="s">
        <v>1453</v>
      </c>
      <c r="AD31" s="418">
        <f>+AD24</f>
        <v>100</v>
      </c>
      <c r="AE31" s="53"/>
      <c r="AF31" s="53"/>
      <c r="AG31" s="53"/>
      <c r="AH31" s="53"/>
      <c r="AI31" s="55"/>
      <c r="AJ31" s="431">
        <f>SUM(AJ24:AJ30)</f>
        <v>99.980000000000018</v>
      </c>
      <c r="AK31" s="431"/>
      <c r="AL31" s="431"/>
      <c r="AM31" s="431"/>
      <c r="AN31" s="431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461">
        <f>SUM(AY24:AY30)</f>
        <v>6450000000</v>
      </c>
      <c r="AZ31" s="461">
        <f t="shared" ref="AZ31:BC31" si="3">SUM(AZ24:AZ30)</f>
        <v>1055000000</v>
      </c>
      <c r="BA31" s="461">
        <f t="shared" si="3"/>
        <v>3550000000</v>
      </c>
      <c r="BB31" s="61">
        <f t="shared" si="3"/>
        <v>10500000000</v>
      </c>
      <c r="BC31" s="61">
        <f t="shared" si="3"/>
        <v>21555000000</v>
      </c>
      <c r="BD31" s="52"/>
      <c r="BE31" s="52"/>
    </row>
    <row r="32" spans="1:166">
      <c r="A32" s="19"/>
      <c r="B32" s="57"/>
      <c r="C32" s="14"/>
      <c r="D32" s="14"/>
      <c r="E32" s="14"/>
      <c r="F32" s="14"/>
      <c r="G32" s="14"/>
      <c r="H32" s="14" t="s">
        <v>1452</v>
      </c>
      <c r="I32" s="398">
        <f>+I7</f>
        <v>100</v>
      </c>
      <c r="J32" s="14"/>
      <c r="K32" s="14"/>
      <c r="L32" s="14"/>
      <c r="M32" s="14"/>
      <c r="N32" s="14"/>
      <c r="O32" s="57">
        <f>SUM(O7:O31)</f>
        <v>100</v>
      </c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57"/>
      <c r="AK32" s="57"/>
      <c r="AL32" s="57"/>
      <c r="AM32" s="57"/>
      <c r="AN32" s="57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5">
        <f>+AY31+AY23</f>
        <v>14875146872.549999</v>
      </c>
      <c r="AZ32" s="15">
        <f t="shared" ref="AZ32:BC32" si="4">+AZ31+AZ23</f>
        <v>5317160000</v>
      </c>
      <c r="BA32" s="15">
        <f t="shared" si="4"/>
        <v>8707840000</v>
      </c>
      <c r="BB32" s="15">
        <f t="shared" si="4"/>
        <v>14062853127.450001</v>
      </c>
      <c r="BC32" s="15">
        <f t="shared" si="4"/>
        <v>42963000000</v>
      </c>
      <c r="BD32" s="14"/>
      <c r="BE32" s="13"/>
    </row>
    <row r="33" spans="1:57">
      <c r="A33" s="59" t="s">
        <v>84</v>
      </c>
      <c r="B33" s="343">
        <f>+B7</f>
        <v>8</v>
      </c>
      <c r="C33" s="26"/>
      <c r="D33" s="26"/>
      <c r="E33" s="26"/>
      <c r="F33" s="26"/>
      <c r="G33" s="32"/>
      <c r="H33" s="32"/>
      <c r="I33" s="32"/>
      <c r="J33" s="26"/>
      <c r="K33" s="26"/>
      <c r="L33" s="26"/>
      <c r="M33" s="26"/>
      <c r="N33" s="32"/>
      <c r="O33" s="32"/>
      <c r="P33" s="26"/>
      <c r="Q33" s="26"/>
      <c r="R33" s="26"/>
      <c r="S33" s="26"/>
      <c r="T33" s="463"/>
      <c r="U33" s="463"/>
      <c r="V33" s="463"/>
      <c r="W33" s="463"/>
      <c r="X33" s="463"/>
      <c r="Y33" s="463"/>
      <c r="Z33" s="463"/>
      <c r="AA33" s="463"/>
      <c r="AB33" s="463"/>
      <c r="AC33" s="32"/>
      <c r="AD33" s="32"/>
      <c r="AE33" s="26"/>
      <c r="AF33" s="26"/>
      <c r="AG33" s="26"/>
      <c r="AH33" s="26"/>
      <c r="AI33" s="32"/>
      <c r="AJ33" s="58"/>
      <c r="AK33" s="58"/>
      <c r="AL33" s="58"/>
      <c r="AM33" s="58"/>
      <c r="AN33" s="58"/>
      <c r="AO33" s="463"/>
      <c r="AP33" s="463"/>
      <c r="AQ33" s="463"/>
      <c r="AR33" s="463"/>
      <c r="AS33" s="26"/>
      <c r="AT33" s="26"/>
      <c r="AU33" s="26"/>
      <c r="AV33" s="26"/>
      <c r="AW33" s="26"/>
      <c r="AX33" s="26"/>
      <c r="AY33" s="62">
        <f>+AY32</f>
        <v>14875146872.549999</v>
      </c>
      <c r="AZ33" s="62">
        <f t="shared" ref="AZ33:BC33" si="5">+AZ32</f>
        <v>5317160000</v>
      </c>
      <c r="BA33" s="62">
        <f t="shared" si="5"/>
        <v>8707840000</v>
      </c>
      <c r="BB33" s="62">
        <f t="shared" si="5"/>
        <v>14062853127.450001</v>
      </c>
      <c r="BC33" s="62">
        <f t="shared" si="5"/>
        <v>42963000000</v>
      </c>
      <c r="BD33" s="32"/>
      <c r="BE33" s="32"/>
    </row>
    <row r="34" spans="1:57" ht="78.75">
      <c r="A34" s="160" t="s">
        <v>89</v>
      </c>
      <c r="B34" s="408">
        <v>19</v>
      </c>
      <c r="C34" s="408">
        <f>+B34*C4</f>
        <v>1.9000000000000001</v>
      </c>
      <c r="D34" s="408">
        <f>+B34*D4</f>
        <v>8.5500000000000007</v>
      </c>
      <c r="E34" s="408">
        <f>+B34*E4</f>
        <v>4.75</v>
      </c>
      <c r="F34" s="408">
        <f>+B34*F4</f>
        <v>3.8000000000000003</v>
      </c>
      <c r="G34" s="160" t="s">
        <v>90</v>
      </c>
      <c r="H34" s="108" t="s">
        <v>91</v>
      </c>
      <c r="I34" s="520">
        <f>+(1.5*100)/19</f>
        <v>7.8947368421052628</v>
      </c>
      <c r="J34" s="521">
        <f>+I34*C4</f>
        <v>0.78947368421052633</v>
      </c>
      <c r="K34" s="521">
        <f>+I34*D4</f>
        <v>3.5526315789473681</v>
      </c>
      <c r="L34" s="521">
        <f>+I34*E4</f>
        <v>1.9736842105263157</v>
      </c>
      <c r="M34" s="521">
        <f>+I34*F4</f>
        <v>1.5789473684210527</v>
      </c>
      <c r="N34" s="108" t="s">
        <v>92</v>
      </c>
      <c r="O34" s="406">
        <f>+(0.5*100)/1.5</f>
        <v>33.333333333333336</v>
      </c>
      <c r="P34" s="406">
        <f>+O34*C4</f>
        <v>3.3333333333333339</v>
      </c>
      <c r="Q34" s="406">
        <f>+O34*D4</f>
        <v>15.000000000000002</v>
      </c>
      <c r="R34" s="406">
        <f>+O34*E4</f>
        <v>8.3333333333333339</v>
      </c>
      <c r="S34" s="406">
        <f>+O34*F4</f>
        <v>6.6666666666666679</v>
      </c>
      <c r="T34" s="108" t="s">
        <v>93</v>
      </c>
      <c r="U34" s="108" t="s">
        <v>202</v>
      </c>
      <c r="V34" s="108" t="s">
        <v>87</v>
      </c>
      <c r="W34" s="108" t="s">
        <v>95</v>
      </c>
      <c r="X34" s="108" t="s">
        <v>96</v>
      </c>
      <c r="Y34" s="522">
        <v>150000</v>
      </c>
      <c r="Z34" s="522">
        <v>2000000</v>
      </c>
      <c r="AA34" s="522">
        <v>245000</v>
      </c>
      <c r="AB34" s="522">
        <v>272480</v>
      </c>
      <c r="AC34" s="108" t="s">
        <v>94</v>
      </c>
      <c r="AD34" s="406">
        <f>+(0.5*100)/1.5</f>
        <v>33.333333333333336</v>
      </c>
      <c r="AE34" s="407">
        <f>+AD34*C4</f>
        <v>3.3333333333333339</v>
      </c>
      <c r="AF34" s="407">
        <f>+AD34*D4</f>
        <v>15.000000000000002</v>
      </c>
      <c r="AG34" s="407">
        <f>+AD34*E4</f>
        <v>8.3333333333333339</v>
      </c>
      <c r="AH34" s="407">
        <f>+AD34*F4</f>
        <v>6.6666666666666679</v>
      </c>
      <c r="AI34" s="523" t="s">
        <v>97</v>
      </c>
      <c r="AJ34" s="524">
        <v>15.84</v>
      </c>
      <c r="AK34" s="524">
        <f>+AJ34*C4</f>
        <v>1.5840000000000001</v>
      </c>
      <c r="AL34" s="524">
        <v>0</v>
      </c>
      <c r="AM34" s="524">
        <v>0</v>
      </c>
      <c r="AN34" s="524">
        <v>14.26</v>
      </c>
      <c r="AO34" s="525" t="s">
        <v>105</v>
      </c>
      <c r="AP34" s="526" t="s">
        <v>202</v>
      </c>
      <c r="AQ34" s="116" t="s">
        <v>87</v>
      </c>
      <c r="AR34" s="526">
        <v>0</v>
      </c>
      <c r="AS34" s="526">
        <v>1</v>
      </c>
      <c r="AT34" s="526">
        <v>1</v>
      </c>
      <c r="AU34" s="526">
        <v>0</v>
      </c>
      <c r="AV34" s="526">
        <v>0</v>
      </c>
      <c r="AW34" s="526">
        <v>1</v>
      </c>
      <c r="AX34" s="526">
        <v>1</v>
      </c>
      <c r="AY34" s="527">
        <v>100000000</v>
      </c>
      <c r="AZ34" s="527">
        <v>35000000</v>
      </c>
      <c r="BA34" s="527">
        <v>29606400</v>
      </c>
      <c r="BB34" s="527">
        <v>65393600</v>
      </c>
      <c r="BC34" s="178">
        <f>SUM(AY34:BB34)</f>
        <v>230000000</v>
      </c>
      <c r="BD34" s="66" t="s">
        <v>111</v>
      </c>
      <c r="BE34" s="66" t="s">
        <v>112</v>
      </c>
    </row>
    <row r="35" spans="1:57" ht="33.75">
      <c r="A35" s="20"/>
      <c r="B35" s="20"/>
      <c r="C35" s="20"/>
      <c r="D35" s="20"/>
      <c r="E35" s="20"/>
      <c r="F35" s="20"/>
      <c r="G35" s="20"/>
      <c r="H35" s="20"/>
      <c r="I35" s="9"/>
      <c r="J35" s="20"/>
      <c r="K35" s="20"/>
      <c r="L35" s="20"/>
      <c r="M35" s="20"/>
      <c r="N35" s="20"/>
      <c r="O35" s="169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523" t="s">
        <v>98</v>
      </c>
      <c r="AJ35" s="524">
        <v>5.6</v>
      </c>
      <c r="AK35" s="524">
        <f>+AJ35*C4</f>
        <v>0.55999999999999994</v>
      </c>
      <c r="AL35" s="524">
        <f>+AJ35*D4</f>
        <v>2.52</v>
      </c>
      <c r="AM35" s="524">
        <v>2.52</v>
      </c>
      <c r="AN35" s="524">
        <v>0</v>
      </c>
      <c r="AO35" s="525" t="s">
        <v>82</v>
      </c>
      <c r="AP35" s="526" t="s">
        <v>202</v>
      </c>
      <c r="AQ35" s="116" t="s">
        <v>87</v>
      </c>
      <c r="AR35" s="526">
        <v>0</v>
      </c>
      <c r="AS35" s="526">
        <v>1</v>
      </c>
      <c r="AT35" s="526">
        <v>1</v>
      </c>
      <c r="AU35" s="526">
        <v>1</v>
      </c>
      <c r="AV35" s="526">
        <v>1</v>
      </c>
      <c r="AW35" s="526">
        <v>0</v>
      </c>
      <c r="AX35" s="526">
        <v>1</v>
      </c>
      <c r="AY35" s="527">
        <v>25000000</v>
      </c>
      <c r="AZ35" s="527">
        <v>25000000</v>
      </c>
      <c r="BA35" s="527">
        <v>0</v>
      </c>
      <c r="BB35" s="527">
        <v>0</v>
      </c>
      <c r="BC35" s="178">
        <f t="shared" ref="BC35:BC41" si="6">SUM(AY35:BB35)</f>
        <v>50000000</v>
      </c>
      <c r="BD35" s="66" t="s">
        <v>111</v>
      </c>
      <c r="BE35" s="528" t="s">
        <v>112</v>
      </c>
    </row>
    <row r="36" spans="1:57" ht="22.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523" t="s">
        <v>99</v>
      </c>
      <c r="AJ36" s="524">
        <v>9.68</v>
      </c>
      <c r="AK36" s="524">
        <f>+AJ36*C4</f>
        <v>0.96799999999999997</v>
      </c>
      <c r="AL36" s="524">
        <v>0</v>
      </c>
      <c r="AM36" s="524">
        <v>4.3600000000000003</v>
      </c>
      <c r="AN36" s="524">
        <v>4.3559999999999999</v>
      </c>
      <c r="AO36" s="525" t="s">
        <v>82</v>
      </c>
      <c r="AP36" s="526" t="s">
        <v>202</v>
      </c>
      <c r="AQ36" s="116" t="s">
        <v>87</v>
      </c>
      <c r="AR36" s="526">
        <v>0</v>
      </c>
      <c r="AS36" s="526">
        <v>1</v>
      </c>
      <c r="AT36" s="526">
        <v>1</v>
      </c>
      <c r="AU36" s="526">
        <v>0</v>
      </c>
      <c r="AV36" s="526">
        <v>1</v>
      </c>
      <c r="AW36" s="526">
        <v>1</v>
      </c>
      <c r="AX36" s="526">
        <v>1</v>
      </c>
      <c r="AY36" s="527">
        <v>30000000</v>
      </c>
      <c r="AZ36" s="527">
        <v>40006400</v>
      </c>
      <c r="BA36" s="527">
        <v>29993600</v>
      </c>
      <c r="BB36" s="527">
        <v>0</v>
      </c>
      <c r="BC36" s="178">
        <f t="shared" si="6"/>
        <v>100000000</v>
      </c>
      <c r="BD36" s="66" t="s">
        <v>111</v>
      </c>
      <c r="BE36" s="528" t="s">
        <v>112</v>
      </c>
    </row>
    <row r="37" spans="1:57" ht="22.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523" t="s">
        <v>100</v>
      </c>
      <c r="AJ37" s="524">
        <v>8.64</v>
      </c>
      <c r="AK37" s="524">
        <f>+AJ37*C4</f>
        <v>0.8640000000000001</v>
      </c>
      <c r="AL37" s="524">
        <f>+AJ37*D4</f>
        <v>3.8880000000000003</v>
      </c>
      <c r="AM37" s="524">
        <f>+AJ37*E4</f>
        <v>2.16</v>
      </c>
      <c r="AN37" s="524">
        <f>+AJ37*F4</f>
        <v>1.7280000000000002</v>
      </c>
      <c r="AO37" s="525" t="s">
        <v>106</v>
      </c>
      <c r="AP37" s="526" t="s">
        <v>202</v>
      </c>
      <c r="AQ37" s="116" t="s">
        <v>87</v>
      </c>
      <c r="AR37" s="526">
        <v>0</v>
      </c>
      <c r="AS37" s="526">
        <v>1</v>
      </c>
      <c r="AT37" s="526">
        <v>1</v>
      </c>
      <c r="AU37" s="526">
        <v>1</v>
      </c>
      <c r="AV37" s="526">
        <v>1</v>
      </c>
      <c r="AW37" s="526">
        <v>1</v>
      </c>
      <c r="AX37" s="526">
        <v>1</v>
      </c>
      <c r="AY37" s="527">
        <v>50000000</v>
      </c>
      <c r="AZ37" s="527">
        <v>0</v>
      </c>
      <c r="BA37" s="527">
        <v>0</v>
      </c>
      <c r="BB37" s="527">
        <v>0</v>
      </c>
      <c r="BC37" s="178">
        <f t="shared" si="6"/>
        <v>50000000</v>
      </c>
      <c r="BD37" s="66" t="s">
        <v>111</v>
      </c>
      <c r="BE37" s="528" t="s">
        <v>112</v>
      </c>
    </row>
    <row r="38" spans="1:57" ht="22.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523" t="s">
        <v>101</v>
      </c>
      <c r="AJ38" s="524">
        <v>5.36</v>
      </c>
      <c r="AK38" s="524">
        <f>+AJ38*C4</f>
        <v>0.53600000000000003</v>
      </c>
      <c r="AL38" s="524">
        <v>0</v>
      </c>
      <c r="AM38" s="524">
        <v>4.82</v>
      </c>
      <c r="AN38" s="524">
        <v>0</v>
      </c>
      <c r="AO38" s="525" t="s">
        <v>107</v>
      </c>
      <c r="AP38" s="526" t="s">
        <v>202</v>
      </c>
      <c r="AQ38" s="116" t="s">
        <v>87</v>
      </c>
      <c r="AR38" s="526">
        <v>0</v>
      </c>
      <c r="AS38" s="526">
        <v>2</v>
      </c>
      <c r="AT38" s="526">
        <v>1</v>
      </c>
      <c r="AU38" s="526">
        <v>0</v>
      </c>
      <c r="AV38" s="526">
        <v>1</v>
      </c>
      <c r="AW38" s="526">
        <v>0</v>
      </c>
      <c r="AX38" s="526">
        <v>2</v>
      </c>
      <c r="AY38" s="527">
        <v>75000000</v>
      </c>
      <c r="AZ38" s="527">
        <v>13000000</v>
      </c>
      <c r="BA38" s="527">
        <v>0</v>
      </c>
      <c r="BB38" s="527">
        <v>12000000</v>
      </c>
      <c r="BC38" s="178">
        <f t="shared" si="6"/>
        <v>100000000</v>
      </c>
      <c r="BD38" s="66" t="s">
        <v>111</v>
      </c>
      <c r="BE38" s="528" t="s">
        <v>112</v>
      </c>
    </row>
    <row r="39" spans="1:57" ht="4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523" t="s">
        <v>102</v>
      </c>
      <c r="AJ39" s="524">
        <v>14.08</v>
      </c>
      <c r="AK39" s="524">
        <f>+AJ39*C4</f>
        <v>1.4080000000000001</v>
      </c>
      <c r="AL39" s="524">
        <v>12.68</v>
      </c>
      <c r="AM39" s="524">
        <v>0</v>
      </c>
      <c r="AN39" s="524">
        <v>0</v>
      </c>
      <c r="AO39" s="525" t="s">
        <v>108</v>
      </c>
      <c r="AP39" s="526" t="s">
        <v>202</v>
      </c>
      <c r="AQ39" s="116" t="s">
        <v>87</v>
      </c>
      <c r="AR39" s="526">
        <v>0</v>
      </c>
      <c r="AS39" s="526">
        <v>3</v>
      </c>
      <c r="AT39" s="526">
        <v>1</v>
      </c>
      <c r="AU39" s="526">
        <v>2</v>
      </c>
      <c r="AV39" s="526">
        <v>0</v>
      </c>
      <c r="AW39" s="526">
        <v>0</v>
      </c>
      <c r="AX39" s="526">
        <v>3</v>
      </c>
      <c r="AY39" s="527">
        <v>62720307.700000003</v>
      </c>
      <c r="AZ39" s="527">
        <v>58240000</v>
      </c>
      <c r="BA39" s="527">
        <v>54742400</v>
      </c>
      <c r="BB39" s="527">
        <v>24297292.300000012</v>
      </c>
      <c r="BC39" s="178">
        <f t="shared" si="6"/>
        <v>200000000</v>
      </c>
      <c r="BD39" s="66" t="s">
        <v>111</v>
      </c>
      <c r="BE39" s="528" t="s">
        <v>112</v>
      </c>
    </row>
    <row r="40" spans="1:57" ht="33.7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523" t="s">
        <v>103</v>
      </c>
      <c r="AJ40" s="524">
        <v>19.239999999999998</v>
      </c>
      <c r="AK40" s="524">
        <f>+AJ40</f>
        <v>19.239999999999998</v>
      </c>
      <c r="AL40" s="524">
        <v>0</v>
      </c>
      <c r="AM40" s="524">
        <v>0</v>
      </c>
      <c r="AN40" s="524">
        <v>0</v>
      </c>
      <c r="AO40" s="525" t="s">
        <v>109</v>
      </c>
      <c r="AP40" s="526" t="s">
        <v>202</v>
      </c>
      <c r="AQ40" s="116" t="s">
        <v>87</v>
      </c>
      <c r="AR40" s="526">
        <v>0</v>
      </c>
      <c r="AS40" s="526">
        <v>1</v>
      </c>
      <c r="AT40" s="526">
        <v>1</v>
      </c>
      <c r="AU40" s="526">
        <v>0</v>
      </c>
      <c r="AV40" s="526">
        <v>0</v>
      </c>
      <c r="AW40" s="526">
        <v>0</v>
      </c>
      <c r="AX40" s="526">
        <v>1</v>
      </c>
      <c r="AY40" s="527">
        <v>83338683</v>
      </c>
      <c r="AZ40" s="527">
        <v>151800000</v>
      </c>
      <c r="BA40" s="527">
        <v>44861317</v>
      </c>
      <c r="BB40" s="523">
        <v>0</v>
      </c>
      <c r="BC40" s="178">
        <f t="shared" si="6"/>
        <v>280000000</v>
      </c>
      <c r="BD40" s="66" t="s">
        <v>111</v>
      </c>
      <c r="BE40" s="523" t="s">
        <v>112</v>
      </c>
    </row>
    <row r="41" spans="1:57" ht="22.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523" t="s">
        <v>104</v>
      </c>
      <c r="AJ41" s="524">
        <v>21.56</v>
      </c>
      <c r="AK41" s="524">
        <f>+AJ41*C4</f>
        <v>2.1560000000000001</v>
      </c>
      <c r="AL41" s="524">
        <f>+AJ41*D4</f>
        <v>9.702</v>
      </c>
      <c r="AM41" s="524">
        <f>+AJ41*E4</f>
        <v>5.39</v>
      </c>
      <c r="AN41" s="524">
        <f>+AJ41*F4</f>
        <v>4.3120000000000003</v>
      </c>
      <c r="AO41" s="525" t="s">
        <v>110</v>
      </c>
      <c r="AP41" s="526" t="s">
        <v>202</v>
      </c>
      <c r="AQ41" s="116" t="s">
        <v>87</v>
      </c>
      <c r="AR41" s="526">
        <v>0</v>
      </c>
      <c r="AS41" s="526">
        <v>1</v>
      </c>
      <c r="AT41" s="526">
        <v>1</v>
      </c>
      <c r="AU41" s="526">
        <v>1</v>
      </c>
      <c r="AV41" s="526">
        <v>1</v>
      </c>
      <c r="AW41" s="526">
        <v>1</v>
      </c>
      <c r="AX41" s="526">
        <v>1</v>
      </c>
      <c r="AY41" s="527">
        <v>50000000</v>
      </c>
      <c r="AZ41" s="527">
        <v>100000000</v>
      </c>
      <c r="BA41" s="527">
        <v>50000000</v>
      </c>
      <c r="BB41" s="523">
        <v>100000000.00000001</v>
      </c>
      <c r="BC41" s="178">
        <f t="shared" si="6"/>
        <v>300000000</v>
      </c>
      <c r="BD41" s="66" t="s">
        <v>111</v>
      </c>
      <c r="BE41" s="523" t="s">
        <v>113</v>
      </c>
    </row>
    <row r="42" spans="1:57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102"/>
      <c r="O42" s="82"/>
      <c r="P42" s="82"/>
      <c r="Q42" s="82"/>
      <c r="R42" s="82"/>
      <c r="S42" s="82"/>
      <c r="T42" s="83"/>
      <c r="U42" s="80"/>
      <c r="V42" s="80"/>
      <c r="W42" s="103"/>
      <c r="X42" s="80"/>
      <c r="Y42" s="86"/>
      <c r="Z42" s="86"/>
      <c r="AA42" s="86"/>
      <c r="AB42" s="86"/>
      <c r="AC42" s="349" t="s">
        <v>1453</v>
      </c>
      <c r="AD42" s="419">
        <f>+AD34</f>
        <v>33.333333333333336</v>
      </c>
      <c r="AE42" s="71"/>
      <c r="AF42" s="71"/>
      <c r="AG42" s="71"/>
      <c r="AH42" s="71"/>
      <c r="AI42" s="165"/>
      <c r="AJ42" s="432">
        <f>SUM(AJ34:AJ41)</f>
        <v>100</v>
      </c>
      <c r="AK42" s="432"/>
      <c r="AL42" s="432"/>
      <c r="AM42" s="432"/>
      <c r="AN42" s="432"/>
      <c r="AO42" s="73"/>
      <c r="AP42" s="73"/>
      <c r="AQ42" s="73"/>
      <c r="AR42" s="73"/>
      <c r="AS42" s="73"/>
      <c r="AT42" s="73"/>
      <c r="AU42" s="73"/>
      <c r="AV42" s="73"/>
      <c r="AW42" s="73"/>
      <c r="AX42" s="73"/>
      <c r="AY42" s="74">
        <f>SUM(AY34:AY41)</f>
        <v>476058990.69999999</v>
      </c>
      <c r="AZ42" s="74">
        <f t="shared" ref="AZ42:BC42" si="7">SUM(AZ34:AZ41)</f>
        <v>423046400</v>
      </c>
      <c r="BA42" s="74">
        <f t="shared" si="7"/>
        <v>209203717</v>
      </c>
      <c r="BB42" s="74">
        <f t="shared" si="7"/>
        <v>201690892.30000001</v>
      </c>
      <c r="BC42" s="74">
        <f t="shared" si="7"/>
        <v>1310000000</v>
      </c>
      <c r="BD42" s="73"/>
      <c r="BE42" s="73"/>
    </row>
    <row r="43" spans="1:57" ht="67.5" customHeight="1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37" t="s">
        <v>114</v>
      </c>
      <c r="O43" s="406">
        <f>+(1*100)/1.5</f>
        <v>66.666666666666671</v>
      </c>
      <c r="P43" s="406">
        <f>+O43*C4</f>
        <v>6.6666666666666679</v>
      </c>
      <c r="Q43" s="406">
        <f>O43*D4</f>
        <v>30.000000000000004</v>
      </c>
      <c r="R43" s="406">
        <f>+O43*E4</f>
        <v>16.666666666666668</v>
      </c>
      <c r="S43" s="406">
        <f>+O43*F4</f>
        <v>13.333333333333336</v>
      </c>
      <c r="T43" s="112" t="s">
        <v>115</v>
      </c>
      <c r="U43" s="112" t="s">
        <v>202</v>
      </c>
      <c r="V43" s="529" t="s">
        <v>88</v>
      </c>
      <c r="W43" s="529">
        <v>0</v>
      </c>
      <c r="X43" s="529">
        <v>0.3</v>
      </c>
      <c r="Y43" s="171">
        <v>0.03</v>
      </c>
      <c r="Z43" s="171">
        <v>0.2</v>
      </c>
      <c r="AA43" s="171">
        <v>0.26</v>
      </c>
      <c r="AB43" s="171">
        <v>0.3</v>
      </c>
      <c r="AC43" s="530" t="s">
        <v>116</v>
      </c>
      <c r="AD43" s="407">
        <f>+(1*100)/1.5</f>
        <v>66.666666666666671</v>
      </c>
      <c r="AE43" s="407">
        <f>+AD43*C4</f>
        <v>6.6666666666666679</v>
      </c>
      <c r="AF43" s="407">
        <f>+AD43*D4</f>
        <v>30.000000000000004</v>
      </c>
      <c r="AG43" s="407">
        <f>+AD43*E4</f>
        <v>16.666666666666668</v>
      </c>
      <c r="AH43" s="407">
        <f>+AD43*F4</f>
        <v>13.333333333333336</v>
      </c>
      <c r="AI43" s="531" t="s">
        <v>117</v>
      </c>
      <c r="AJ43" s="524">
        <f>+(0.167*100)/2.5</f>
        <v>6.68</v>
      </c>
      <c r="AK43" s="524">
        <v>0</v>
      </c>
      <c r="AL43" s="524">
        <v>3.67</v>
      </c>
      <c r="AM43" s="524">
        <f>+AJ43*E4</f>
        <v>1.67</v>
      </c>
      <c r="AN43" s="524">
        <f>+AJ43*F4</f>
        <v>1.3360000000000001</v>
      </c>
      <c r="AO43" s="531" t="s">
        <v>124</v>
      </c>
      <c r="AP43" s="67" t="s">
        <v>202</v>
      </c>
      <c r="AQ43" s="528" t="s">
        <v>87</v>
      </c>
      <c r="AR43" s="532">
        <v>0</v>
      </c>
      <c r="AS43" s="532">
        <v>3</v>
      </c>
      <c r="AT43" s="532">
        <v>0</v>
      </c>
      <c r="AU43" s="532">
        <v>1</v>
      </c>
      <c r="AV43" s="532">
        <v>1</v>
      </c>
      <c r="AW43" s="532">
        <v>1</v>
      </c>
      <c r="AX43" s="532">
        <v>3</v>
      </c>
      <c r="AY43" s="527">
        <v>50000000</v>
      </c>
      <c r="AZ43" s="527">
        <v>100000000</v>
      </c>
      <c r="BA43" s="527">
        <v>0</v>
      </c>
      <c r="BB43" s="527">
        <v>0</v>
      </c>
      <c r="BC43" s="527">
        <f>SUM(AY43:BB43)</f>
        <v>150000000</v>
      </c>
      <c r="BD43" s="528" t="s">
        <v>130</v>
      </c>
      <c r="BE43" s="528" t="s">
        <v>132</v>
      </c>
    </row>
    <row r="44" spans="1:57" ht="78.7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37"/>
      <c r="O44" s="37"/>
      <c r="P44" s="37"/>
      <c r="Q44" s="37"/>
      <c r="R44" s="37"/>
      <c r="S44" s="37"/>
      <c r="T44" s="113"/>
      <c r="U44" s="113"/>
      <c r="V44" s="113"/>
      <c r="W44" s="113"/>
      <c r="X44" s="113"/>
      <c r="Y44" s="113"/>
      <c r="Z44" s="113"/>
      <c r="AA44" s="113"/>
      <c r="AB44" s="113"/>
      <c r="AC44" s="533"/>
      <c r="AD44" s="533"/>
      <c r="AE44" s="533"/>
      <c r="AF44" s="533"/>
      <c r="AG44" s="533"/>
      <c r="AH44" s="533"/>
      <c r="AI44" s="531" t="s">
        <v>118</v>
      </c>
      <c r="AJ44" s="524">
        <f>+(1.112*100)/2.5</f>
        <v>44.480000000000004</v>
      </c>
      <c r="AK44" s="524">
        <f>+AJ44*C4</f>
        <v>4.4480000000000004</v>
      </c>
      <c r="AL44" s="524">
        <f>+AJ44*D4</f>
        <v>20.016000000000002</v>
      </c>
      <c r="AM44" s="524">
        <f>+AJ44*E4</f>
        <v>11.120000000000001</v>
      </c>
      <c r="AN44" s="524">
        <f>+AJ44*F4</f>
        <v>8.8960000000000008</v>
      </c>
      <c r="AO44" s="531" t="s">
        <v>125</v>
      </c>
      <c r="AP44" s="67" t="s">
        <v>202</v>
      </c>
      <c r="AQ44" s="528" t="s">
        <v>87</v>
      </c>
      <c r="AR44" s="532">
        <v>0</v>
      </c>
      <c r="AS44" s="532">
        <v>4</v>
      </c>
      <c r="AT44" s="532">
        <v>1</v>
      </c>
      <c r="AU44" s="532">
        <v>1</v>
      </c>
      <c r="AV44" s="532">
        <v>1</v>
      </c>
      <c r="AW44" s="532">
        <v>1</v>
      </c>
      <c r="AX44" s="67">
        <v>4</v>
      </c>
      <c r="AY44" s="527">
        <v>0</v>
      </c>
      <c r="AZ44" s="527">
        <v>800000000</v>
      </c>
      <c r="BA44" s="527">
        <v>300000000</v>
      </c>
      <c r="BB44" s="527">
        <v>292886098</v>
      </c>
      <c r="BC44" s="527">
        <f t="shared" ref="BC44:BC49" si="8">SUM(AY44:BB44)</f>
        <v>1392886098</v>
      </c>
      <c r="BD44" s="528" t="s">
        <v>130</v>
      </c>
      <c r="BE44" s="528" t="s">
        <v>132</v>
      </c>
    </row>
    <row r="45" spans="1:57" ht="22.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37"/>
      <c r="O45" s="534"/>
      <c r="P45" s="535"/>
      <c r="Q45" s="535"/>
      <c r="R45" s="535"/>
      <c r="S45" s="535"/>
      <c r="T45" s="113"/>
      <c r="U45" s="113"/>
      <c r="V45" s="113"/>
      <c r="W45" s="113"/>
      <c r="X45" s="113"/>
      <c r="Y45" s="113"/>
      <c r="Z45" s="113"/>
      <c r="AA45" s="113"/>
      <c r="AB45" s="113"/>
      <c r="AC45" s="533"/>
      <c r="AD45" s="533"/>
      <c r="AE45" s="533"/>
      <c r="AF45" s="533"/>
      <c r="AG45" s="533"/>
      <c r="AH45" s="533"/>
      <c r="AI45" s="531" t="s">
        <v>119</v>
      </c>
      <c r="AJ45" s="524">
        <f>+(0.174*100)/2.5</f>
        <v>6.9599999999999991</v>
      </c>
      <c r="AK45" s="524">
        <v>0</v>
      </c>
      <c r="AL45" s="524">
        <v>3.83</v>
      </c>
      <c r="AM45" s="524">
        <v>3.13</v>
      </c>
      <c r="AN45" s="524">
        <v>0</v>
      </c>
      <c r="AO45" s="531" t="s">
        <v>126</v>
      </c>
      <c r="AP45" s="67" t="s">
        <v>202</v>
      </c>
      <c r="AQ45" s="528" t="s">
        <v>87</v>
      </c>
      <c r="AR45" s="532">
        <v>0</v>
      </c>
      <c r="AS45" s="532">
        <v>2</v>
      </c>
      <c r="AT45" s="532">
        <v>0</v>
      </c>
      <c r="AU45" s="532">
        <v>1</v>
      </c>
      <c r="AV45" s="532">
        <v>1</v>
      </c>
      <c r="AW45" s="532">
        <v>0</v>
      </c>
      <c r="AX45" s="67">
        <v>2</v>
      </c>
      <c r="AY45" s="527">
        <v>0</v>
      </c>
      <c r="AZ45" s="527">
        <v>50000000</v>
      </c>
      <c r="BA45" s="527">
        <v>100000000</v>
      </c>
      <c r="BB45" s="527">
        <v>0</v>
      </c>
      <c r="BC45" s="527">
        <f t="shared" si="8"/>
        <v>150000000</v>
      </c>
      <c r="BD45" s="528" t="s">
        <v>130</v>
      </c>
      <c r="BE45" s="528" t="s">
        <v>132</v>
      </c>
    </row>
    <row r="46" spans="1:57" ht="78.7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37"/>
      <c r="O46" s="534"/>
      <c r="P46" s="535"/>
      <c r="Q46" s="535"/>
      <c r="R46" s="535"/>
      <c r="S46" s="535"/>
      <c r="T46" s="113"/>
      <c r="U46" s="113"/>
      <c r="V46" s="113"/>
      <c r="W46" s="113"/>
      <c r="X46" s="113"/>
      <c r="Y46" s="113"/>
      <c r="Z46" s="113"/>
      <c r="AA46" s="113"/>
      <c r="AB46" s="113"/>
      <c r="AC46" s="533"/>
      <c r="AD46" s="533"/>
      <c r="AE46" s="533"/>
      <c r="AF46" s="533"/>
      <c r="AG46" s="533"/>
      <c r="AH46" s="533"/>
      <c r="AI46" s="531" t="s">
        <v>120</v>
      </c>
      <c r="AJ46" s="524">
        <f>+(0.286*100)/2.5</f>
        <v>11.44</v>
      </c>
      <c r="AK46" s="524">
        <f>+AJ46*C4</f>
        <v>1.1439999999999999</v>
      </c>
      <c r="AL46" s="524">
        <v>0</v>
      </c>
      <c r="AM46" s="524">
        <v>8.01</v>
      </c>
      <c r="AN46" s="524">
        <f>+AJ46*F4</f>
        <v>2.2879999999999998</v>
      </c>
      <c r="AO46" s="531" t="s">
        <v>127</v>
      </c>
      <c r="AP46" s="67" t="s">
        <v>202</v>
      </c>
      <c r="AQ46" s="528" t="s">
        <v>87</v>
      </c>
      <c r="AR46" s="532">
        <v>0</v>
      </c>
      <c r="AS46" s="67">
        <v>1</v>
      </c>
      <c r="AT46" s="67">
        <v>1</v>
      </c>
      <c r="AU46" s="532">
        <v>0</v>
      </c>
      <c r="AV46" s="532">
        <v>1</v>
      </c>
      <c r="AW46" s="532">
        <v>1</v>
      </c>
      <c r="AX46" s="67">
        <v>1</v>
      </c>
      <c r="AY46" s="527">
        <v>276884030</v>
      </c>
      <c r="AZ46" s="527">
        <v>100000000</v>
      </c>
      <c r="BA46" s="527">
        <v>148115970</v>
      </c>
      <c r="BB46" s="527">
        <v>10000000</v>
      </c>
      <c r="BC46" s="527">
        <f t="shared" si="8"/>
        <v>535000000</v>
      </c>
      <c r="BD46" s="528" t="s">
        <v>130</v>
      </c>
      <c r="BE46" s="528" t="s">
        <v>132</v>
      </c>
    </row>
    <row r="47" spans="1:57" ht="33.7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37"/>
      <c r="O47" s="534"/>
      <c r="P47" s="535"/>
      <c r="Q47" s="535"/>
      <c r="R47" s="535"/>
      <c r="S47" s="535"/>
      <c r="T47" s="113"/>
      <c r="U47" s="113"/>
      <c r="V47" s="113"/>
      <c r="W47" s="113"/>
      <c r="X47" s="113"/>
      <c r="Y47" s="113"/>
      <c r="Z47" s="113"/>
      <c r="AA47" s="113"/>
      <c r="AB47" s="113"/>
      <c r="AC47" s="533"/>
      <c r="AD47" s="533"/>
      <c r="AE47" s="533"/>
      <c r="AF47" s="533"/>
      <c r="AG47" s="533"/>
      <c r="AH47" s="533"/>
      <c r="AI47" s="531" t="s">
        <v>121</v>
      </c>
      <c r="AJ47" s="524">
        <f>+(0.383*100)/2.5</f>
        <v>15.319999999999999</v>
      </c>
      <c r="AK47" s="524">
        <f>+AJ47*C4</f>
        <v>1.532</v>
      </c>
      <c r="AL47" s="524">
        <f>+AJ47*D4</f>
        <v>6.8939999999999992</v>
      </c>
      <c r="AM47" s="524">
        <f>+AJ47*E4</f>
        <v>3.8299999999999996</v>
      </c>
      <c r="AN47" s="524">
        <f>+AJ47*F4</f>
        <v>3.0640000000000001</v>
      </c>
      <c r="AO47" s="531" t="s">
        <v>128</v>
      </c>
      <c r="AP47" s="67" t="s">
        <v>202</v>
      </c>
      <c r="AQ47" s="528" t="s">
        <v>87</v>
      </c>
      <c r="AR47" s="532">
        <v>2</v>
      </c>
      <c r="AS47" s="67">
        <v>10</v>
      </c>
      <c r="AT47" s="67">
        <v>1</v>
      </c>
      <c r="AU47" s="532">
        <v>1</v>
      </c>
      <c r="AV47" s="532">
        <v>3</v>
      </c>
      <c r="AW47" s="532">
        <v>3</v>
      </c>
      <c r="AX47" s="67">
        <v>8</v>
      </c>
      <c r="AY47" s="527">
        <v>300000000</v>
      </c>
      <c r="AZ47" s="527">
        <v>0</v>
      </c>
      <c r="BA47" s="527">
        <v>300000000</v>
      </c>
      <c r="BB47" s="527">
        <v>200000000</v>
      </c>
      <c r="BC47" s="527">
        <f t="shared" si="8"/>
        <v>800000000</v>
      </c>
      <c r="BD47" s="528" t="s">
        <v>130</v>
      </c>
      <c r="BE47" s="528" t="s">
        <v>132</v>
      </c>
    </row>
    <row r="48" spans="1:57" ht="22.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37"/>
      <c r="O48" s="534"/>
      <c r="P48" s="535"/>
      <c r="Q48" s="535"/>
      <c r="R48" s="535"/>
      <c r="S48" s="535"/>
      <c r="T48" s="113"/>
      <c r="U48" s="113"/>
      <c r="V48" s="113"/>
      <c r="W48" s="113"/>
      <c r="X48" s="113"/>
      <c r="Y48" s="113"/>
      <c r="Z48" s="113"/>
      <c r="AA48" s="113"/>
      <c r="AB48" s="113"/>
      <c r="AC48" s="533"/>
      <c r="AD48" s="533"/>
      <c r="AE48" s="533"/>
      <c r="AF48" s="533"/>
      <c r="AG48" s="533"/>
      <c r="AH48" s="533"/>
      <c r="AI48" s="531" t="s">
        <v>122</v>
      </c>
      <c r="AJ48" s="524">
        <f>+(0.193*100)/2.5</f>
        <v>7.7200000000000006</v>
      </c>
      <c r="AK48" s="524">
        <f>+AJ48*C4</f>
        <v>0.77200000000000013</v>
      </c>
      <c r="AL48" s="524">
        <f>+AJ48*D4</f>
        <v>3.4740000000000002</v>
      </c>
      <c r="AM48" s="524">
        <f>+AJ48*E4</f>
        <v>1.9300000000000002</v>
      </c>
      <c r="AN48" s="524">
        <f>+AJ48*F4</f>
        <v>1.5440000000000003</v>
      </c>
      <c r="AO48" s="531" t="s">
        <v>129</v>
      </c>
      <c r="AP48" s="67" t="s">
        <v>202</v>
      </c>
      <c r="AQ48" s="67" t="s">
        <v>88</v>
      </c>
      <c r="AR48" s="23">
        <v>0.1</v>
      </c>
      <c r="AS48" s="23">
        <v>1</v>
      </c>
      <c r="AT48" s="23">
        <v>0.2</v>
      </c>
      <c r="AU48" s="532">
        <v>1</v>
      </c>
      <c r="AV48" s="532">
        <v>1</v>
      </c>
      <c r="AW48" s="532">
        <v>1</v>
      </c>
      <c r="AX48" s="23">
        <v>0.5</v>
      </c>
      <c r="AY48" s="527">
        <v>100000000</v>
      </c>
      <c r="AZ48" s="527">
        <v>70000000</v>
      </c>
      <c r="BA48" s="527">
        <v>70000000</v>
      </c>
      <c r="BB48" s="527">
        <v>60000000</v>
      </c>
      <c r="BC48" s="527">
        <f t="shared" si="8"/>
        <v>300000000</v>
      </c>
      <c r="BD48" s="528" t="s">
        <v>130</v>
      </c>
      <c r="BE48" s="528" t="s">
        <v>132</v>
      </c>
    </row>
    <row r="49" spans="1:57" ht="45">
      <c r="A49" s="20"/>
      <c r="B49" s="20"/>
      <c r="C49" s="20"/>
      <c r="D49" s="20"/>
      <c r="E49" s="20"/>
      <c r="F49" s="20"/>
      <c r="G49" s="20"/>
      <c r="H49" s="21"/>
      <c r="I49" s="21"/>
      <c r="J49" s="21"/>
      <c r="K49" s="21"/>
      <c r="L49" s="21"/>
      <c r="M49" s="21"/>
      <c r="N49" s="37"/>
      <c r="O49" s="534"/>
      <c r="P49" s="535"/>
      <c r="Q49" s="535"/>
      <c r="R49" s="535"/>
      <c r="S49" s="535"/>
      <c r="T49" s="113"/>
      <c r="U49" s="113"/>
      <c r="V49" s="113"/>
      <c r="W49" s="113"/>
      <c r="X49" s="113"/>
      <c r="Y49" s="113"/>
      <c r="Z49" s="113"/>
      <c r="AA49" s="113"/>
      <c r="AB49" s="113"/>
      <c r="AC49" s="536"/>
      <c r="AD49" s="536"/>
      <c r="AE49" s="533"/>
      <c r="AF49" s="533"/>
      <c r="AG49" s="533"/>
      <c r="AH49" s="533"/>
      <c r="AI49" s="537" t="s">
        <v>123</v>
      </c>
      <c r="AJ49" s="524">
        <f>+(0.182*100)/2.5</f>
        <v>7.2799999999999994</v>
      </c>
      <c r="AK49" s="524">
        <f>+AJ49*C4</f>
        <v>0.72799999999999998</v>
      </c>
      <c r="AL49" s="524">
        <f>+AJ49*D4</f>
        <v>3.2759999999999998</v>
      </c>
      <c r="AM49" s="524">
        <f>+AJ49*E4</f>
        <v>1.8199999999999998</v>
      </c>
      <c r="AN49" s="524">
        <f>+AJ49*F4</f>
        <v>1.456</v>
      </c>
      <c r="AO49" s="531" t="s">
        <v>82</v>
      </c>
      <c r="AP49" s="67" t="s">
        <v>202</v>
      </c>
      <c r="AQ49" s="528" t="s">
        <v>87</v>
      </c>
      <c r="AR49" s="532">
        <v>0</v>
      </c>
      <c r="AS49" s="67">
        <v>1</v>
      </c>
      <c r="AT49" s="67">
        <v>1</v>
      </c>
      <c r="AU49" s="532">
        <v>1</v>
      </c>
      <c r="AV49" s="532">
        <v>1</v>
      </c>
      <c r="AW49" s="532">
        <v>1</v>
      </c>
      <c r="AX49" s="67">
        <v>1</v>
      </c>
      <c r="AY49" s="35">
        <v>100000000</v>
      </c>
      <c r="AZ49" s="35">
        <v>100000000</v>
      </c>
      <c r="BA49" s="35">
        <v>0</v>
      </c>
      <c r="BB49" s="35">
        <v>0</v>
      </c>
      <c r="BC49" s="527">
        <f t="shared" si="8"/>
        <v>200000000</v>
      </c>
      <c r="BD49" s="67" t="s">
        <v>131</v>
      </c>
      <c r="BE49" s="67" t="s">
        <v>132</v>
      </c>
    </row>
    <row r="50" spans="1:57">
      <c r="A50" s="20"/>
      <c r="B50" s="20"/>
      <c r="C50" s="20"/>
      <c r="D50" s="20"/>
      <c r="E50" s="20"/>
      <c r="F50" s="20"/>
      <c r="G50" s="20"/>
      <c r="H50" s="84"/>
      <c r="I50" s="85"/>
      <c r="J50" s="82"/>
      <c r="K50" s="82"/>
      <c r="L50" s="82"/>
      <c r="M50" s="82"/>
      <c r="N50" s="87" t="s">
        <v>86</v>
      </c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349" t="s">
        <v>1453</v>
      </c>
      <c r="AD50" s="419">
        <f>+AD43</f>
        <v>66.666666666666671</v>
      </c>
      <c r="AE50" s="165"/>
      <c r="AF50" s="165"/>
      <c r="AG50" s="165"/>
      <c r="AH50" s="165"/>
      <c r="AI50" s="166"/>
      <c r="AJ50" s="433">
        <f>SUM(AJ43:AJ49)</f>
        <v>99.88</v>
      </c>
      <c r="AK50" s="433"/>
      <c r="AL50" s="433"/>
      <c r="AM50" s="433"/>
      <c r="AN50" s="433"/>
      <c r="AO50" s="72"/>
      <c r="AP50" s="55"/>
      <c r="AQ50" s="76"/>
      <c r="AR50" s="77"/>
      <c r="AS50" s="78"/>
      <c r="AT50" s="78"/>
      <c r="AU50" s="78"/>
      <c r="AV50" s="78"/>
      <c r="AW50" s="78"/>
      <c r="AX50" s="78"/>
      <c r="AY50" s="104">
        <f>SUM(AY43:AY49)</f>
        <v>826884030</v>
      </c>
      <c r="AZ50" s="104">
        <f t="shared" ref="AZ50:BC50" si="9">SUM(AZ43:AZ49)</f>
        <v>1220000000</v>
      </c>
      <c r="BA50" s="104">
        <f t="shared" si="9"/>
        <v>918115970</v>
      </c>
      <c r="BB50" s="104">
        <f t="shared" si="9"/>
        <v>562886098</v>
      </c>
      <c r="BC50" s="104">
        <f t="shared" si="9"/>
        <v>3527886098</v>
      </c>
      <c r="BD50" s="55"/>
      <c r="BE50" s="79"/>
    </row>
    <row r="51" spans="1:57">
      <c r="A51" s="20"/>
      <c r="B51" s="20"/>
      <c r="C51" s="20"/>
      <c r="D51" s="20"/>
      <c r="E51" s="20"/>
      <c r="F51" s="20"/>
      <c r="G51" s="20"/>
      <c r="H51" s="348" t="s">
        <v>1452</v>
      </c>
      <c r="I51" s="370">
        <f>+I34</f>
        <v>7.8947368421052628</v>
      </c>
      <c r="J51" s="93"/>
      <c r="K51" s="93"/>
      <c r="L51" s="93"/>
      <c r="M51" s="93"/>
      <c r="N51" s="91" t="s">
        <v>85</v>
      </c>
      <c r="O51" s="414">
        <f>SUM(O34:O50)</f>
        <v>100</v>
      </c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  <c r="AC51" s="94"/>
      <c r="AD51" s="96"/>
      <c r="AE51" s="96"/>
      <c r="AF51" s="96"/>
      <c r="AG51" s="96"/>
      <c r="AH51" s="96"/>
      <c r="AI51" s="97"/>
      <c r="AJ51" s="105"/>
      <c r="AK51" s="105"/>
      <c r="AL51" s="105"/>
      <c r="AM51" s="105"/>
      <c r="AN51" s="105"/>
      <c r="AO51" s="97"/>
      <c r="AP51" s="98"/>
      <c r="AQ51" s="99"/>
      <c r="AR51" s="100"/>
      <c r="AS51" s="98"/>
      <c r="AT51" s="98"/>
      <c r="AU51" s="98"/>
      <c r="AV51" s="98"/>
      <c r="AW51" s="98"/>
      <c r="AX51" s="98"/>
      <c r="AY51" s="106">
        <f>+AY50+AY42</f>
        <v>1302943020.7</v>
      </c>
      <c r="AZ51" s="106">
        <f t="shared" ref="AZ51:BC51" si="10">+AZ50+AZ42</f>
        <v>1643046400</v>
      </c>
      <c r="BA51" s="106">
        <f t="shared" si="10"/>
        <v>1127319687</v>
      </c>
      <c r="BB51" s="106">
        <f t="shared" si="10"/>
        <v>764576990.29999995</v>
      </c>
      <c r="BC51" s="106">
        <f t="shared" si="10"/>
        <v>4837886098</v>
      </c>
      <c r="BD51" s="98"/>
      <c r="BE51" s="101"/>
    </row>
    <row r="52" spans="1:57" ht="45">
      <c r="A52" s="20"/>
      <c r="B52" s="20"/>
      <c r="C52" s="20"/>
      <c r="D52" s="20"/>
      <c r="E52" s="20"/>
      <c r="F52" s="20"/>
      <c r="G52" s="20"/>
      <c r="H52" s="112" t="s">
        <v>167</v>
      </c>
      <c r="I52" s="406">
        <f>+(1.5*100)/19</f>
        <v>7.8947368421052628</v>
      </c>
      <c r="J52" s="406">
        <f>+I52*C4</f>
        <v>0.78947368421052633</v>
      </c>
      <c r="K52" s="406">
        <f>+I52*D4</f>
        <v>3.5526315789473681</v>
      </c>
      <c r="L52" s="406">
        <f>+I52*E4</f>
        <v>1.9736842105263157</v>
      </c>
      <c r="M52" s="406">
        <f>+I52*F4</f>
        <v>1.5789473684210527</v>
      </c>
      <c r="N52" s="538" t="s">
        <v>133</v>
      </c>
      <c r="O52" s="406">
        <f>+(0.4*100)/1.5</f>
        <v>26.666666666666668</v>
      </c>
      <c r="P52" s="408">
        <f>+O52*C4</f>
        <v>2.666666666666667</v>
      </c>
      <c r="Q52" s="408">
        <f>+O52*D4</f>
        <v>12</v>
      </c>
      <c r="R52" s="408">
        <f>+O52*E4</f>
        <v>6.666666666666667</v>
      </c>
      <c r="S52" s="408">
        <f>+O52*F4</f>
        <v>5.3333333333333339</v>
      </c>
      <c r="T52" s="538" t="s">
        <v>135</v>
      </c>
      <c r="U52" s="538" t="s">
        <v>202</v>
      </c>
      <c r="V52" s="538" t="s">
        <v>87</v>
      </c>
      <c r="W52" s="538">
        <v>0</v>
      </c>
      <c r="X52" s="538">
        <v>1</v>
      </c>
      <c r="Y52" s="538">
        <v>1</v>
      </c>
      <c r="Z52" s="538">
        <v>1</v>
      </c>
      <c r="AA52" s="538">
        <v>1</v>
      </c>
      <c r="AB52" s="538">
        <v>1</v>
      </c>
      <c r="AC52" s="530" t="s">
        <v>134</v>
      </c>
      <c r="AD52" s="406">
        <f>+(2*100)/5</f>
        <v>40</v>
      </c>
      <c r="AE52" s="407">
        <f>+AD52*C4</f>
        <v>4</v>
      </c>
      <c r="AF52" s="407">
        <f>+AD52*D4</f>
        <v>18</v>
      </c>
      <c r="AG52" s="407">
        <f>+AD52*E4</f>
        <v>10</v>
      </c>
      <c r="AH52" s="407">
        <f>+AD52*F4</f>
        <v>8</v>
      </c>
      <c r="AI52" s="539" t="s">
        <v>137</v>
      </c>
      <c r="AJ52" s="524">
        <f>+(1.067*100)/2</f>
        <v>53.349999999999994</v>
      </c>
      <c r="AK52" s="524">
        <f>+AJ52*C4</f>
        <v>5.335</v>
      </c>
      <c r="AL52" s="524">
        <f>+AJ52*D4</f>
        <v>24.007499999999997</v>
      </c>
      <c r="AM52" s="524">
        <f>+AJ52*E4</f>
        <v>13.337499999999999</v>
      </c>
      <c r="AN52" s="524">
        <f>+AJ52*F4</f>
        <v>10.67</v>
      </c>
      <c r="AO52" s="540" t="s">
        <v>139</v>
      </c>
      <c r="AP52" s="66" t="s">
        <v>202</v>
      </c>
      <c r="AQ52" s="33" t="s">
        <v>87</v>
      </c>
      <c r="AR52" s="541">
        <v>0</v>
      </c>
      <c r="AS52" s="67">
        <v>1</v>
      </c>
      <c r="AT52" s="67">
        <v>1</v>
      </c>
      <c r="AU52" s="67">
        <v>1</v>
      </c>
      <c r="AV52" s="67">
        <v>1</v>
      </c>
      <c r="AW52" s="67">
        <v>1</v>
      </c>
      <c r="AX52" s="67">
        <v>1</v>
      </c>
      <c r="AY52" s="542">
        <v>5450000000</v>
      </c>
      <c r="AZ52" s="542">
        <v>141100000</v>
      </c>
      <c r="BA52" s="542">
        <v>300000000</v>
      </c>
      <c r="BB52" s="542">
        <v>280000000</v>
      </c>
      <c r="BC52" s="542">
        <f>SUM(AY52:BB52)</f>
        <v>6171100000</v>
      </c>
      <c r="BD52" s="66" t="s">
        <v>130</v>
      </c>
      <c r="BE52" s="543" t="s">
        <v>132</v>
      </c>
    </row>
    <row r="53" spans="1:57" ht="56.25">
      <c r="A53" s="20"/>
      <c r="B53" s="20"/>
      <c r="C53" s="20"/>
      <c r="D53" s="20"/>
      <c r="E53" s="20"/>
      <c r="F53" s="20"/>
      <c r="G53" s="20"/>
      <c r="H53" s="113"/>
      <c r="I53" s="9"/>
      <c r="J53" s="113"/>
      <c r="K53" s="113"/>
      <c r="L53" s="113"/>
      <c r="M53" s="113"/>
      <c r="N53" s="544"/>
      <c r="O53" s="113"/>
      <c r="P53" s="545"/>
      <c r="Q53" s="545"/>
      <c r="R53" s="545"/>
      <c r="S53" s="545"/>
      <c r="T53" s="544"/>
      <c r="U53" s="544"/>
      <c r="V53" s="544"/>
      <c r="W53" s="544"/>
      <c r="X53" s="544"/>
      <c r="Y53" s="544"/>
      <c r="Z53" s="544"/>
      <c r="AA53" s="544"/>
      <c r="AB53" s="544"/>
      <c r="AC53" s="533"/>
      <c r="AD53" s="546"/>
      <c r="AE53" s="547"/>
      <c r="AF53" s="547"/>
      <c r="AG53" s="547"/>
      <c r="AH53" s="547"/>
      <c r="AI53" s="539" t="s">
        <v>138</v>
      </c>
      <c r="AJ53" s="524">
        <f>+(0.716*100)/2</f>
        <v>35.799999999999997</v>
      </c>
      <c r="AK53" s="524">
        <f>+AJ53*C4</f>
        <v>3.58</v>
      </c>
      <c r="AL53" s="524">
        <f>+AJ53*D4</f>
        <v>16.11</v>
      </c>
      <c r="AM53" s="524">
        <f>+AJ53*E4</f>
        <v>8.9499999999999993</v>
      </c>
      <c r="AN53" s="524">
        <f>+AJ53*F4</f>
        <v>7.16</v>
      </c>
      <c r="AO53" s="531" t="s">
        <v>140</v>
      </c>
      <c r="AP53" s="66" t="s">
        <v>202</v>
      </c>
      <c r="AQ53" s="28" t="s">
        <v>88</v>
      </c>
      <c r="AR53" s="548">
        <v>0</v>
      </c>
      <c r="AS53" s="68">
        <v>1</v>
      </c>
      <c r="AT53" s="68">
        <v>0</v>
      </c>
      <c r="AU53" s="23">
        <v>1</v>
      </c>
      <c r="AV53" s="23">
        <v>1</v>
      </c>
      <c r="AW53" s="23">
        <v>1</v>
      </c>
      <c r="AX53" s="68">
        <v>1</v>
      </c>
      <c r="AY53" s="549">
        <v>2250000000</v>
      </c>
      <c r="AZ53" s="549">
        <v>2100000000</v>
      </c>
      <c r="BA53" s="549">
        <v>0</v>
      </c>
      <c r="BB53" s="549">
        <v>0</v>
      </c>
      <c r="BC53" s="542">
        <f t="shared" ref="BC53:BC54" si="11">SUM(AY53:BB53)</f>
        <v>4350000000</v>
      </c>
      <c r="BD53" s="550" t="s">
        <v>130</v>
      </c>
      <c r="BE53" s="551" t="s">
        <v>132</v>
      </c>
    </row>
    <row r="54" spans="1:57" ht="33.75">
      <c r="A54" s="20"/>
      <c r="B54" s="20"/>
      <c r="C54" s="20"/>
      <c r="D54" s="20"/>
      <c r="E54" s="20"/>
      <c r="F54" s="20"/>
      <c r="G54" s="20"/>
      <c r="H54" s="113"/>
      <c r="I54" s="113"/>
      <c r="J54" s="113"/>
      <c r="K54" s="113"/>
      <c r="L54" s="113"/>
      <c r="M54" s="113"/>
      <c r="N54" s="552"/>
      <c r="O54" s="114"/>
      <c r="P54" s="553"/>
      <c r="Q54" s="553"/>
      <c r="R54" s="553"/>
      <c r="S54" s="553"/>
      <c r="T54" s="552"/>
      <c r="U54" s="552"/>
      <c r="V54" s="552"/>
      <c r="W54" s="552"/>
      <c r="X54" s="552"/>
      <c r="Y54" s="552"/>
      <c r="Z54" s="552"/>
      <c r="AA54" s="552"/>
      <c r="AB54" s="552"/>
      <c r="AC54" s="536"/>
      <c r="AD54" s="536"/>
      <c r="AE54" s="33"/>
      <c r="AF54" s="547"/>
      <c r="AG54" s="547"/>
      <c r="AH54" s="547"/>
      <c r="AI54" s="539" t="s">
        <v>136</v>
      </c>
      <c r="AJ54" s="524">
        <f>+(0.217*100)/2</f>
        <v>10.85</v>
      </c>
      <c r="AK54" s="524">
        <v>0</v>
      </c>
      <c r="AL54" s="524">
        <v>5.97</v>
      </c>
      <c r="AM54" s="524">
        <v>4.88</v>
      </c>
      <c r="AN54" s="524">
        <v>0</v>
      </c>
      <c r="AO54" s="554" t="s">
        <v>141</v>
      </c>
      <c r="AP54" s="66" t="s">
        <v>202</v>
      </c>
      <c r="AQ54" s="554" t="s">
        <v>87</v>
      </c>
      <c r="AR54" s="548">
        <v>0</v>
      </c>
      <c r="AS54" s="67">
        <v>2</v>
      </c>
      <c r="AT54" s="67">
        <v>0</v>
      </c>
      <c r="AU54" s="67">
        <v>1</v>
      </c>
      <c r="AV54" s="67">
        <v>1</v>
      </c>
      <c r="AW54" s="67">
        <v>0</v>
      </c>
      <c r="AX54" s="67">
        <v>2</v>
      </c>
      <c r="AY54" s="555">
        <v>700000000</v>
      </c>
      <c r="AZ54" s="555">
        <v>0</v>
      </c>
      <c r="BA54" s="555">
        <v>0</v>
      </c>
      <c r="BB54" s="555">
        <v>0</v>
      </c>
      <c r="BC54" s="542">
        <f t="shared" si="11"/>
        <v>700000000</v>
      </c>
      <c r="BD54" s="554" t="s">
        <v>130</v>
      </c>
      <c r="BE54" s="554" t="s">
        <v>132</v>
      </c>
    </row>
    <row r="55" spans="1:57">
      <c r="A55" s="20"/>
      <c r="B55" s="20"/>
      <c r="C55" s="20"/>
      <c r="D55" s="20"/>
      <c r="E55" s="20"/>
      <c r="F55" s="20"/>
      <c r="G55" s="20"/>
      <c r="H55" s="113"/>
      <c r="I55" s="113"/>
      <c r="J55" s="113"/>
      <c r="K55" s="113"/>
      <c r="L55" s="113"/>
      <c r="M55" s="113"/>
      <c r="N55" s="86"/>
      <c r="O55" s="86"/>
      <c r="P55" s="364"/>
      <c r="Q55" s="364"/>
      <c r="R55" s="364"/>
      <c r="S55" s="364"/>
      <c r="T55" s="86"/>
      <c r="U55" s="86"/>
      <c r="V55" s="86"/>
      <c r="W55" s="86"/>
      <c r="X55" s="86"/>
      <c r="Y55" s="86"/>
      <c r="Z55" s="86"/>
      <c r="AA55" s="86"/>
      <c r="AB55" s="86"/>
      <c r="AC55" s="349" t="s">
        <v>1453</v>
      </c>
      <c r="AD55" s="350">
        <f>+AD52</f>
        <v>40</v>
      </c>
      <c r="AE55" s="81"/>
      <c r="AF55" s="81"/>
      <c r="AG55" s="81"/>
      <c r="AH55" s="81"/>
      <c r="AI55" s="115"/>
      <c r="AJ55" s="434">
        <f>SUM(AJ52:AJ54)</f>
        <v>99.999999999999986</v>
      </c>
      <c r="AK55" s="434"/>
      <c r="AL55" s="434"/>
      <c r="AM55" s="434"/>
      <c r="AN55" s="434"/>
      <c r="AO55" s="109"/>
      <c r="AP55" s="55"/>
      <c r="AQ55" s="109"/>
      <c r="AR55" s="109"/>
      <c r="AS55" s="55"/>
      <c r="AT55" s="111"/>
      <c r="AU55" s="111"/>
      <c r="AV55" s="111"/>
      <c r="AW55" s="111"/>
      <c r="AX55" s="111"/>
      <c r="AY55" s="118">
        <f>SUM(AY51:AY54)</f>
        <v>9702943020.7000008</v>
      </c>
      <c r="AZ55" s="118">
        <f t="shared" ref="AZ55:BC55" si="12">SUM(AZ51:AZ54)</f>
        <v>3884146400</v>
      </c>
      <c r="BA55" s="118">
        <f t="shared" si="12"/>
        <v>1427319687</v>
      </c>
      <c r="BB55" s="118">
        <f t="shared" si="12"/>
        <v>1044576990.3</v>
      </c>
      <c r="BC55" s="118">
        <f t="shared" si="12"/>
        <v>16058986098</v>
      </c>
      <c r="BD55" s="55"/>
      <c r="BE55" s="55"/>
    </row>
    <row r="56" spans="1:57" ht="123.75">
      <c r="A56" s="20"/>
      <c r="B56" s="20"/>
      <c r="C56" s="20"/>
      <c r="D56" s="20"/>
      <c r="E56" s="20"/>
      <c r="F56" s="20"/>
      <c r="G56" s="20"/>
      <c r="H56" s="113"/>
      <c r="I56" s="113"/>
      <c r="J56" s="113"/>
      <c r="K56" s="113"/>
      <c r="L56" s="113"/>
      <c r="M56" s="113"/>
      <c r="N56" s="117" t="s">
        <v>142</v>
      </c>
      <c r="O56" s="410">
        <f>+(0.4*100)/1.5</f>
        <v>26.666666666666668</v>
      </c>
      <c r="P56" s="319">
        <f>+O56*C4</f>
        <v>2.666666666666667</v>
      </c>
      <c r="Q56" s="319">
        <f>+P56*D4</f>
        <v>1.2000000000000002</v>
      </c>
      <c r="R56" s="319">
        <f>+Q56*E4</f>
        <v>0.30000000000000004</v>
      </c>
      <c r="S56" s="319">
        <f>+R56*F4</f>
        <v>6.0000000000000012E-2</v>
      </c>
      <c r="T56" s="117" t="s">
        <v>143</v>
      </c>
      <c r="U56" s="117" t="s">
        <v>202</v>
      </c>
      <c r="V56" s="117" t="s">
        <v>88</v>
      </c>
      <c r="W56" s="172">
        <v>0.48</v>
      </c>
      <c r="X56" s="172">
        <v>0.8</v>
      </c>
      <c r="Y56" s="172">
        <v>0.48</v>
      </c>
      <c r="Z56" s="172">
        <v>0.65</v>
      </c>
      <c r="AA56" s="172">
        <v>0.73</v>
      </c>
      <c r="AB56" s="172">
        <v>0.8</v>
      </c>
      <c r="AC56" s="172" t="s">
        <v>144</v>
      </c>
      <c r="AD56" s="406">
        <f>+(3*100)/5</f>
        <v>60</v>
      </c>
      <c r="AE56" s="407">
        <f>+AD56*C4</f>
        <v>6</v>
      </c>
      <c r="AF56" s="407">
        <f>+AD56*D4</f>
        <v>27</v>
      </c>
      <c r="AG56" s="407">
        <f>+AD56*E4</f>
        <v>15</v>
      </c>
      <c r="AH56" s="407">
        <f>+AD56*F4</f>
        <v>12</v>
      </c>
      <c r="AI56" s="34" t="s">
        <v>145</v>
      </c>
      <c r="AJ56" s="524">
        <f>+(0.212*100)/3</f>
        <v>7.0666666666666664</v>
      </c>
      <c r="AK56" s="524">
        <f>+AJ56*C4</f>
        <v>0.70666666666666667</v>
      </c>
      <c r="AL56" s="524">
        <f>+AJ56*D4</f>
        <v>3.18</v>
      </c>
      <c r="AM56" s="524">
        <v>3.18</v>
      </c>
      <c r="AN56" s="524">
        <v>0</v>
      </c>
      <c r="AO56" s="34" t="s">
        <v>153</v>
      </c>
      <c r="AP56" s="34" t="s">
        <v>202</v>
      </c>
      <c r="AQ56" s="34" t="s">
        <v>87</v>
      </c>
      <c r="AR56" s="34" t="s">
        <v>161</v>
      </c>
      <c r="AS56" s="67" t="s">
        <v>162</v>
      </c>
      <c r="AT56" s="67" t="s">
        <v>1508</v>
      </c>
      <c r="AU56" s="67" t="s">
        <v>1509</v>
      </c>
      <c r="AV56" s="67" t="s">
        <v>1512</v>
      </c>
      <c r="AW56" s="67">
        <v>0</v>
      </c>
      <c r="AX56" s="67" t="s">
        <v>162</v>
      </c>
      <c r="AY56" s="35">
        <v>920000000</v>
      </c>
      <c r="AZ56" s="35">
        <v>200000000</v>
      </c>
      <c r="BA56" s="35">
        <v>0</v>
      </c>
      <c r="BB56" s="35">
        <v>0</v>
      </c>
      <c r="BC56" s="35">
        <f>SUM(AY56:BB56)</f>
        <v>1120000000</v>
      </c>
      <c r="BD56" s="67" t="s">
        <v>130</v>
      </c>
      <c r="BE56" s="67" t="s">
        <v>132</v>
      </c>
    </row>
    <row r="57" spans="1:57" ht="56.25" customHeight="1">
      <c r="A57" s="20"/>
      <c r="B57" s="20"/>
      <c r="C57" s="20"/>
      <c r="D57" s="20"/>
      <c r="E57" s="20"/>
      <c r="F57" s="20"/>
      <c r="G57" s="20"/>
      <c r="H57" s="113"/>
      <c r="I57" s="113"/>
      <c r="J57" s="113"/>
      <c r="K57" s="113"/>
      <c r="L57" s="113"/>
      <c r="M57" s="113"/>
      <c r="N57" s="117" t="s">
        <v>163</v>
      </c>
      <c r="O57" s="410">
        <f>+(0.4*100)/1.5</f>
        <v>26.666666666666668</v>
      </c>
      <c r="P57" s="319">
        <f>+O57*C4</f>
        <v>2.666666666666667</v>
      </c>
      <c r="Q57" s="319">
        <f>+O57*D4</f>
        <v>12</v>
      </c>
      <c r="R57" s="319">
        <f>+O57*E4</f>
        <v>6.666666666666667</v>
      </c>
      <c r="S57" s="319">
        <f>+O57*F4</f>
        <v>5.3333333333333339</v>
      </c>
      <c r="T57" s="117" t="s">
        <v>164</v>
      </c>
      <c r="U57" s="117" t="s">
        <v>203</v>
      </c>
      <c r="V57" s="117" t="s">
        <v>88</v>
      </c>
      <c r="W57" s="119">
        <v>0.56699999999999995</v>
      </c>
      <c r="X57" s="119">
        <v>0.56699999999999995</v>
      </c>
      <c r="Y57" s="119">
        <v>0.56699999999999995</v>
      </c>
      <c r="Z57" s="119">
        <v>0.56699999999999995</v>
      </c>
      <c r="AA57" s="119">
        <v>0.56699999999999995</v>
      </c>
      <c r="AB57" s="119">
        <v>0.56699999999999995</v>
      </c>
      <c r="AC57" s="20"/>
      <c r="AD57" s="20"/>
      <c r="AE57" s="65"/>
      <c r="AF57" s="65"/>
      <c r="AG57" s="65"/>
      <c r="AH57" s="65"/>
      <c r="AI57" s="34" t="s">
        <v>146</v>
      </c>
      <c r="AJ57" s="524">
        <f>+(0.455*100)/3</f>
        <v>15.166666666666666</v>
      </c>
      <c r="AK57" s="524">
        <f>+AJ57*C4</f>
        <v>1.5166666666666666</v>
      </c>
      <c r="AL57" s="524">
        <f>+AJ57*D4</f>
        <v>6.8250000000000002</v>
      </c>
      <c r="AM57" s="524">
        <f>+AJ57*E4</f>
        <v>3.7916666666666665</v>
      </c>
      <c r="AN57" s="524">
        <f>+AJ57*F4</f>
        <v>3.0333333333333332</v>
      </c>
      <c r="AO57" s="34" t="s">
        <v>154</v>
      </c>
      <c r="AP57" s="34" t="s">
        <v>202</v>
      </c>
      <c r="AQ57" s="34" t="s">
        <v>87</v>
      </c>
      <c r="AR57" s="34">
        <v>0</v>
      </c>
      <c r="AS57" s="67">
        <v>5</v>
      </c>
      <c r="AT57" s="67">
        <v>1</v>
      </c>
      <c r="AU57" s="67">
        <v>2</v>
      </c>
      <c r="AV57" s="67">
        <v>1</v>
      </c>
      <c r="AW57" s="67">
        <v>1</v>
      </c>
      <c r="AX57" s="67">
        <v>5</v>
      </c>
      <c r="AY57" s="35">
        <v>250000000</v>
      </c>
      <c r="AZ57" s="35">
        <v>250000000</v>
      </c>
      <c r="BA57" s="35">
        <v>250000000</v>
      </c>
      <c r="BB57" s="35">
        <v>250000000</v>
      </c>
      <c r="BC57" s="35">
        <f t="shared" ref="BC57:BC63" si="13">SUM(AY57:BB57)</f>
        <v>1000000000</v>
      </c>
      <c r="BD57" s="67" t="s">
        <v>130</v>
      </c>
      <c r="BE57" s="67" t="s">
        <v>132</v>
      </c>
    </row>
    <row r="58" spans="1:57" ht="56.25">
      <c r="A58" s="20"/>
      <c r="B58" s="20"/>
      <c r="C58" s="20"/>
      <c r="D58" s="20"/>
      <c r="E58" s="20"/>
      <c r="F58" s="20"/>
      <c r="G58" s="20"/>
      <c r="H58" s="113"/>
      <c r="I58" s="113"/>
      <c r="J58" s="113"/>
      <c r="K58" s="113"/>
      <c r="L58" s="113"/>
      <c r="M58" s="113"/>
      <c r="N58" s="112" t="s">
        <v>165</v>
      </c>
      <c r="O58" s="407">
        <f>+(0.3*100)/1.5</f>
        <v>20</v>
      </c>
      <c r="P58" s="406">
        <f>+O58*C4</f>
        <v>2</v>
      </c>
      <c r="Q58" s="406">
        <f>+O58*D4</f>
        <v>9</v>
      </c>
      <c r="R58" s="406">
        <f>+O58*E4</f>
        <v>5</v>
      </c>
      <c r="S58" s="406">
        <f>+O58*F4</f>
        <v>4</v>
      </c>
      <c r="T58" s="112" t="s">
        <v>166</v>
      </c>
      <c r="U58" s="112" t="s">
        <v>202</v>
      </c>
      <c r="V58" s="112" t="s">
        <v>88</v>
      </c>
      <c r="W58" s="173">
        <v>0.61199999999999999</v>
      </c>
      <c r="X58" s="173">
        <v>0.8</v>
      </c>
      <c r="Y58" s="173">
        <v>0.65</v>
      </c>
      <c r="Z58" s="173">
        <v>0.72</v>
      </c>
      <c r="AA58" s="173">
        <v>0.76</v>
      </c>
      <c r="AB58" s="173">
        <v>0.8</v>
      </c>
      <c r="AC58" s="20"/>
      <c r="AD58" s="20"/>
      <c r="AE58" s="65"/>
      <c r="AF58" s="65"/>
      <c r="AG58" s="65"/>
      <c r="AH58" s="65"/>
      <c r="AI58" s="34" t="s">
        <v>147</v>
      </c>
      <c r="AJ58" s="524">
        <f>+(1.174*100)/3</f>
        <v>39.133333333333333</v>
      </c>
      <c r="AK58" s="524">
        <f>+AJ58*C4</f>
        <v>3.9133333333333336</v>
      </c>
      <c r="AL58" s="524">
        <f>+AJ58*D4</f>
        <v>17.61</v>
      </c>
      <c r="AM58" s="524">
        <f>+AJ58*E4</f>
        <v>9.7833333333333332</v>
      </c>
      <c r="AN58" s="524">
        <f>+AJ58*F4</f>
        <v>7.8266666666666671</v>
      </c>
      <c r="AO58" s="34" t="s">
        <v>155</v>
      </c>
      <c r="AP58" s="34" t="s">
        <v>202</v>
      </c>
      <c r="AQ58" s="34" t="s">
        <v>88</v>
      </c>
      <c r="AR58" s="34">
        <v>0</v>
      </c>
      <c r="AS58" s="68">
        <v>1</v>
      </c>
      <c r="AT58" s="23">
        <v>1</v>
      </c>
      <c r="AU58" s="23">
        <v>1</v>
      </c>
      <c r="AV58" s="23">
        <v>1</v>
      </c>
      <c r="AW58" s="23">
        <v>1</v>
      </c>
      <c r="AX58" s="68">
        <v>1</v>
      </c>
      <c r="AY58" s="35">
        <v>3600000000</v>
      </c>
      <c r="AZ58" s="35">
        <v>1000000000</v>
      </c>
      <c r="BA58" s="35">
        <v>1000000000</v>
      </c>
      <c r="BB58" s="35">
        <v>0</v>
      </c>
      <c r="BC58" s="35">
        <f t="shared" si="13"/>
        <v>5600000000</v>
      </c>
      <c r="BD58" s="67" t="s">
        <v>130</v>
      </c>
      <c r="BE58" s="67" t="s">
        <v>132</v>
      </c>
    </row>
    <row r="59" spans="1:57" ht="40.5" customHeight="1">
      <c r="A59" s="20"/>
      <c r="B59" s="20"/>
      <c r="C59" s="20"/>
      <c r="D59" s="20"/>
      <c r="E59" s="20"/>
      <c r="F59" s="20"/>
      <c r="G59" s="20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3"/>
      <c r="AB59" s="113"/>
      <c r="AC59" s="20"/>
      <c r="AD59" s="20"/>
      <c r="AE59" s="65"/>
      <c r="AF59" s="65"/>
      <c r="AG59" s="65"/>
      <c r="AH59" s="65"/>
      <c r="AI59" s="34" t="s">
        <v>148</v>
      </c>
      <c r="AJ59" s="524">
        <f>+(0.153*100)/3</f>
        <v>5.0999999999999996</v>
      </c>
      <c r="AK59" s="524">
        <f>+AJ59*C4</f>
        <v>0.51</v>
      </c>
      <c r="AL59" s="524">
        <v>0</v>
      </c>
      <c r="AM59" s="524">
        <v>3.57</v>
      </c>
      <c r="AN59" s="524">
        <f>+AJ59*F4</f>
        <v>1.02</v>
      </c>
      <c r="AO59" s="34" t="s">
        <v>156</v>
      </c>
      <c r="AP59" s="34" t="s">
        <v>202</v>
      </c>
      <c r="AQ59" s="34" t="s">
        <v>88</v>
      </c>
      <c r="AR59" s="34">
        <v>0</v>
      </c>
      <c r="AS59" s="68">
        <v>1</v>
      </c>
      <c r="AT59" s="23">
        <v>1</v>
      </c>
      <c r="AU59" s="23">
        <v>0</v>
      </c>
      <c r="AV59" s="23">
        <v>1</v>
      </c>
      <c r="AW59" s="23">
        <v>1</v>
      </c>
      <c r="AX59" s="68">
        <v>1</v>
      </c>
      <c r="AY59" s="35">
        <v>50000000</v>
      </c>
      <c r="AZ59" s="35">
        <v>100000000</v>
      </c>
      <c r="BA59" s="35">
        <v>80000000</v>
      </c>
      <c r="BB59" s="35">
        <v>70000000</v>
      </c>
      <c r="BC59" s="35">
        <f t="shared" si="13"/>
        <v>300000000</v>
      </c>
      <c r="BD59" s="67" t="s">
        <v>130</v>
      </c>
      <c r="BE59" s="67" t="s">
        <v>132</v>
      </c>
    </row>
    <row r="60" spans="1:57" ht="78" customHeight="1">
      <c r="A60" s="20"/>
      <c r="B60" s="20"/>
      <c r="C60" s="20"/>
      <c r="D60" s="20"/>
      <c r="E60" s="20"/>
      <c r="F60" s="20"/>
      <c r="G60" s="20"/>
      <c r="H60" s="113"/>
      <c r="I60" s="113"/>
      <c r="J60" s="113"/>
      <c r="K60" s="113"/>
      <c r="L60" s="113"/>
      <c r="M60" s="113"/>
      <c r="N60" s="113"/>
      <c r="O60" s="113"/>
      <c r="P60" s="113"/>
      <c r="Q60" s="113"/>
      <c r="R60" s="113"/>
      <c r="S60" s="113"/>
      <c r="T60" s="113"/>
      <c r="U60" s="113"/>
      <c r="V60" s="113"/>
      <c r="W60" s="113"/>
      <c r="X60" s="113"/>
      <c r="Y60" s="113"/>
      <c r="Z60" s="113"/>
      <c r="AA60" s="113"/>
      <c r="AB60" s="113"/>
      <c r="AC60" s="20"/>
      <c r="AD60" s="20"/>
      <c r="AE60" s="65"/>
      <c r="AF60" s="65"/>
      <c r="AG60" s="65"/>
      <c r="AH60" s="65"/>
      <c r="AI60" s="34" t="s">
        <v>149</v>
      </c>
      <c r="AJ60" s="524">
        <f>+(0.388*100)/3</f>
        <v>12.933333333333335</v>
      </c>
      <c r="AK60" s="524">
        <v>0</v>
      </c>
      <c r="AL60" s="524">
        <v>7.11</v>
      </c>
      <c r="AM60" s="524">
        <f>+AJ60*E4</f>
        <v>3.2333333333333338</v>
      </c>
      <c r="AN60" s="524">
        <f>+AJ60*F4</f>
        <v>2.5866666666666673</v>
      </c>
      <c r="AO60" s="34" t="s">
        <v>157</v>
      </c>
      <c r="AP60" s="34" t="s">
        <v>202</v>
      </c>
      <c r="AQ60" s="34" t="s">
        <v>88</v>
      </c>
      <c r="AR60" s="17">
        <v>0.48</v>
      </c>
      <c r="AS60" s="18">
        <v>1</v>
      </c>
      <c r="AT60" s="18">
        <v>0.1</v>
      </c>
      <c r="AU60" s="18">
        <v>0.55000000000000004</v>
      </c>
      <c r="AV60" s="18">
        <v>0.8</v>
      </c>
      <c r="AW60" s="18">
        <v>0.8</v>
      </c>
      <c r="AX60" s="18">
        <v>1</v>
      </c>
      <c r="AY60" s="35">
        <v>300000000</v>
      </c>
      <c r="AZ60" s="35">
        <v>300000000</v>
      </c>
      <c r="BA60" s="35">
        <v>300000000</v>
      </c>
      <c r="BB60" s="35">
        <v>100000000</v>
      </c>
      <c r="BC60" s="35">
        <f t="shared" si="13"/>
        <v>1000000000</v>
      </c>
      <c r="BD60" s="67" t="s">
        <v>130</v>
      </c>
      <c r="BE60" s="67" t="s">
        <v>132</v>
      </c>
    </row>
    <row r="61" spans="1:57" ht="128.25" customHeight="1">
      <c r="A61" s="20"/>
      <c r="B61" s="20"/>
      <c r="C61" s="20"/>
      <c r="D61" s="20"/>
      <c r="E61" s="20"/>
      <c r="F61" s="20"/>
      <c r="G61" s="20"/>
      <c r="H61" s="113"/>
      <c r="I61" s="113"/>
      <c r="J61" s="113"/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  <c r="AA61" s="113"/>
      <c r="AB61" s="113"/>
      <c r="AC61" s="20"/>
      <c r="AD61" s="20"/>
      <c r="AE61" s="65"/>
      <c r="AF61" s="65"/>
      <c r="AG61" s="65"/>
      <c r="AH61" s="65"/>
      <c r="AI61" s="34" t="s">
        <v>150</v>
      </c>
      <c r="AJ61" s="524">
        <f>+(0.413*100)/3</f>
        <v>13.766666666666666</v>
      </c>
      <c r="AK61" s="524">
        <f>+AJ61*C4</f>
        <v>1.3766666666666667</v>
      </c>
      <c r="AL61" s="524">
        <f>+AJ61*D4</f>
        <v>6.1949999999999994</v>
      </c>
      <c r="AM61" s="524">
        <f>+AJ61*E4</f>
        <v>3.4416666666666664</v>
      </c>
      <c r="AN61" s="524">
        <f>+AJ61*F4</f>
        <v>2.7533333333333334</v>
      </c>
      <c r="AO61" s="34" t="s">
        <v>158</v>
      </c>
      <c r="AP61" s="34" t="s">
        <v>202</v>
      </c>
      <c r="AQ61" s="34" t="s">
        <v>87</v>
      </c>
      <c r="AR61" s="31">
        <v>7</v>
      </c>
      <c r="AS61" s="18">
        <v>7</v>
      </c>
      <c r="AT61" s="18">
        <v>7</v>
      </c>
      <c r="AU61" s="18">
        <v>7</v>
      </c>
      <c r="AV61" s="18">
        <v>7</v>
      </c>
      <c r="AW61" s="18">
        <v>7</v>
      </c>
      <c r="AX61" s="18">
        <v>7</v>
      </c>
      <c r="AY61" s="35">
        <v>200000000</v>
      </c>
      <c r="AZ61" s="35">
        <v>300000000</v>
      </c>
      <c r="BA61" s="35">
        <v>306290000</v>
      </c>
      <c r="BB61" s="35">
        <v>193710000</v>
      </c>
      <c r="BC61" s="35">
        <f t="shared" si="13"/>
        <v>1000000000</v>
      </c>
      <c r="BD61" s="67" t="s">
        <v>130</v>
      </c>
      <c r="BE61" s="67" t="s">
        <v>132</v>
      </c>
    </row>
    <row r="62" spans="1:57" ht="40.5" customHeight="1">
      <c r="A62" s="20"/>
      <c r="B62" s="20"/>
      <c r="C62" s="20"/>
      <c r="D62" s="20"/>
      <c r="E62" s="20"/>
      <c r="F62" s="20"/>
      <c r="G62" s="20"/>
      <c r="H62" s="113"/>
      <c r="I62" s="113"/>
      <c r="J62" s="113"/>
      <c r="K62" s="113"/>
      <c r="L62" s="113"/>
      <c r="M62" s="113"/>
      <c r="N62" s="113"/>
      <c r="O62" s="113"/>
      <c r="P62" s="113"/>
      <c r="Q62" s="113"/>
      <c r="R62" s="113"/>
      <c r="S62" s="113"/>
      <c r="T62" s="113"/>
      <c r="U62" s="113"/>
      <c r="V62" s="113"/>
      <c r="W62" s="113"/>
      <c r="X62" s="113"/>
      <c r="Y62" s="113"/>
      <c r="Z62" s="113"/>
      <c r="AA62" s="113"/>
      <c r="AB62" s="113"/>
      <c r="AC62" s="20"/>
      <c r="AD62" s="20"/>
      <c r="AE62" s="65"/>
      <c r="AF62" s="65"/>
      <c r="AG62" s="65"/>
      <c r="AH62" s="65"/>
      <c r="AI62" s="34" t="s">
        <v>151</v>
      </c>
      <c r="AJ62" s="524">
        <f>+(0.136*100)/3</f>
        <v>4.5333333333333341</v>
      </c>
      <c r="AK62" s="524">
        <f>+AJ62*C4</f>
        <v>0.45333333333333342</v>
      </c>
      <c r="AL62" s="524">
        <f>+AJ62*D4</f>
        <v>2.0400000000000005</v>
      </c>
      <c r="AM62" s="524">
        <f>+AJ62*E4</f>
        <v>1.1333333333333335</v>
      </c>
      <c r="AN62" s="524">
        <f>+AJ62*F4</f>
        <v>0.90666666666666684</v>
      </c>
      <c r="AO62" s="34" t="s">
        <v>159</v>
      </c>
      <c r="AP62" s="34" t="s">
        <v>202</v>
      </c>
      <c r="AQ62" s="34" t="s">
        <v>87</v>
      </c>
      <c r="AR62" s="67">
        <v>0</v>
      </c>
      <c r="AS62" s="67">
        <v>7</v>
      </c>
      <c r="AT62" s="67">
        <v>7</v>
      </c>
      <c r="AU62" s="18">
        <v>7</v>
      </c>
      <c r="AV62" s="18">
        <v>7</v>
      </c>
      <c r="AW62" s="18">
        <v>7</v>
      </c>
      <c r="AX62" s="67">
        <v>7</v>
      </c>
      <c r="AY62" s="35">
        <v>100000000</v>
      </c>
      <c r="AZ62" s="35">
        <v>50000000</v>
      </c>
      <c r="BA62" s="35">
        <v>100000000</v>
      </c>
      <c r="BB62" s="35">
        <v>100000000</v>
      </c>
      <c r="BC62" s="35">
        <f t="shared" si="13"/>
        <v>350000000</v>
      </c>
      <c r="BD62" s="67" t="s">
        <v>130</v>
      </c>
      <c r="BE62" s="67" t="s">
        <v>132</v>
      </c>
    </row>
    <row r="63" spans="1:57" ht="77.25" customHeight="1">
      <c r="A63" s="20"/>
      <c r="B63" s="20"/>
      <c r="C63" s="20"/>
      <c r="D63" s="20"/>
      <c r="E63" s="20"/>
      <c r="F63" s="20"/>
      <c r="G63" s="20"/>
      <c r="H63" s="114"/>
      <c r="I63" s="114"/>
      <c r="J63" s="114"/>
      <c r="K63" s="114"/>
      <c r="L63" s="114"/>
      <c r="M63" s="114"/>
      <c r="N63" s="114"/>
      <c r="O63" s="114"/>
      <c r="P63" s="114"/>
      <c r="Q63" s="114"/>
      <c r="R63" s="114"/>
      <c r="S63" s="114"/>
      <c r="T63" s="114"/>
      <c r="U63" s="114"/>
      <c r="V63" s="114"/>
      <c r="W63" s="114"/>
      <c r="X63" s="114"/>
      <c r="Y63" s="114"/>
      <c r="Z63" s="114"/>
      <c r="AA63" s="114"/>
      <c r="AB63" s="114"/>
      <c r="AC63" s="21"/>
      <c r="AD63" s="21"/>
      <c r="AE63" s="66"/>
      <c r="AF63" s="66"/>
      <c r="AG63" s="66"/>
      <c r="AH63" s="66"/>
      <c r="AI63" s="34" t="s">
        <v>152</v>
      </c>
      <c r="AJ63" s="524">
        <f>+(0.068*100)/3</f>
        <v>2.2666666666666671</v>
      </c>
      <c r="AK63" s="524">
        <f>+AJ63*C4</f>
        <v>0.22666666666666671</v>
      </c>
      <c r="AL63" s="524">
        <f>+AJ63*D4</f>
        <v>1.0200000000000002</v>
      </c>
      <c r="AM63" s="524">
        <f>+AJ63*E4</f>
        <v>0.56666666666666676</v>
      </c>
      <c r="AN63" s="524">
        <f>+AJ63*F4</f>
        <v>0.45333333333333342</v>
      </c>
      <c r="AO63" s="34" t="s">
        <v>160</v>
      </c>
      <c r="AP63" s="34" t="s">
        <v>202</v>
      </c>
      <c r="AQ63" s="34" t="s">
        <v>88</v>
      </c>
      <c r="AR63" s="67">
        <v>0</v>
      </c>
      <c r="AS63" s="68">
        <v>1</v>
      </c>
      <c r="AT63" s="23">
        <v>1</v>
      </c>
      <c r="AU63" s="23">
        <v>1</v>
      </c>
      <c r="AV63" s="23">
        <v>1</v>
      </c>
      <c r="AW63" s="23">
        <v>1</v>
      </c>
      <c r="AX63" s="68">
        <v>1</v>
      </c>
      <c r="AY63" s="35">
        <v>50000000</v>
      </c>
      <c r="AZ63" s="35">
        <v>25000000</v>
      </c>
      <c r="BA63" s="35">
        <v>50000000</v>
      </c>
      <c r="BB63" s="35">
        <v>40000000</v>
      </c>
      <c r="BC63" s="35">
        <f t="shared" si="13"/>
        <v>165000000</v>
      </c>
      <c r="BD63" s="67" t="s">
        <v>130</v>
      </c>
      <c r="BE63" s="67" t="s">
        <v>132</v>
      </c>
    </row>
    <row r="64" spans="1:57">
      <c r="A64" s="20"/>
      <c r="B64" s="20"/>
      <c r="C64" s="20"/>
      <c r="D64" s="20"/>
      <c r="E64" s="20"/>
      <c r="F64" s="20"/>
      <c r="G64" s="20"/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349" t="s">
        <v>1453</v>
      </c>
      <c r="AD64" s="80">
        <f>+AD56</f>
        <v>60</v>
      </c>
      <c r="AE64" s="80"/>
      <c r="AF64" s="80"/>
      <c r="AG64" s="80"/>
      <c r="AH64" s="80"/>
      <c r="AI64" s="80"/>
      <c r="AJ64" s="435">
        <f>SUM(AJ56:AJ63)</f>
        <v>99.966666666666669</v>
      </c>
      <c r="AK64" s="435"/>
      <c r="AL64" s="435"/>
      <c r="AM64" s="435"/>
      <c r="AN64" s="435"/>
      <c r="AO64" s="80"/>
      <c r="AP64" s="359"/>
      <c r="AQ64" s="80"/>
      <c r="AR64" s="80"/>
      <c r="AS64" s="80"/>
      <c r="AT64" s="80"/>
      <c r="AU64" s="80"/>
      <c r="AV64" s="80"/>
      <c r="AW64" s="80"/>
      <c r="AX64" s="80"/>
      <c r="AY64" s="120">
        <f>SUM(AY56:AY63)</f>
        <v>5470000000</v>
      </c>
      <c r="AZ64" s="120">
        <f t="shared" ref="AZ64:BC64" si="14">SUM(AZ56:AZ63)</f>
        <v>2225000000</v>
      </c>
      <c r="BA64" s="120">
        <f t="shared" si="14"/>
        <v>2086290000</v>
      </c>
      <c r="BB64" s="120">
        <f t="shared" si="14"/>
        <v>753710000</v>
      </c>
      <c r="BC64" s="120">
        <f t="shared" si="14"/>
        <v>10535000000</v>
      </c>
      <c r="BD64" s="80"/>
      <c r="BE64" s="80"/>
    </row>
    <row r="65" spans="1:57">
      <c r="A65" s="20"/>
      <c r="B65" s="20"/>
      <c r="C65" s="20"/>
      <c r="D65" s="20"/>
      <c r="E65" s="20"/>
      <c r="F65" s="20"/>
      <c r="G65" s="20"/>
      <c r="H65" s="91" t="s">
        <v>85</v>
      </c>
      <c r="I65" s="371">
        <f>SUM(I52)</f>
        <v>7.8947368421052628</v>
      </c>
      <c r="J65" s="121"/>
      <c r="K65" s="121"/>
      <c r="L65" s="121"/>
      <c r="M65" s="121"/>
      <c r="N65" s="121"/>
      <c r="O65" s="413">
        <f>SUM(O52:O64)</f>
        <v>100</v>
      </c>
      <c r="P65" s="121"/>
      <c r="Q65" s="121"/>
      <c r="R65" s="121"/>
      <c r="S65" s="121"/>
      <c r="T65" s="121"/>
      <c r="U65" s="121"/>
      <c r="V65" s="121"/>
      <c r="W65" s="121"/>
      <c r="X65" s="121"/>
      <c r="Y65" s="121"/>
      <c r="Z65" s="121"/>
      <c r="AA65" s="121"/>
      <c r="AB65" s="121"/>
      <c r="AC65" s="121"/>
      <c r="AD65" s="121"/>
      <c r="AE65" s="121"/>
      <c r="AF65" s="121"/>
      <c r="AG65" s="121"/>
      <c r="AH65" s="121"/>
      <c r="AI65" s="121"/>
      <c r="AJ65" s="122"/>
      <c r="AK65" s="122"/>
      <c r="AL65" s="122"/>
      <c r="AM65" s="122"/>
      <c r="AN65" s="122"/>
      <c r="AO65" s="121"/>
      <c r="AP65" s="98"/>
      <c r="AQ65" s="121"/>
      <c r="AR65" s="121"/>
      <c r="AS65" s="121"/>
      <c r="AT65" s="121"/>
      <c r="AU65" s="121"/>
      <c r="AV65" s="121"/>
      <c r="AW65" s="121"/>
      <c r="AX65" s="121"/>
      <c r="AY65" s="123">
        <f>+AY64+AY55</f>
        <v>15172943020.700001</v>
      </c>
      <c r="AZ65" s="123">
        <f t="shared" ref="AZ65:BC65" si="15">+AZ64+AZ55</f>
        <v>6109146400</v>
      </c>
      <c r="BA65" s="123">
        <f t="shared" si="15"/>
        <v>3513609687</v>
      </c>
      <c r="BB65" s="123">
        <f t="shared" si="15"/>
        <v>1798286990.3</v>
      </c>
      <c r="BC65" s="123">
        <f t="shared" si="15"/>
        <v>26593986098</v>
      </c>
      <c r="BD65" s="121"/>
      <c r="BE65" s="121"/>
    </row>
    <row r="66" spans="1:57" ht="56.25" customHeight="1">
      <c r="A66" s="20"/>
      <c r="B66" s="20"/>
      <c r="C66" s="20"/>
      <c r="D66" s="20"/>
      <c r="E66" s="20"/>
      <c r="F66" s="20"/>
      <c r="G66" s="20"/>
      <c r="H66" s="108" t="s">
        <v>168</v>
      </c>
      <c r="I66" s="406">
        <f>+(16*100)/19</f>
        <v>84.21052631578948</v>
      </c>
      <c r="J66" s="407">
        <f>+I66*C4</f>
        <v>8.4210526315789487</v>
      </c>
      <c r="K66" s="407">
        <f>+I66*D4</f>
        <v>37.894736842105267</v>
      </c>
      <c r="L66" s="407">
        <f>+I66*E4</f>
        <v>21.05263157894737</v>
      </c>
      <c r="M66" s="407">
        <f>+I66*F4</f>
        <v>16.842105263157897</v>
      </c>
      <c r="N66" s="160" t="s">
        <v>169</v>
      </c>
      <c r="O66" s="407">
        <f>+(4.13*100)/16</f>
        <v>25.8125</v>
      </c>
      <c r="P66" s="408">
        <f>+O66*C4</f>
        <v>2.5812500000000003</v>
      </c>
      <c r="Q66" s="408">
        <f>+O66*D4</f>
        <v>11.615625</v>
      </c>
      <c r="R66" s="408">
        <f>+O66*E4</f>
        <v>6.453125</v>
      </c>
      <c r="S66" s="408">
        <f>+O66*F4</f>
        <v>5.1625000000000005</v>
      </c>
      <c r="T66" s="160" t="s">
        <v>177</v>
      </c>
      <c r="U66" s="107" t="s">
        <v>202</v>
      </c>
      <c r="V66" s="108" t="s">
        <v>88</v>
      </c>
      <c r="W66" s="171">
        <v>0.61</v>
      </c>
      <c r="X66" s="171">
        <v>0.71</v>
      </c>
      <c r="Y66" s="171">
        <v>0.65</v>
      </c>
      <c r="Z66" s="171">
        <v>0.68</v>
      </c>
      <c r="AA66" s="171">
        <v>0.7</v>
      </c>
      <c r="AB66" s="171">
        <v>0.71</v>
      </c>
      <c r="AC66" s="108" t="s">
        <v>184</v>
      </c>
      <c r="AD66" s="406">
        <f>+(11*100)/16</f>
        <v>68.75</v>
      </c>
      <c r="AE66" s="407">
        <f>+AD66*C4</f>
        <v>6.875</v>
      </c>
      <c r="AF66" s="407">
        <f>+AD66*D4</f>
        <v>30.9375</v>
      </c>
      <c r="AG66" s="407">
        <f>+AD66*E4</f>
        <v>17.1875</v>
      </c>
      <c r="AH66" s="407">
        <f>+AD66*F4</f>
        <v>13.75</v>
      </c>
      <c r="AI66" s="116" t="s">
        <v>185</v>
      </c>
      <c r="AJ66" s="449">
        <f>+(3.727*100)/5</f>
        <v>74.539999999999992</v>
      </c>
      <c r="AK66" s="449">
        <f>+AJ66*C4</f>
        <v>7.4539999999999997</v>
      </c>
      <c r="AL66" s="449">
        <f>+AJ66*D4</f>
        <v>33.542999999999999</v>
      </c>
      <c r="AM66" s="449">
        <f>+AJ66*E4</f>
        <v>18.634999999999998</v>
      </c>
      <c r="AN66" s="449">
        <f>+AJ66*F4</f>
        <v>14.907999999999999</v>
      </c>
      <c r="AO66" s="148" t="s">
        <v>1510</v>
      </c>
      <c r="AP66" s="151" t="s">
        <v>202</v>
      </c>
      <c r="AQ66" s="148" t="s">
        <v>87</v>
      </c>
      <c r="AR66" s="151">
        <v>590</v>
      </c>
      <c r="AS66" s="151">
        <v>710</v>
      </c>
      <c r="AT66" s="151">
        <v>42</v>
      </c>
      <c r="AU66" s="151">
        <v>42</v>
      </c>
      <c r="AV66" s="151">
        <v>32</v>
      </c>
      <c r="AW66" s="151">
        <v>4</v>
      </c>
      <c r="AX66" s="151">
        <v>120</v>
      </c>
      <c r="AY66" s="153">
        <f>'[2]URBANO REGIONAL'!AX34</f>
        <v>54000000000</v>
      </c>
      <c r="AZ66" s="153">
        <f>'[2]URBANO REGIONAL'!CK34</f>
        <v>37000000000</v>
      </c>
      <c r="BA66" s="153">
        <f>'[2]URBANO REGIONAL'!DW34</f>
        <v>34000000000</v>
      </c>
      <c r="BB66" s="153">
        <f>'[2]URBANO REGIONAL'!FI34</f>
        <v>5000000000</v>
      </c>
      <c r="BC66" s="153">
        <f>SUM(AY66:BB66)</f>
        <v>130000000000</v>
      </c>
      <c r="BD66" s="148" t="s">
        <v>204</v>
      </c>
      <c r="BE66" s="148" t="s">
        <v>205</v>
      </c>
    </row>
    <row r="67" spans="1:57" ht="45">
      <c r="A67" s="20"/>
      <c r="B67" s="20"/>
      <c r="C67" s="20"/>
      <c r="D67" s="20"/>
      <c r="E67" s="20"/>
      <c r="F67" s="20"/>
      <c r="G67" s="20"/>
      <c r="H67" s="20"/>
      <c r="I67" s="9"/>
      <c r="J67" s="20"/>
      <c r="K67" s="20"/>
      <c r="L67" s="20"/>
      <c r="M67" s="20"/>
      <c r="N67" s="20"/>
      <c r="O67" s="388"/>
      <c r="P67" s="388"/>
      <c r="Q67" s="388"/>
      <c r="R67" s="388"/>
      <c r="S67" s="388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169"/>
      <c r="AE67" s="65"/>
      <c r="AF67" s="65"/>
      <c r="AG67" s="65"/>
      <c r="AH67" s="65"/>
      <c r="AI67" s="116" t="s">
        <v>186</v>
      </c>
      <c r="AJ67" s="449">
        <f>+(0.08*100)/5</f>
        <v>1.6</v>
      </c>
      <c r="AK67" s="449">
        <f>+AJ67*C4</f>
        <v>0.16000000000000003</v>
      </c>
      <c r="AL67" s="449">
        <v>1.44</v>
      </c>
      <c r="AM67" s="449">
        <v>0</v>
      </c>
      <c r="AN67" s="449">
        <v>0</v>
      </c>
      <c r="AO67" s="148" t="s">
        <v>194</v>
      </c>
      <c r="AP67" s="151" t="s">
        <v>202</v>
      </c>
      <c r="AQ67" s="148" t="s">
        <v>87</v>
      </c>
      <c r="AR67" s="151">
        <v>0</v>
      </c>
      <c r="AS67" s="151">
        <v>3</v>
      </c>
      <c r="AT67" s="151">
        <v>1</v>
      </c>
      <c r="AU67" s="151">
        <v>2</v>
      </c>
      <c r="AV67" s="151">
        <v>0</v>
      </c>
      <c r="AW67" s="151">
        <v>0</v>
      </c>
      <c r="AX67" s="151">
        <v>3</v>
      </c>
      <c r="AY67" s="153">
        <f>'[2]URBANO REGIONAL'!AX35</f>
        <v>0</v>
      </c>
      <c r="AZ67" s="153">
        <f>'[2]URBANO REGIONAL'!CK35</f>
        <v>0</v>
      </c>
      <c r="BA67" s="153">
        <f>'[2]URBANO REGIONAL'!DW35</f>
        <v>0</v>
      </c>
      <c r="BB67" s="153">
        <f>'[2]URBANO REGIONAL'!FI35</f>
        <v>0</v>
      </c>
      <c r="BC67" s="153">
        <f t="shared" ref="BC67:BC74" si="16">SUM(AY67:BB67)</f>
        <v>0</v>
      </c>
      <c r="BD67" s="148" t="s">
        <v>204</v>
      </c>
      <c r="BE67" s="148" t="s">
        <v>205</v>
      </c>
    </row>
    <row r="68" spans="1:57" ht="22.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388"/>
      <c r="P68" s="388"/>
      <c r="Q68" s="388"/>
      <c r="R68" s="388"/>
      <c r="S68" s="388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65"/>
      <c r="AE68" s="65"/>
      <c r="AF68" s="65"/>
      <c r="AG68" s="65"/>
      <c r="AH68" s="65"/>
      <c r="AI68" s="116" t="s">
        <v>187</v>
      </c>
      <c r="AJ68" s="449">
        <f>+(0.055*100)/5</f>
        <v>1.1000000000000001</v>
      </c>
      <c r="AK68" s="449">
        <v>0</v>
      </c>
      <c r="AL68" s="449">
        <v>0.61</v>
      </c>
      <c r="AM68" s="449">
        <v>0.5</v>
      </c>
      <c r="AN68" s="449">
        <v>0</v>
      </c>
      <c r="AO68" s="148" t="s">
        <v>195</v>
      </c>
      <c r="AP68" s="151" t="s">
        <v>202</v>
      </c>
      <c r="AQ68" s="148" t="s">
        <v>87</v>
      </c>
      <c r="AR68" s="151">
        <v>0</v>
      </c>
      <c r="AS68" s="151">
        <v>3</v>
      </c>
      <c r="AT68" s="151">
        <v>0</v>
      </c>
      <c r="AU68" s="151">
        <v>2</v>
      </c>
      <c r="AV68" s="151">
        <v>1</v>
      </c>
      <c r="AW68" s="151">
        <v>0</v>
      </c>
      <c r="AX68" s="151">
        <v>3</v>
      </c>
      <c r="AY68" s="153">
        <f>'[2]URBANO REGIONAL'!AX36</f>
        <v>0</v>
      </c>
      <c r="AZ68" s="153">
        <f>'[2]URBANO REGIONAL'!CK36</f>
        <v>0</v>
      </c>
      <c r="BA68" s="153">
        <f>'[2]URBANO REGIONAL'!DW36</f>
        <v>0</v>
      </c>
      <c r="BB68" s="153">
        <f>'[2]URBANO REGIONAL'!FI36</f>
        <v>0</v>
      </c>
      <c r="BC68" s="153">
        <f t="shared" si="16"/>
        <v>0</v>
      </c>
      <c r="BD68" s="148" t="s">
        <v>204</v>
      </c>
      <c r="BE68" s="148" t="s">
        <v>205</v>
      </c>
    </row>
    <row r="69" spans="1:57" ht="22.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1"/>
      <c r="O69" s="393"/>
      <c r="P69" s="393"/>
      <c r="Q69" s="393"/>
      <c r="R69" s="393"/>
      <c r="S69" s="393"/>
      <c r="T69" s="21"/>
      <c r="U69" s="21"/>
      <c r="V69" s="21"/>
      <c r="W69" s="21"/>
      <c r="X69" s="21"/>
      <c r="Y69" s="21"/>
      <c r="Z69" s="21"/>
      <c r="AA69" s="21"/>
      <c r="AB69" s="21"/>
      <c r="AC69" s="20"/>
      <c r="AD69" s="65"/>
      <c r="AE69" s="65"/>
      <c r="AF69" s="65"/>
      <c r="AG69" s="65"/>
      <c r="AH69" s="65"/>
      <c r="AI69" s="116" t="s">
        <v>188</v>
      </c>
      <c r="AJ69" s="449">
        <f>+(0.263*100)/5</f>
        <v>5.26</v>
      </c>
      <c r="AK69" s="449">
        <f>+AJ69*C4</f>
        <v>0.52600000000000002</v>
      </c>
      <c r="AL69" s="449">
        <f>+AJ69*D4</f>
        <v>2.367</v>
      </c>
      <c r="AM69" s="449">
        <f>+AJ69*E4</f>
        <v>1.3149999999999999</v>
      </c>
      <c r="AN69" s="449">
        <f>+AJ69*F4</f>
        <v>1.052</v>
      </c>
      <c r="AO69" s="148" t="s">
        <v>196</v>
      </c>
      <c r="AP69" s="151" t="s">
        <v>203</v>
      </c>
      <c r="AQ69" s="148" t="s">
        <v>87</v>
      </c>
      <c r="AR69" s="151">
        <v>967</v>
      </c>
      <c r="AS69" s="151">
        <v>1167</v>
      </c>
      <c r="AT69" s="151">
        <v>200</v>
      </c>
      <c r="AU69" s="151">
        <v>200</v>
      </c>
      <c r="AV69" s="151">
        <v>200</v>
      </c>
      <c r="AW69" s="151">
        <v>200</v>
      </c>
      <c r="AX69" s="151">
        <v>800</v>
      </c>
      <c r="AY69" s="153">
        <f>'[2]URBANO REGIONAL'!AX37</f>
        <v>1500000000</v>
      </c>
      <c r="AZ69" s="153">
        <f>'[2]URBANO REGIONAL'!CK37</f>
        <v>1500000000</v>
      </c>
      <c r="BA69" s="153">
        <f>'[2]URBANO REGIONAL'!DW37</f>
        <v>1500000000</v>
      </c>
      <c r="BB69" s="153">
        <f>'[2]URBANO REGIONAL'!FI37</f>
        <v>1500000000</v>
      </c>
      <c r="BC69" s="153">
        <f t="shared" si="16"/>
        <v>6000000000</v>
      </c>
      <c r="BD69" s="148" t="s">
        <v>204</v>
      </c>
      <c r="BE69" s="148" t="s">
        <v>205</v>
      </c>
    </row>
    <row r="70" spans="1:57" ht="4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1" t="s">
        <v>170</v>
      </c>
      <c r="O70" s="407">
        <f>+(3.27*100)/16</f>
        <v>20.4375</v>
      </c>
      <c r="P70" s="411">
        <f>+O70*C4</f>
        <v>2.0437500000000002</v>
      </c>
      <c r="Q70" s="411">
        <f>+O70*D4</f>
        <v>9.1968750000000004</v>
      </c>
      <c r="R70" s="411">
        <f>+O70*E4</f>
        <v>5.109375</v>
      </c>
      <c r="S70" s="411">
        <f>+O70*F4</f>
        <v>4.0875000000000004</v>
      </c>
      <c r="T70" s="21" t="s">
        <v>178</v>
      </c>
      <c r="U70" s="66" t="s">
        <v>202</v>
      </c>
      <c r="V70" s="21" t="s">
        <v>88</v>
      </c>
      <c r="W70" s="23">
        <v>0.83</v>
      </c>
      <c r="X70" s="23">
        <v>0.87</v>
      </c>
      <c r="Y70" s="170">
        <v>0.83</v>
      </c>
      <c r="Z70" s="170">
        <v>0.85</v>
      </c>
      <c r="AA70" s="170">
        <v>0.86</v>
      </c>
      <c r="AB70" s="170">
        <v>0.87</v>
      </c>
      <c r="AC70" s="20"/>
      <c r="AD70" s="65"/>
      <c r="AE70" s="65"/>
      <c r="AF70" s="65"/>
      <c r="AG70" s="65"/>
      <c r="AH70" s="65"/>
      <c r="AI70" s="116" t="s">
        <v>189</v>
      </c>
      <c r="AJ70" s="449">
        <f>+(0.436*100)/5</f>
        <v>8.7200000000000006</v>
      </c>
      <c r="AK70" s="449">
        <f>+AJ70*C4</f>
        <v>0.87200000000000011</v>
      </c>
      <c r="AL70" s="449">
        <f>+AJ70*D4</f>
        <v>3.9240000000000004</v>
      </c>
      <c r="AM70" s="449">
        <f>+AJ70*E4</f>
        <v>2.1800000000000002</v>
      </c>
      <c r="AN70" s="449">
        <f>+AJ70*F4</f>
        <v>1.7440000000000002</v>
      </c>
      <c r="AO70" s="148" t="s">
        <v>197</v>
      </c>
      <c r="AP70" s="151" t="s">
        <v>202</v>
      </c>
      <c r="AQ70" s="148" t="s">
        <v>87</v>
      </c>
      <c r="AR70" s="151">
        <v>5</v>
      </c>
      <c r="AS70" s="151">
        <v>10</v>
      </c>
      <c r="AT70" s="151">
        <v>2</v>
      </c>
      <c r="AU70" s="151">
        <v>1</v>
      </c>
      <c r="AV70" s="151">
        <v>1</v>
      </c>
      <c r="AW70" s="151">
        <v>1</v>
      </c>
      <c r="AX70" s="151">
        <v>5</v>
      </c>
      <c r="AY70" s="153">
        <f>'[2]URBANO REGIONAL'!AX38</f>
        <v>6000000000</v>
      </c>
      <c r="AZ70" s="153">
        <f>'[2]URBANO REGIONAL'!CK38</f>
        <v>4000000000</v>
      </c>
      <c r="BA70" s="153">
        <f>'[2]URBANO REGIONAL'!DW38</f>
        <v>4000000000</v>
      </c>
      <c r="BB70" s="153">
        <f>'[2]URBANO REGIONAL'!FI38</f>
        <v>1000000000</v>
      </c>
      <c r="BC70" s="153">
        <f t="shared" si="16"/>
        <v>15000000000</v>
      </c>
      <c r="BD70" s="148" t="s">
        <v>204</v>
      </c>
      <c r="BE70" s="148" t="s">
        <v>205</v>
      </c>
    </row>
    <row r="71" spans="1:57" ht="45" customHeight="1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1" t="s">
        <v>171</v>
      </c>
      <c r="O71" s="407">
        <f>+(3.44*100)/16</f>
        <v>21.5</v>
      </c>
      <c r="P71" s="411">
        <f>+O71*C4</f>
        <v>2.15</v>
      </c>
      <c r="Q71" s="411">
        <f>+O71*C4</f>
        <v>2.15</v>
      </c>
      <c r="R71" s="411">
        <f>+O71*C4</f>
        <v>2.15</v>
      </c>
      <c r="S71" s="411">
        <f>+O71*C4</f>
        <v>2.15</v>
      </c>
      <c r="T71" s="21" t="s">
        <v>179</v>
      </c>
      <c r="U71" s="67" t="s">
        <v>202</v>
      </c>
      <c r="V71" s="29" t="s">
        <v>88</v>
      </c>
      <c r="W71" s="23">
        <v>0.65</v>
      </c>
      <c r="X71" s="23">
        <v>0.7</v>
      </c>
      <c r="Y71" s="23">
        <v>0.71</v>
      </c>
      <c r="Z71" s="23">
        <v>0.73</v>
      </c>
      <c r="AA71" s="23">
        <v>0.74</v>
      </c>
      <c r="AB71" s="23">
        <v>0.75</v>
      </c>
      <c r="AC71" s="20"/>
      <c r="AD71" s="65"/>
      <c r="AE71" s="65"/>
      <c r="AF71" s="65"/>
      <c r="AG71" s="65"/>
      <c r="AH71" s="65"/>
      <c r="AI71" s="116" t="s">
        <v>190</v>
      </c>
      <c r="AJ71" s="449">
        <f>+(0.258*100)/5</f>
        <v>5.16</v>
      </c>
      <c r="AK71" s="449">
        <f>+AJ71*C4</f>
        <v>0.51600000000000001</v>
      </c>
      <c r="AL71" s="449">
        <f>+AJ71*D4</f>
        <v>2.3220000000000001</v>
      </c>
      <c r="AM71" s="449">
        <f>+AJ71*E4</f>
        <v>1.29</v>
      </c>
      <c r="AN71" s="449">
        <f>+AJ71*F4</f>
        <v>1.032</v>
      </c>
      <c r="AO71" s="149" t="s">
        <v>198</v>
      </c>
      <c r="AP71" s="151" t="s">
        <v>202</v>
      </c>
      <c r="AQ71" s="29" t="s">
        <v>87</v>
      </c>
      <c r="AR71" s="151">
        <v>169</v>
      </c>
      <c r="AS71" s="18">
        <v>179</v>
      </c>
      <c r="AT71" s="152">
        <v>3</v>
      </c>
      <c r="AU71" s="151">
        <v>5</v>
      </c>
      <c r="AV71" s="151">
        <v>1</v>
      </c>
      <c r="AW71" s="151">
        <v>1</v>
      </c>
      <c r="AX71" s="152">
        <v>10</v>
      </c>
      <c r="AY71" s="30">
        <f>'[2]URBANO REGIONAL'!AX39</f>
        <v>2000000000</v>
      </c>
      <c r="AZ71" s="30">
        <f>'[2]URBANO REGIONAL'!CK39</f>
        <v>2000000000</v>
      </c>
      <c r="BA71" s="30">
        <f>'[2]URBANO REGIONAL'!DW39</f>
        <v>2000000000</v>
      </c>
      <c r="BB71" s="30">
        <f>'[2]URBANO REGIONAL'!FI39</f>
        <v>1000000000</v>
      </c>
      <c r="BC71" s="153">
        <f t="shared" si="16"/>
        <v>7000000000</v>
      </c>
      <c r="BD71" s="29" t="s">
        <v>204</v>
      </c>
      <c r="BE71" s="29" t="s">
        <v>205</v>
      </c>
    </row>
    <row r="72" spans="1:57" ht="45" customHeight="1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167" t="s">
        <v>172</v>
      </c>
      <c r="O72" s="407">
        <f>+(0.17*100)/16</f>
        <v>1.0625</v>
      </c>
      <c r="P72" s="408">
        <f>+O72*C4</f>
        <v>0.10625000000000001</v>
      </c>
      <c r="Q72" s="408">
        <f>+O72*D4</f>
        <v>0.47812500000000002</v>
      </c>
      <c r="R72" s="408">
        <f>+O72*E4</f>
        <v>0.265625</v>
      </c>
      <c r="S72" s="408">
        <f>+O72*F4</f>
        <v>0.21250000000000002</v>
      </c>
      <c r="T72" s="160" t="s">
        <v>180</v>
      </c>
      <c r="U72" s="159" t="s">
        <v>202</v>
      </c>
      <c r="V72" s="160" t="s">
        <v>88</v>
      </c>
      <c r="W72" s="168">
        <v>0.28999999999999998</v>
      </c>
      <c r="X72" s="168">
        <v>0.69</v>
      </c>
      <c r="Y72" s="168">
        <v>0.35</v>
      </c>
      <c r="Z72" s="168">
        <v>0.5</v>
      </c>
      <c r="AA72" s="168">
        <v>0.6</v>
      </c>
      <c r="AB72" s="168">
        <v>0.69</v>
      </c>
      <c r="AC72" s="20"/>
      <c r="AD72" s="65"/>
      <c r="AE72" s="65"/>
      <c r="AF72" s="65"/>
      <c r="AG72" s="65"/>
      <c r="AH72" s="65"/>
      <c r="AI72" s="116" t="s">
        <v>191</v>
      </c>
      <c r="AJ72" s="449">
        <f>+(0.078*100)/5</f>
        <v>1.56</v>
      </c>
      <c r="AK72" s="449">
        <v>0</v>
      </c>
      <c r="AL72" s="449">
        <v>0.86</v>
      </c>
      <c r="AM72" s="449">
        <f>+AJ72*E4</f>
        <v>0.39</v>
      </c>
      <c r="AN72" s="449">
        <f>+AJ72*F4</f>
        <v>0.31200000000000006</v>
      </c>
      <c r="AO72" s="149" t="s">
        <v>199</v>
      </c>
      <c r="AP72" s="151" t="s">
        <v>203</v>
      </c>
      <c r="AQ72" s="29" t="s">
        <v>87</v>
      </c>
      <c r="AR72" s="151">
        <v>2</v>
      </c>
      <c r="AS72" s="29">
        <v>3</v>
      </c>
      <c r="AT72" s="151">
        <v>0</v>
      </c>
      <c r="AU72" s="151">
        <v>1</v>
      </c>
      <c r="AV72" s="151">
        <v>1</v>
      </c>
      <c r="AW72" s="151">
        <v>1</v>
      </c>
      <c r="AX72" s="152">
        <v>1</v>
      </c>
      <c r="AY72" s="30">
        <f>'[2]URBANO REGIONAL'!AX40</f>
        <v>0</v>
      </c>
      <c r="AZ72" s="30">
        <f>'[2]URBANO REGIONAL'!CK40</f>
        <v>2000000000</v>
      </c>
      <c r="BA72" s="30">
        <f>'[2]URBANO REGIONAL'!DW40</f>
        <v>0</v>
      </c>
      <c r="BB72" s="30">
        <f>'[2]URBANO REGIONAL'!FI40</f>
        <v>0</v>
      </c>
      <c r="BC72" s="153">
        <f t="shared" si="16"/>
        <v>2000000000</v>
      </c>
      <c r="BD72" s="29" t="s">
        <v>204</v>
      </c>
      <c r="BE72" s="29" t="s">
        <v>205</v>
      </c>
    </row>
    <row r="73" spans="1:57" ht="22.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10"/>
      <c r="O73" s="65"/>
      <c r="P73" s="10"/>
      <c r="Q73" s="10"/>
      <c r="R73" s="10"/>
      <c r="S73" s="10"/>
      <c r="T73" s="20"/>
      <c r="U73" s="20"/>
      <c r="V73" s="20"/>
      <c r="W73" s="169"/>
      <c r="X73" s="169"/>
      <c r="Y73" s="20"/>
      <c r="Z73" s="20"/>
      <c r="AA73" s="20"/>
      <c r="AB73" s="20"/>
      <c r="AC73" s="20"/>
      <c r="AD73" s="65"/>
      <c r="AE73" s="65"/>
      <c r="AF73" s="65"/>
      <c r="AG73" s="65"/>
      <c r="AH73" s="65"/>
      <c r="AI73" s="116" t="s">
        <v>192</v>
      </c>
      <c r="AJ73" s="449">
        <f>+(0.078*100)/5</f>
        <v>1.56</v>
      </c>
      <c r="AK73" s="449">
        <v>0</v>
      </c>
      <c r="AL73" s="449">
        <v>0.86</v>
      </c>
      <c r="AM73" s="449">
        <f>+AJ73*E4</f>
        <v>0.39</v>
      </c>
      <c r="AN73" s="449">
        <f>+AJ73*F4</f>
        <v>0.31200000000000006</v>
      </c>
      <c r="AO73" s="149" t="s">
        <v>200</v>
      </c>
      <c r="AP73" s="151" t="s">
        <v>203</v>
      </c>
      <c r="AQ73" s="29" t="s">
        <v>87</v>
      </c>
      <c r="AR73" s="151">
        <v>0</v>
      </c>
      <c r="AS73" s="29">
        <v>1</v>
      </c>
      <c r="AT73" s="151">
        <v>0</v>
      </c>
      <c r="AU73" s="151">
        <v>1</v>
      </c>
      <c r="AV73" s="151">
        <v>1</v>
      </c>
      <c r="AW73" s="151">
        <v>1</v>
      </c>
      <c r="AX73" s="18">
        <v>1</v>
      </c>
      <c r="AY73" s="30">
        <f>'[2]URBANO REGIONAL'!AX41</f>
        <v>0</v>
      </c>
      <c r="AZ73" s="30">
        <f>'[2]URBANO REGIONAL'!CK41</f>
        <v>2000000000</v>
      </c>
      <c r="BA73" s="30">
        <f>'[2]URBANO REGIONAL'!DW41</f>
        <v>0</v>
      </c>
      <c r="BB73" s="30">
        <f>'[2]URBANO REGIONAL'!FI41</f>
        <v>0</v>
      </c>
      <c r="BC73" s="153">
        <f t="shared" si="16"/>
        <v>2000000000</v>
      </c>
      <c r="BD73" s="29" t="s">
        <v>204</v>
      </c>
      <c r="BE73" s="29" t="s">
        <v>205</v>
      </c>
    </row>
    <row r="74" spans="1:57" ht="22.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1"/>
      <c r="O74" s="66"/>
      <c r="P74" s="1"/>
      <c r="Q74" s="1"/>
      <c r="R74" s="1"/>
      <c r="S74" s="1"/>
      <c r="T74" s="21"/>
      <c r="U74" s="21"/>
      <c r="V74" s="21"/>
      <c r="W74" s="170"/>
      <c r="X74" s="170"/>
      <c r="Y74" s="21"/>
      <c r="Z74" s="21"/>
      <c r="AA74" s="21"/>
      <c r="AB74" s="21"/>
      <c r="AC74" s="21"/>
      <c r="AD74" s="66"/>
      <c r="AE74" s="66"/>
      <c r="AF74" s="66"/>
      <c r="AG74" s="66"/>
      <c r="AH74" s="66"/>
      <c r="AI74" s="116" t="s">
        <v>193</v>
      </c>
      <c r="AJ74" s="449">
        <f>+(0.025*100)/5</f>
        <v>0.5</v>
      </c>
      <c r="AK74" s="449">
        <v>0</v>
      </c>
      <c r="AL74" s="449">
        <v>0.28000000000000003</v>
      </c>
      <c r="AM74" s="449">
        <f>+AJ74*E4</f>
        <v>0.125</v>
      </c>
      <c r="AN74" s="449">
        <f>+AJ74*F4</f>
        <v>0.1</v>
      </c>
      <c r="AO74" s="150" t="s">
        <v>201</v>
      </c>
      <c r="AP74" s="151" t="s">
        <v>203</v>
      </c>
      <c r="AQ74" s="29" t="s">
        <v>87</v>
      </c>
      <c r="AR74" s="151">
        <v>2</v>
      </c>
      <c r="AS74" s="29">
        <v>3</v>
      </c>
      <c r="AT74" s="151">
        <v>0</v>
      </c>
      <c r="AU74" s="151">
        <v>1</v>
      </c>
      <c r="AV74" s="151">
        <v>1</v>
      </c>
      <c r="AW74" s="151">
        <v>1</v>
      </c>
      <c r="AX74" s="24">
        <v>1</v>
      </c>
      <c r="AY74" s="128">
        <f>'[2]URBANO REGIONAL'!AX42</f>
        <v>0</v>
      </c>
      <c r="AZ74" s="128">
        <f>'[2]URBANO REGIONAL'!CK42</f>
        <v>0</v>
      </c>
      <c r="BA74" s="128">
        <f>'[2]URBANO REGIONAL'!DW42</f>
        <v>0</v>
      </c>
      <c r="BB74" s="128">
        <f>'[2]URBANO REGIONAL'!FI42</f>
        <v>0</v>
      </c>
      <c r="BC74" s="153">
        <f t="shared" si="16"/>
        <v>0</v>
      </c>
      <c r="BD74" s="116" t="s">
        <v>204</v>
      </c>
      <c r="BE74" s="116" t="s">
        <v>205</v>
      </c>
    </row>
    <row r="75" spans="1:57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125"/>
      <c r="O75" s="81"/>
      <c r="P75" s="81"/>
      <c r="Q75" s="81"/>
      <c r="R75" s="81"/>
      <c r="S75" s="81"/>
      <c r="T75" s="124"/>
      <c r="U75" s="81"/>
      <c r="V75" s="81"/>
      <c r="W75" s="81"/>
      <c r="X75" s="81"/>
      <c r="Y75" s="81"/>
      <c r="Z75" s="81"/>
      <c r="AA75" s="81"/>
      <c r="AB75" s="81"/>
      <c r="AC75" s="349" t="s">
        <v>1453</v>
      </c>
      <c r="AD75" s="350">
        <f>+AD66</f>
        <v>68.75</v>
      </c>
      <c r="AE75" s="81"/>
      <c r="AF75" s="81"/>
      <c r="AG75" s="81"/>
      <c r="AH75" s="81"/>
      <c r="AI75" s="109"/>
      <c r="AJ75" s="418">
        <f>SUM(AJ66:AJ74)</f>
        <v>99.999999999999986</v>
      </c>
      <c r="AK75" s="418"/>
      <c r="AL75" s="418"/>
      <c r="AM75" s="418"/>
      <c r="AN75" s="418"/>
      <c r="AO75" s="126"/>
      <c r="AP75" s="55"/>
      <c r="AQ75" s="55"/>
      <c r="AR75" s="55"/>
      <c r="AS75" s="55"/>
      <c r="AT75" s="55"/>
      <c r="AU75" s="127"/>
      <c r="AV75" s="127"/>
      <c r="AW75" s="127"/>
      <c r="AX75" s="127"/>
      <c r="AY75" s="154">
        <f>SUM(AY66:AY74)</f>
        <v>63500000000</v>
      </c>
      <c r="AZ75" s="154">
        <f t="shared" ref="AZ75:BC75" si="17">SUM(AZ66:AZ74)</f>
        <v>48500000000</v>
      </c>
      <c r="BA75" s="154">
        <f t="shared" si="17"/>
        <v>41500000000</v>
      </c>
      <c r="BB75" s="154">
        <f t="shared" si="17"/>
        <v>8500000000</v>
      </c>
      <c r="BC75" s="154">
        <f t="shared" si="17"/>
        <v>162000000000</v>
      </c>
      <c r="BD75" s="80"/>
      <c r="BE75" s="80"/>
    </row>
    <row r="76" spans="1:57" ht="56.25" customHeight="1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160" t="s">
        <v>173</v>
      </c>
      <c r="O76" s="406">
        <f>+(2.5*100)/16</f>
        <v>15.625</v>
      </c>
      <c r="P76" s="408">
        <f>+O76*C4</f>
        <v>1.5625</v>
      </c>
      <c r="Q76" s="408">
        <f>+O76*D4</f>
        <v>7.03125</v>
      </c>
      <c r="R76" s="408">
        <f>+O76*E4</f>
        <v>3.90625</v>
      </c>
      <c r="S76" s="408">
        <f>+O76*F4</f>
        <v>3.125</v>
      </c>
      <c r="T76" s="160" t="s">
        <v>181</v>
      </c>
      <c r="U76" s="159" t="s">
        <v>202</v>
      </c>
      <c r="V76" s="160" t="s">
        <v>87</v>
      </c>
      <c r="W76" s="160" t="s">
        <v>224</v>
      </c>
      <c r="X76" s="160" t="s">
        <v>225</v>
      </c>
      <c r="Y76" s="159" t="s">
        <v>1479</v>
      </c>
      <c r="Z76" s="159" t="s">
        <v>1480</v>
      </c>
      <c r="AA76" s="159">
        <v>73</v>
      </c>
      <c r="AB76" s="159" t="s">
        <v>1481</v>
      </c>
      <c r="AC76" s="160" t="s">
        <v>206</v>
      </c>
      <c r="AD76" s="406">
        <f>+(5*100)/16</f>
        <v>31.25</v>
      </c>
      <c r="AE76" s="406">
        <f>+AD76*C4</f>
        <v>3.125</v>
      </c>
      <c r="AF76" s="406">
        <f>+AD76*D4</f>
        <v>14.0625</v>
      </c>
      <c r="AG76" s="406">
        <f>+AD76*E4</f>
        <v>7.8125</v>
      </c>
      <c r="AH76" s="406">
        <f>+AD76*F4</f>
        <v>6.25</v>
      </c>
      <c r="AI76" s="67" t="s">
        <v>207</v>
      </c>
      <c r="AJ76" s="450">
        <f>+(0.359*100)/4</f>
        <v>8.9749999999999996</v>
      </c>
      <c r="AK76" s="450">
        <v>0</v>
      </c>
      <c r="AL76" s="450">
        <v>4.9400000000000004</v>
      </c>
      <c r="AM76" s="450">
        <v>4.04</v>
      </c>
      <c r="AN76" s="450">
        <v>0</v>
      </c>
      <c r="AO76" s="67" t="s">
        <v>214</v>
      </c>
      <c r="AP76" s="67" t="s">
        <v>202</v>
      </c>
      <c r="AQ76" s="67" t="s">
        <v>87</v>
      </c>
      <c r="AR76" s="67">
        <f>'[2]URBANO REGIONAL'!AM44</f>
        <v>68.5</v>
      </c>
      <c r="AS76" s="67">
        <v>74.5</v>
      </c>
      <c r="AT76" s="67">
        <v>0</v>
      </c>
      <c r="AU76" s="67">
        <v>3</v>
      </c>
      <c r="AV76" s="67">
        <v>3</v>
      </c>
      <c r="AW76" s="67">
        <v>0</v>
      </c>
      <c r="AX76" s="67">
        <v>6</v>
      </c>
      <c r="AY76" s="556">
        <f>'[2]URBANO REGIONAL'!AX44</f>
        <v>2000000000</v>
      </c>
      <c r="AZ76" s="556">
        <f>'[2]URBANO REGIONAL'!CK44</f>
        <v>1000000000</v>
      </c>
      <c r="BA76" s="556">
        <f>'[2]URBANO REGIONAL'!DW44</f>
        <v>0</v>
      </c>
      <c r="BB76" s="556">
        <f>'[2]URBANO REGIONAL'!FI44</f>
        <v>0</v>
      </c>
      <c r="BC76" s="556">
        <f>SUM(AY76:BB76)</f>
        <v>3000000000</v>
      </c>
      <c r="BD76" s="67" t="s">
        <v>223</v>
      </c>
      <c r="BE76" s="67" t="s">
        <v>205</v>
      </c>
    </row>
    <row r="77" spans="1:57" ht="56.2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10"/>
      <c r="P77" s="388"/>
      <c r="Q77" s="388"/>
      <c r="R77" s="388"/>
      <c r="S77" s="388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557"/>
      <c r="AE77" s="65"/>
      <c r="AF77" s="65"/>
      <c r="AG77" s="65"/>
      <c r="AH77" s="65"/>
      <c r="AI77" s="67" t="s">
        <v>208</v>
      </c>
      <c r="AJ77" s="450">
        <f>+(0.05*100)/4</f>
        <v>1.25</v>
      </c>
      <c r="AK77" s="450">
        <v>0</v>
      </c>
      <c r="AL77" s="450">
        <v>0</v>
      </c>
      <c r="AM77" s="450">
        <v>1.25</v>
      </c>
      <c r="AN77" s="450">
        <v>0</v>
      </c>
      <c r="AO77" s="67" t="s">
        <v>215</v>
      </c>
      <c r="AP77" s="67" t="s">
        <v>202</v>
      </c>
      <c r="AQ77" s="67" t="s">
        <v>87</v>
      </c>
      <c r="AR77" s="67">
        <f>'[2]URBANO REGIONAL'!AM45</f>
        <v>0</v>
      </c>
      <c r="AS77" s="67">
        <v>1</v>
      </c>
      <c r="AT77" s="67">
        <v>0</v>
      </c>
      <c r="AU77" s="67">
        <v>0</v>
      </c>
      <c r="AV77" s="67">
        <v>1</v>
      </c>
      <c r="AW77" s="67">
        <v>0</v>
      </c>
      <c r="AX77" s="67">
        <v>1</v>
      </c>
      <c r="AY77" s="556">
        <f>'[2]URBANO REGIONAL'!AX45</f>
        <v>1000000000</v>
      </c>
      <c r="AZ77" s="556">
        <f>'[2]URBANO REGIONAL'!CK45</f>
        <v>0</v>
      </c>
      <c r="BA77" s="556">
        <f>'[2]URBANO REGIONAL'!DW45</f>
        <v>0</v>
      </c>
      <c r="BB77" s="556">
        <f>'[2]URBANO REGIONAL'!FI45</f>
        <v>0</v>
      </c>
      <c r="BC77" s="556">
        <f t="shared" ref="BC77:BC82" si="18">SUM(AY77:BB77)</f>
        <v>1000000000</v>
      </c>
      <c r="BD77" s="67" t="s">
        <v>223</v>
      </c>
      <c r="BE77" s="67" t="s">
        <v>205</v>
      </c>
    </row>
    <row r="78" spans="1:57" ht="56.2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10"/>
      <c r="P78" s="388"/>
      <c r="Q78" s="388"/>
      <c r="R78" s="388"/>
      <c r="S78" s="388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65"/>
      <c r="AE78" s="65"/>
      <c r="AF78" s="65"/>
      <c r="AG78" s="65"/>
      <c r="AH78" s="65"/>
      <c r="AI78" s="34" t="s">
        <v>209</v>
      </c>
      <c r="AJ78" s="450">
        <f>+(0.56*100)/4</f>
        <v>14.000000000000002</v>
      </c>
      <c r="AK78" s="450">
        <v>0</v>
      </c>
      <c r="AL78" s="450">
        <v>0</v>
      </c>
      <c r="AM78" s="450">
        <v>11.2</v>
      </c>
      <c r="AN78" s="450">
        <f>+AJ78*F4</f>
        <v>2.8000000000000007</v>
      </c>
      <c r="AO78" s="558" t="s">
        <v>216</v>
      </c>
      <c r="AP78" s="67" t="s">
        <v>202</v>
      </c>
      <c r="AQ78" s="67" t="s">
        <v>87</v>
      </c>
      <c r="AR78" s="559">
        <f>'[2]URBANO REGIONAL'!AM46</f>
        <v>0</v>
      </c>
      <c r="AS78" s="67">
        <v>3</v>
      </c>
      <c r="AT78" s="532">
        <v>0</v>
      </c>
      <c r="AU78" s="67">
        <v>0</v>
      </c>
      <c r="AV78" s="67">
        <v>2</v>
      </c>
      <c r="AW78" s="67">
        <v>1</v>
      </c>
      <c r="AX78" s="532">
        <v>3</v>
      </c>
      <c r="AY78" s="560">
        <f>'[2]URBANO REGIONAL'!AX46</f>
        <v>1000000000</v>
      </c>
      <c r="AZ78" s="560">
        <f>'[2]URBANO REGIONAL'!CK46</f>
        <v>1000000000</v>
      </c>
      <c r="BA78" s="561">
        <f>'[2]URBANO REGIONAL'!DW46</f>
        <v>500000000</v>
      </c>
      <c r="BB78" s="560">
        <f>'[2]URBANO REGIONAL'!FI46</f>
        <v>0</v>
      </c>
      <c r="BC78" s="556">
        <f t="shared" si="18"/>
        <v>2500000000</v>
      </c>
      <c r="BD78" s="528" t="s">
        <v>223</v>
      </c>
      <c r="BE78" s="528" t="s">
        <v>205</v>
      </c>
    </row>
    <row r="79" spans="1:57" ht="56.2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1"/>
      <c r="O79" s="1"/>
      <c r="P79" s="393"/>
      <c r="Q79" s="393"/>
      <c r="R79" s="393"/>
      <c r="S79" s="393"/>
      <c r="T79" s="21"/>
      <c r="U79" s="21"/>
      <c r="V79" s="21"/>
      <c r="W79" s="21"/>
      <c r="X79" s="21"/>
      <c r="Y79" s="21"/>
      <c r="Z79" s="21"/>
      <c r="AA79" s="21"/>
      <c r="AB79" s="21"/>
      <c r="AC79" s="20"/>
      <c r="AD79" s="65"/>
      <c r="AE79" s="65"/>
      <c r="AF79" s="65"/>
      <c r="AG79" s="65"/>
      <c r="AH79" s="65"/>
      <c r="AI79" s="34" t="s">
        <v>210</v>
      </c>
      <c r="AJ79" s="450">
        <f>+(1.44*100)/4</f>
        <v>36</v>
      </c>
      <c r="AK79" s="450">
        <f>+AJ79*C4</f>
        <v>3.6</v>
      </c>
      <c r="AL79" s="450">
        <f>+AJ79*D4</f>
        <v>16.2</v>
      </c>
      <c r="AM79" s="450">
        <f>+AJ79*E4</f>
        <v>9</v>
      </c>
      <c r="AN79" s="450">
        <f>+AJ79*F4</f>
        <v>7.2</v>
      </c>
      <c r="AO79" s="558" t="s">
        <v>217</v>
      </c>
      <c r="AP79" s="67" t="s">
        <v>202</v>
      </c>
      <c r="AQ79" s="67" t="s">
        <v>222</v>
      </c>
      <c r="AR79" s="562">
        <f>'[2]URBANO REGIONAL'!AM47</f>
        <v>494</v>
      </c>
      <c r="AS79" s="67">
        <v>644</v>
      </c>
      <c r="AT79" s="532">
        <v>100</v>
      </c>
      <c r="AU79" s="67">
        <v>26</v>
      </c>
      <c r="AV79" s="67">
        <v>10</v>
      </c>
      <c r="AW79" s="67">
        <v>14</v>
      </c>
      <c r="AX79" s="532">
        <v>150</v>
      </c>
      <c r="AY79" s="563">
        <f>'[2]URBANO REGIONAL'!AX47</f>
        <v>1000000000</v>
      </c>
      <c r="AZ79" s="35">
        <f>'[2]URBANO REGIONAL'!CK47</f>
        <v>1000000000</v>
      </c>
      <c r="BA79" s="35">
        <f>'[2]URBANO REGIONAL'!DW47</f>
        <v>1000000000</v>
      </c>
      <c r="BB79" s="35">
        <f>'[2]URBANO REGIONAL'!FI47</f>
        <v>1000000000</v>
      </c>
      <c r="BC79" s="556">
        <f t="shared" si="18"/>
        <v>4000000000</v>
      </c>
      <c r="BD79" s="67" t="s">
        <v>223</v>
      </c>
      <c r="BE79" s="67" t="s">
        <v>205</v>
      </c>
    </row>
    <row r="80" spans="1:57" ht="79.5" customHeight="1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160" t="s">
        <v>174</v>
      </c>
      <c r="O80" s="406">
        <f>+(2*100)/16</f>
        <v>12.5</v>
      </c>
      <c r="P80" s="408">
        <f>+O80*C4</f>
        <v>1.25</v>
      </c>
      <c r="Q80" s="408">
        <f>+O80*D4</f>
        <v>5.625</v>
      </c>
      <c r="R80" s="408">
        <f>+O80*E4</f>
        <v>3.125</v>
      </c>
      <c r="S80" s="408">
        <f>+O80*F4</f>
        <v>2.5</v>
      </c>
      <c r="T80" s="160" t="s">
        <v>182</v>
      </c>
      <c r="U80" s="159" t="s">
        <v>226</v>
      </c>
      <c r="V80" s="160" t="s">
        <v>88</v>
      </c>
      <c r="W80" s="168">
        <v>0.1</v>
      </c>
      <c r="X80" s="168">
        <v>0.4</v>
      </c>
      <c r="Y80" s="168">
        <v>0.15</v>
      </c>
      <c r="Z80" s="168">
        <v>0.28000000000000003</v>
      </c>
      <c r="AA80" s="168">
        <v>0.35</v>
      </c>
      <c r="AB80" s="168">
        <v>0.4</v>
      </c>
      <c r="AC80" s="20"/>
      <c r="AD80" s="65"/>
      <c r="AE80" s="65"/>
      <c r="AF80" s="65"/>
      <c r="AG80" s="65"/>
      <c r="AH80" s="65"/>
      <c r="AI80" s="34" t="s">
        <v>211</v>
      </c>
      <c r="AJ80" s="450">
        <f>+(1.22*100)/4</f>
        <v>30.5</v>
      </c>
      <c r="AK80" s="450">
        <v>0</v>
      </c>
      <c r="AL80" s="450">
        <v>16.78</v>
      </c>
      <c r="AM80" s="450">
        <f>+AJ80*E4</f>
        <v>7.625</v>
      </c>
      <c r="AN80" s="450">
        <f>+AJ80*F4</f>
        <v>6.1000000000000005</v>
      </c>
      <c r="AO80" s="28" t="s">
        <v>218</v>
      </c>
      <c r="AP80" s="67" t="s">
        <v>202</v>
      </c>
      <c r="AQ80" s="564" t="s">
        <v>222</v>
      </c>
      <c r="AR80" s="562">
        <f>'[2]URBANO REGIONAL'!AM48</f>
        <v>0</v>
      </c>
      <c r="AS80" s="67">
        <v>35</v>
      </c>
      <c r="AT80" s="67">
        <v>0</v>
      </c>
      <c r="AU80" s="67">
        <v>5</v>
      </c>
      <c r="AV80" s="67">
        <v>15</v>
      </c>
      <c r="AW80" s="67">
        <v>15</v>
      </c>
      <c r="AX80" s="532">
        <v>35</v>
      </c>
      <c r="AY80" s="35">
        <f>'[2]URBANO REGIONAL'!AX48</f>
        <v>4000000000</v>
      </c>
      <c r="AZ80" s="35">
        <f>'[2]URBANO REGIONAL'!CK48</f>
        <v>6000000000</v>
      </c>
      <c r="BA80" s="35">
        <f>'[2]URBANO REGIONAL'!DW48</f>
        <v>0</v>
      </c>
      <c r="BB80" s="35">
        <f>'[2]URBANO REGIONAL'!FI48</f>
        <v>0</v>
      </c>
      <c r="BC80" s="556">
        <f t="shared" si="18"/>
        <v>10000000000</v>
      </c>
      <c r="BD80" s="67" t="s">
        <v>223</v>
      </c>
      <c r="BE80" s="565" t="s">
        <v>205</v>
      </c>
    </row>
    <row r="81" spans="1:57" ht="39" customHeight="1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1"/>
      <c r="O81" s="1"/>
      <c r="P81" s="393"/>
      <c r="Q81" s="393"/>
      <c r="R81" s="393"/>
      <c r="S81" s="393"/>
      <c r="T81" s="21"/>
      <c r="U81" s="21"/>
      <c r="V81" s="21"/>
      <c r="W81" s="170"/>
      <c r="X81" s="170"/>
      <c r="Y81" s="21"/>
      <c r="Z81" s="21"/>
      <c r="AA81" s="21"/>
      <c r="AB81" s="21"/>
      <c r="AC81" s="20"/>
      <c r="AD81" s="65"/>
      <c r="AE81" s="65"/>
      <c r="AF81" s="65"/>
      <c r="AG81" s="65"/>
      <c r="AH81" s="65"/>
      <c r="AI81" s="34" t="s">
        <v>212</v>
      </c>
      <c r="AJ81" s="450">
        <f>+(0.22*100)/4</f>
        <v>5.5</v>
      </c>
      <c r="AK81" s="450">
        <f>+AJ81*C4</f>
        <v>0.55000000000000004</v>
      </c>
      <c r="AL81" s="450">
        <v>4.95</v>
      </c>
      <c r="AM81" s="450">
        <v>0</v>
      </c>
      <c r="AN81" s="450">
        <v>0</v>
      </c>
      <c r="AO81" s="28" t="s">
        <v>219</v>
      </c>
      <c r="AP81" s="67" t="s">
        <v>202</v>
      </c>
      <c r="AQ81" s="67" t="s">
        <v>88</v>
      </c>
      <c r="AR81" s="23">
        <f>'[2]URBANO REGIONAL'!AM49</f>
        <v>0.5</v>
      </c>
      <c r="AS81" s="23">
        <v>1</v>
      </c>
      <c r="AT81" s="23">
        <v>1</v>
      </c>
      <c r="AU81" s="23">
        <v>1</v>
      </c>
      <c r="AV81" s="67">
        <v>0</v>
      </c>
      <c r="AW81" s="67">
        <v>0</v>
      </c>
      <c r="AX81" s="23">
        <v>1</v>
      </c>
      <c r="AY81" s="566">
        <f>'[2]URBANO REGIONAL'!AX49</f>
        <v>4000000000</v>
      </c>
      <c r="AZ81" s="566">
        <f>'[2]URBANO REGIONAL'!CK49</f>
        <v>0</v>
      </c>
      <c r="BA81" s="566">
        <f>'[2]URBANO REGIONAL'!DW49</f>
        <v>0</v>
      </c>
      <c r="BB81" s="566">
        <f>'[2]URBANO REGIONAL'!FI49</f>
        <v>0</v>
      </c>
      <c r="BC81" s="556">
        <f t="shared" si="18"/>
        <v>4000000000</v>
      </c>
      <c r="BD81" s="67" t="s">
        <v>223</v>
      </c>
      <c r="BE81" s="67" t="s">
        <v>205</v>
      </c>
    </row>
    <row r="82" spans="1:57" ht="4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567" t="s">
        <v>175</v>
      </c>
      <c r="O82" s="406">
        <f>+(0.5*100)/16</f>
        <v>3.125</v>
      </c>
      <c r="P82" s="408">
        <f>+O82*C4</f>
        <v>0.3125</v>
      </c>
      <c r="Q82" s="408">
        <f>+O82*D4</f>
        <v>1.40625</v>
      </c>
      <c r="R82" s="408">
        <f>+O82*E4</f>
        <v>0.78125</v>
      </c>
      <c r="S82" s="408">
        <f>+O82*F4</f>
        <v>0.625</v>
      </c>
      <c r="T82" s="568" t="s">
        <v>183</v>
      </c>
      <c r="U82" s="67" t="s">
        <v>202</v>
      </c>
      <c r="V82" s="28" t="s">
        <v>88</v>
      </c>
      <c r="W82" s="23">
        <v>0</v>
      </c>
      <c r="X82" s="23">
        <v>1</v>
      </c>
      <c r="Y82" s="569">
        <v>0.1</v>
      </c>
      <c r="Z82" s="569">
        <v>0.5</v>
      </c>
      <c r="AA82" s="569">
        <v>0.8</v>
      </c>
      <c r="AB82" s="569">
        <v>1</v>
      </c>
      <c r="AC82" s="21"/>
      <c r="AD82" s="66"/>
      <c r="AE82" s="66"/>
      <c r="AF82" s="66"/>
      <c r="AG82" s="66"/>
      <c r="AH82" s="66"/>
      <c r="AI82" s="28" t="s">
        <v>213</v>
      </c>
      <c r="AJ82" s="450">
        <f>+(0.14*100)/4</f>
        <v>3.5000000000000004</v>
      </c>
      <c r="AK82" s="450">
        <v>0</v>
      </c>
      <c r="AL82" s="450">
        <v>0</v>
      </c>
      <c r="AM82" s="450">
        <v>3.5</v>
      </c>
      <c r="AN82" s="450">
        <v>0</v>
      </c>
      <c r="AO82" s="28" t="s">
        <v>220</v>
      </c>
      <c r="AP82" s="67" t="s">
        <v>202</v>
      </c>
      <c r="AQ82" s="67" t="s">
        <v>88</v>
      </c>
      <c r="AR82" s="548" t="str">
        <f>'[2]URBANO REGIONAL'!AM50</f>
        <v>ND</v>
      </c>
      <c r="AS82" s="23">
        <v>1</v>
      </c>
      <c r="AT82" s="67">
        <v>0</v>
      </c>
      <c r="AU82" s="67">
        <v>0</v>
      </c>
      <c r="AV82" s="23">
        <v>1</v>
      </c>
      <c r="AW82" s="67">
        <v>0</v>
      </c>
      <c r="AX82" s="67">
        <v>1</v>
      </c>
      <c r="AY82" s="566">
        <f>'[2]URBANO REGIONAL'!AX50</f>
        <v>500000000</v>
      </c>
      <c r="AZ82" s="566">
        <f>'[2]URBANO REGIONAL'!CK50</f>
        <v>0</v>
      </c>
      <c r="BA82" s="566">
        <f>'[2]URBANO REGIONAL'!DW50</f>
        <v>0</v>
      </c>
      <c r="BB82" s="566">
        <f>'[2]URBANO REGIONAL'!FI50</f>
        <v>0</v>
      </c>
      <c r="BC82" s="556">
        <f t="shared" si="18"/>
        <v>500000000</v>
      </c>
      <c r="BD82" s="67" t="s">
        <v>223</v>
      </c>
      <c r="BE82" s="67" t="s">
        <v>205</v>
      </c>
    </row>
    <row r="83" spans="1:57">
      <c r="A83" s="87"/>
      <c r="B83" s="81"/>
      <c r="C83" s="82"/>
      <c r="D83" s="82"/>
      <c r="E83" s="82"/>
      <c r="F83" s="82"/>
      <c r="G83" s="84"/>
      <c r="H83" s="84"/>
      <c r="I83" s="372">
        <f>SUM(I66)</f>
        <v>84.21052631578948</v>
      </c>
      <c r="J83" s="84"/>
      <c r="K83" s="84"/>
      <c r="L83" s="84"/>
      <c r="M83" s="84"/>
      <c r="N83" s="84"/>
      <c r="O83" s="129"/>
      <c r="P83" s="75"/>
      <c r="Q83" s="75"/>
      <c r="R83" s="75"/>
      <c r="S83" s="75"/>
      <c r="T83" s="126"/>
      <c r="U83" s="55"/>
      <c r="V83" s="126"/>
      <c r="W83" s="130"/>
      <c r="X83" s="131"/>
      <c r="Y83" s="132"/>
      <c r="Z83" s="110"/>
      <c r="AA83" s="110"/>
      <c r="AB83" s="110"/>
      <c r="AC83" s="349" t="s">
        <v>1453</v>
      </c>
      <c r="AD83" s="347">
        <f>+AD76</f>
        <v>31.25</v>
      </c>
      <c r="AE83" s="75"/>
      <c r="AF83" s="75"/>
      <c r="AG83" s="75"/>
      <c r="AH83" s="75"/>
      <c r="AI83" s="126"/>
      <c r="AJ83" s="436">
        <f>SUM(AJ76:AJ82)</f>
        <v>99.724999999999994</v>
      </c>
      <c r="AK83" s="436"/>
      <c r="AL83" s="436"/>
      <c r="AM83" s="436"/>
      <c r="AN83" s="436"/>
      <c r="AO83" s="126"/>
      <c r="AP83" s="55"/>
      <c r="AQ83" s="55"/>
      <c r="AR83" s="77"/>
      <c r="AS83" s="78"/>
      <c r="AT83" s="78"/>
      <c r="AU83" s="55"/>
      <c r="AV83" s="55"/>
      <c r="AW83" s="55"/>
      <c r="AX83" s="78"/>
      <c r="AY83" s="156">
        <f>SUM(AY76:AY82)</f>
        <v>13500000000</v>
      </c>
      <c r="AZ83" s="156">
        <f t="shared" ref="AZ83:BC83" si="19">SUM(AZ76:AZ82)</f>
        <v>9000000000</v>
      </c>
      <c r="BA83" s="156">
        <f t="shared" si="19"/>
        <v>1500000000</v>
      </c>
      <c r="BB83" s="156">
        <f t="shared" si="19"/>
        <v>1000000000</v>
      </c>
      <c r="BC83" s="156">
        <f t="shared" si="19"/>
        <v>25000000000</v>
      </c>
      <c r="BD83" s="55"/>
      <c r="BE83" s="55"/>
    </row>
    <row r="84" spans="1:57">
      <c r="A84" s="91"/>
      <c r="B84" s="92"/>
      <c r="C84" s="93"/>
      <c r="D84" s="93"/>
      <c r="E84" s="93"/>
      <c r="F84" s="93"/>
      <c r="G84" s="133"/>
      <c r="H84" s="91" t="s">
        <v>85</v>
      </c>
      <c r="I84" s="369">
        <f>+I66+I52+I34</f>
        <v>100</v>
      </c>
      <c r="J84" s="133"/>
      <c r="K84" s="133"/>
      <c r="L84" s="133"/>
      <c r="M84" s="133"/>
      <c r="N84" s="133"/>
      <c r="O84" s="412">
        <f>SUM(O66:O83)</f>
        <v>100.0625</v>
      </c>
      <c r="P84" s="88"/>
      <c r="Q84" s="88"/>
      <c r="R84" s="88"/>
      <c r="S84" s="88"/>
      <c r="T84" s="22"/>
      <c r="U84" s="89"/>
      <c r="V84" s="22"/>
      <c r="W84" s="135"/>
      <c r="X84" s="136"/>
      <c r="Y84" s="136"/>
      <c r="Z84" s="136"/>
      <c r="AA84" s="136"/>
      <c r="AB84" s="136"/>
      <c r="AC84" s="22"/>
      <c r="AD84" s="134"/>
      <c r="AE84" s="88"/>
      <c r="AF84" s="88"/>
      <c r="AG84" s="88"/>
      <c r="AH84" s="88"/>
      <c r="AI84" s="22"/>
      <c r="AJ84" s="373"/>
      <c r="AK84" s="373"/>
      <c r="AL84" s="373"/>
      <c r="AM84" s="373"/>
      <c r="AN84" s="373"/>
      <c r="AO84" s="22"/>
      <c r="AP84" s="89"/>
      <c r="AQ84" s="89"/>
      <c r="AR84" s="90"/>
      <c r="AS84" s="89"/>
      <c r="AT84" s="89"/>
      <c r="AU84" s="137"/>
      <c r="AV84" s="137"/>
      <c r="AW84" s="137"/>
      <c r="AX84" s="137"/>
      <c r="AY84" s="163">
        <f>+AY83+AY75</f>
        <v>77000000000</v>
      </c>
      <c r="AZ84" s="163">
        <f t="shared" ref="AZ84:BC84" si="20">+AZ83+AZ75</f>
        <v>57500000000</v>
      </c>
      <c r="BA84" s="163">
        <f t="shared" si="20"/>
        <v>43000000000</v>
      </c>
      <c r="BB84" s="163">
        <f t="shared" si="20"/>
        <v>9500000000</v>
      </c>
      <c r="BC84" s="163">
        <f t="shared" si="20"/>
        <v>187000000000</v>
      </c>
      <c r="BD84" s="89"/>
      <c r="BE84" s="89"/>
    </row>
    <row r="85" spans="1:57">
      <c r="A85" s="145" t="s">
        <v>176</v>
      </c>
      <c r="B85" s="344">
        <f>SUM(B34:B82)</f>
        <v>19</v>
      </c>
      <c r="C85" s="141"/>
      <c r="D85" s="141"/>
      <c r="E85" s="141"/>
      <c r="F85" s="141"/>
      <c r="G85" s="138"/>
      <c r="H85" s="138"/>
      <c r="I85" s="138"/>
      <c r="J85" s="138"/>
      <c r="K85" s="138"/>
      <c r="L85" s="138"/>
      <c r="M85" s="138"/>
      <c r="N85" s="138"/>
      <c r="O85" s="138"/>
      <c r="P85" s="138"/>
      <c r="Q85" s="138"/>
      <c r="R85" s="138"/>
      <c r="S85" s="138"/>
      <c r="T85" s="138"/>
      <c r="U85" s="138"/>
      <c r="V85" s="138"/>
      <c r="W85" s="138"/>
      <c r="X85" s="138"/>
      <c r="Y85" s="138"/>
      <c r="Z85" s="138"/>
      <c r="AA85" s="138"/>
      <c r="AB85" s="138"/>
      <c r="AC85" s="139"/>
      <c r="AD85" s="140"/>
      <c r="AE85" s="141"/>
      <c r="AF85" s="141"/>
      <c r="AG85" s="141"/>
      <c r="AH85" s="141"/>
      <c r="AI85" s="139"/>
      <c r="AJ85" s="374"/>
      <c r="AK85" s="374"/>
      <c r="AL85" s="374"/>
      <c r="AM85" s="374"/>
      <c r="AN85" s="374"/>
      <c r="AO85" s="139"/>
      <c r="AP85" s="142"/>
      <c r="AQ85" s="142"/>
      <c r="AR85" s="143"/>
      <c r="AS85" s="143"/>
      <c r="AT85" s="143"/>
      <c r="AU85" s="143"/>
      <c r="AV85" s="143"/>
      <c r="AW85" s="143"/>
      <c r="AX85" s="144"/>
      <c r="AY85" s="164">
        <f>+AY84+AY65+AY51</f>
        <v>93475886041.399994</v>
      </c>
      <c r="AZ85" s="164">
        <f t="shared" ref="AZ85:BC85" si="21">+AZ84+AZ65+AZ51</f>
        <v>65252192800</v>
      </c>
      <c r="BA85" s="164">
        <f t="shared" si="21"/>
        <v>47640929374</v>
      </c>
      <c r="BB85" s="164">
        <f t="shared" si="21"/>
        <v>12062863980.599998</v>
      </c>
      <c r="BC85" s="164">
        <f t="shared" si="21"/>
        <v>218431872196</v>
      </c>
      <c r="BD85" s="142"/>
      <c r="BE85" s="142"/>
    </row>
    <row r="86" spans="1:57" ht="91.5" customHeight="1">
      <c r="A86" s="157" t="s">
        <v>24</v>
      </c>
      <c r="B86" s="570">
        <v>44</v>
      </c>
      <c r="C86" s="570">
        <f>+B86*C4</f>
        <v>4.4000000000000004</v>
      </c>
      <c r="D86" s="570">
        <f>+B86*D4</f>
        <v>19.8</v>
      </c>
      <c r="E86" s="570">
        <f>+B86*E4</f>
        <v>11</v>
      </c>
      <c r="F86" s="570">
        <f>+B86*F4</f>
        <v>8.8000000000000007</v>
      </c>
      <c r="G86" s="189" t="s">
        <v>227</v>
      </c>
      <c r="H86" s="189" t="s">
        <v>228</v>
      </c>
      <c r="I86" s="202">
        <f>+(10*100)/44</f>
        <v>22.727272727272727</v>
      </c>
      <c r="J86" s="158">
        <f>+I86*C4</f>
        <v>2.2727272727272729</v>
      </c>
      <c r="K86" s="158">
        <f>+I86*D4</f>
        <v>10.227272727272727</v>
      </c>
      <c r="L86" s="158">
        <f>+I86*E4</f>
        <v>5.6818181818181817</v>
      </c>
      <c r="M86" s="158">
        <f>+I86*F4</f>
        <v>4.5454545454545459</v>
      </c>
      <c r="N86" s="157" t="s">
        <v>229</v>
      </c>
      <c r="O86" s="404">
        <f>+(2.25*100)/10</f>
        <v>22.5</v>
      </c>
      <c r="P86" s="158">
        <f>+O86*C4</f>
        <v>2.25</v>
      </c>
      <c r="Q86" s="158">
        <f>+O86*D4</f>
        <v>10.125</v>
      </c>
      <c r="R86" s="158">
        <f>+O86*E4</f>
        <v>5.625</v>
      </c>
      <c r="S86" s="158">
        <f>+O86*F4</f>
        <v>4.5</v>
      </c>
      <c r="T86" s="157" t="s">
        <v>230</v>
      </c>
      <c r="U86" s="198" t="s">
        <v>202</v>
      </c>
      <c r="V86" s="198" t="s">
        <v>88</v>
      </c>
      <c r="W86" s="573">
        <v>0.93899999999999995</v>
      </c>
      <c r="X86" s="574">
        <v>1</v>
      </c>
      <c r="Y86" s="302">
        <v>0.94</v>
      </c>
      <c r="Z86" s="575">
        <v>0.97499999999999998</v>
      </c>
      <c r="AA86" s="302">
        <v>0.98499999999999999</v>
      </c>
      <c r="AB86" s="302">
        <v>1</v>
      </c>
      <c r="AC86" s="157" t="s">
        <v>231</v>
      </c>
      <c r="AD86" s="404">
        <f>+(2.25*100)/10</f>
        <v>22.5</v>
      </c>
      <c r="AE86" s="158">
        <f>+AD86*C4</f>
        <v>2.25</v>
      </c>
      <c r="AF86" s="158">
        <f>+AD86*D4</f>
        <v>10.125</v>
      </c>
      <c r="AG86" s="158">
        <f>+AD86*E4</f>
        <v>5.625</v>
      </c>
      <c r="AH86" s="158">
        <f>+AD86*F4</f>
        <v>4.5</v>
      </c>
      <c r="AI86" s="146" t="s">
        <v>232</v>
      </c>
      <c r="AJ86" s="188">
        <f>+(0.75*100)/2.5</f>
        <v>30</v>
      </c>
      <c r="AK86" s="188">
        <f>+AJ86*C4</f>
        <v>3</v>
      </c>
      <c r="AL86" s="188">
        <f>+AJ86*D4</f>
        <v>13.5</v>
      </c>
      <c r="AM86" s="188">
        <f>+AJ86*E4</f>
        <v>7.5</v>
      </c>
      <c r="AN86" s="188">
        <f>+AJ86*F4</f>
        <v>6</v>
      </c>
      <c r="AO86" s="146" t="s">
        <v>234</v>
      </c>
      <c r="AP86" s="146" t="s">
        <v>202</v>
      </c>
      <c r="AQ86" s="146" t="s">
        <v>88</v>
      </c>
      <c r="AR86" s="576">
        <v>0.93899999999999995</v>
      </c>
      <c r="AS86" s="366">
        <v>1</v>
      </c>
      <c r="AT86" s="366">
        <v>1</v>
      </c>
      <c r="AU86" s="366">
        <v>1</v>
      </c>
      <c r="AV86" s="366">
        <v>1</v>
      </c>
      <c r="AW86" s="366">
        <v>1</v>
      </c>
      <c r="AX86" s="366">
        <v>1</v>
      </c>
      <c r="AY86" s="577">
        <v>1000000000</v>
      </c>
      <c r="AZ86" s="578">
        <v>0</v>
      </c>
      <c r="BA86" s="578">
        <v>0</v>
      </c>
      <c r="BB86" s="578">
        <v>0</v>
      </c>
      <c r="BC86" s="578">
        <f>SUM(AY86:BB86)</f>
        <v>1000000000</v>
      </c>
      <c r="BD86" s="146" t="s">
        <v>236</v>
      </c>
      <c r="BE86" s="146" t="s">
        <v>237</v>
      </c>
    </row>
    <row r="87" spans="1:57" ht="36" customHeight="1">
      <c r="A87" s="571"/>
      <c r="B87" s="572"/>
      <c r="C87" s="572"/>
      <c r="D87" s="572"/>
      <c r="E87" s="572"/>
      <c r="F87" s="572"/>
      <c r="G87" s="572"/>
      <c r="H87" s="572"/>
      <c r="I87" s="572"/>
      <c r="J87" s="572"/>
      <c r="K87" s="572"/>
      <c r="L87" s="572"/>
      <c r="M87" s="572"/>
      <c r="N87" s="5"/>
      <c r="O87" s="5"/>
      <c r="P87" s="5"/>
      <c r="Q87" s="5"/>
      <c r="R87" s="5"/>
      <c r="S87" s="5"/>
      <c r="T87" s="5"/>
      <c r="U87" s="193"/>
      <c r="V87" s="193"/>
      <c r="W87" s="579"/>
      <c r="X87" s="579"/>
      <c r="Y87" s="579"/>
      <c r="Z87" s="579"/>
      <c r="AA87" s="579"/>
      <c r="AB87" s="579"/>
      <c r="AC87" s="5"/>
      <c r="AD87" s="572"/>
      <c r="AE87" s="5"/>
      <c r="AF87" s="5"/>
      <c r="AG87" s="5"/>
      <c r="AH87" s="5"/>
      <c r="AI87" s="157" t="s">
        <v>233</v>
      </c>
      <c r="AJ87" s="188">
        <f>+(1.75*100)/2.5</f>
        <v>70</v>
      </c>
      <c r="AK87" s="188">
        <f>+AJ87*C4</f>
        <v>7</v>
      </c>
      <c r="AL87" s="188">
        <f>+AJ87*D4</f>
        <v>31.5</v>
      </c>
      <c r="AM87" s="188">
        <f>+AJ87*E4</f>
        <v>17.5</v>
      </c>
      <c r="AN87" s="188">
        <f>+AJ87*F4</f>
        <v>14</v>
      </c>
      <c r="AO87" s="157" t="s">
        <v>235</v>
      </c>
      <c r="AP87" s="198" t="s">
        <v>202</v>
      </c>
      <c r="AQ87" s="157" t="s">
        <v>88</v>
      </c>
      <c r="AR87" s="580">
        <v>0.93859999999999999</v>
      </c>
      <c r="AS87" s="341">
        <v>1</v>
      </c>
      <c r="AT87" s="341">
        <f>[2]SOCIOCULTURAL!AF5</f>
        <v>1</v>
      </c>
      <c r="AU87" s="366">
        <f>[2]SOCIOCULTURAL!AG5</f>
        <v>1</v>
      </c>
      <c r="AV87" s="366">
        <f>[2]SOCIOCULTURAL!AH5</f>
        <v>1</v>
      </c>
      <c r="AW87" s="366">
        <f>[2]SOCIOCULTURAL!AI5</f>
        <v>1</v>
      </c>
      <c r="AX87" s="341">
        <v>1</v>
      </c>
      <c r="AY87" s="581">
        <v>1000000000</v>
      </c>
      <c r="AZ87" s="581">
        <v>0</v>
      </c>
      <c r="BA87" s="581">
        <v>0</v>
      </c>
      <c r="BB87" s="581">
        <v>0</v>
      </c>
      <c r="BC87" s="578">
        <f>SUM(AY87:BB87)</f>
        <v>1000000000</v>
      </c>
      <c r="BD87" s="198" t="s">
        <v>236</v>
      </c>
      <c r="BE87" s="198" t="s">
        <v>237</v>
      </c>
    </row>
    <row r="88" spans="1:57">
      <c r="A88" s="571"/>
      <c r="B88" s="572"/>
      <c r="C88" s="572"/>
      <c r="D88" s="572"/>
      <c r="E88" s="572"/>
      <c r="F88" s="572"/>
      <c r="G88" s="572"/>
      <c r="H88" s="572"/>
      <c r="I88" s="572"/>
      <c r="J88" s="572"/>
      <c r="K88" s="572"/>
      <c r="L88" s="572"/>
      <c r="M88" s="572"/>
      <c r="N88" s="55"/>
      <c r="O88" s="110"/>
      <c r="P88" s="110"/>
      <c r="Q88" s="110"/>
      <c r="R88" s="110"/>
      <c r="S88" s="110"/>
      <c r="T88" s="55"/>
      <c r="U88" s="55"/>
      <c r="V88" s="55"/>
      <c r="W88" s="130"/>
      <c r="X88" s="131"/>
      <c r="Y88" s="110"/>
      <c r="Z88" s="110"/>
      <c r="AA88" s="110"/>
      <c r="AB88" s="110"/>
      <c r="AC88" s="349" t="s">
        <v>1453</v>
      </c>
      <c r="AD88" s="420">
        <f>+AD86</f>
        <v>22.5</v>
      </c>
      <c r="AE88" s="174"/>
      <c r="AF88" s="174"/>
      <c r="AG88" s="174"/>
      <c r="AH88" s="165"/>
      <c r="AI88" s="174"/>
      <c r="AJ88" s="217">
        <f>SUM(AJ86:AJ87)</f>
        <v>100</v>
      </c>
      <c r="AK88" s="217"/>
      <c r="AL88" s="217"/>
      <c r="AM88" s="217"/>
      <c r="AN88" s="217"/>
      <c r="AO88" s="174"/>
      <c r="AP88" s="186"/>
      <c r="AQ88" s="174"/>
      <c r="AR88" s="174"/>
      <c r="AS88" s="174"/>
      <c r="AT88" s="175"/>
      <c r="AU88" s="175"/>
      <c r="AV88" s="175"/>
      <c r="AW88" s="175"/>
      <c r="AX88" s="175"/>
      <c r="AY88" s="176">
        <f>SUM(AY86:AY87)</f>
        <v>2000000000</v>
      </c>
      <c r="AZ88" s="176">
        <f t="shared" ref="AZ88:BC88" si="22">SUM(AZ86:AZ87)</f>
        <v>0</v>
      </c>
      <c r="BA88" s="176">
        <f t="shared" si="22"/>
        <v>0</v>
      </c>
      <c r="BB88" s="176">
        <f t="shared" si="22"/>
        <v>0</v>
      </c>
      <c r="BC88" s="176">
        <f t="shared" si="22"/>
        <v>2000000000</v>
      </c>
      <c r="BD88" s="174"/>
      <c r="BE88" s="174"/>
    </row>
    <row r="89" spans="1:57" ht="67.5" customHeight="1">
      <c r="A89" s="571"/>
      <c r="B89" s="572"/>
      <c r="C89" s="572"/>
      <c r="D89" s="572"/>
      <c r="E89" s="572"/>
      <c r="F89" s="572"/>
      <c r="G89" s="572"/>
      <c r="H89" s="572"/>
      <c r="I89" s="572"/>
      <c r="J89" s="572"/>
      <c r="K89" s="572"/>
      <c r="L89" s="572"/>
      <c r="M89" s="572"/>
      <c r="N89" s="157" t="s">
        <v>238</v>
      </c>
      <c r="O89" s="404">
        <f>+(1.25*100)/10</f>
        <v>12.5</v>
      </c>
      <c r="P89" s="158">
        <f>+O89*C4</f>
        <v>1.25</v>
      </c>
      <c r="Q89" s="158">
        <f>+O89*D4</f>
        <v>5.625</v>
      </c>
      <c r="R89" s="158">
        <f>+O89*E4</f>
        <v>3.125</v>
      </c>
      <c r="S89" s="158">
        <f>+O89*F4</f>
        <v>2.5</v>
      </c>
      <c r="T89" s="157" t="s">
        <v>239</v>
      </c>
      <c r="U89" s="198" t="s">
        <v>202</v>
      </c>
      <c r="V89" s="157" t="s">
        <v>88</v>
      </c>
      <c r="W89" s="198" t="s">
        <v>221</v>
      </c>
      <c r="X89" s="573">
        <v>1</v>
      </c>
      <c r="Y89" s="573">
        <v>1</v>
      </c>
      <c r="Z89" s="573">
        <v>1</v>
      </c>
      <c r="AA89" s="573">
        <v>1</v>
      </c>
      <c r="AB89" s="573">
        <v>1</v>
      </c>
      <c r="AC89" s="157" t="s">
        <v>240</v>
      </c>
      <c r="AD89" s="404">
        <f>+(2*100)/10</f>
        <v>20</v>
      </c>
      <c r="AE89" s="158">
        <f>+AD89*C4</f>
        <v>2</v>
      </c>
      <c r="AF89" s="158">
        <f>+AD89*D4</f>
        <v>9</v>
      </c>
      <c r="AG89" s="158">
        <f>+AD89*E4</f>
        <v>5</v>
      </c>
      <c r="AH89" s="158">
        <f>+AD89*F4</f>
        <v>4</v>
      </c>
      <c r="AI89" s="147" t="s">
        <v>241</v>
      </c>
      <c r="AJ89" s="582">
        <f>+(0.002*100)/2</f>
        <v>0.1</v>
      </c>
      <c r="AK89" s="582">
        <f>+AJ89*C4</f>
        <v>1.0000000000000002E-2</v>
      </c>
      <c r="AL89" s="582">
        <f>+AJ89*D4</f>
        <v>4.5000000000000005E-2</v>
      </c>
      <c r="AM89" s="582">
        <f>+AJ89*E4</f>
        <v>2.5000000000000001E-2</v>
      </c>
      <c r="AN89" s="582">
        <f>+AJ89*F4</f>
        <v>2.0000000000000004E-2</v>
      </c>
      <c r="AO89" s="583" t="s">
        <v>255</v>
      </c>
      <c r="AP89" s="146" t="s">
        <v>203</v>
      </c>
      <c r="AQ89" s="157" t="s">
        <v>88</v>
      </c>
      <c r="AR89" s="366">
        <v>1</v>
      </c>
      <c r="AS89" s="366">
        <v>1</v>
      </c>
      <c r="AT89" s="366">
        <v>1</v>
      </c>
      <c r="AU89" s="366">
        <v>1</v>
      </c>
      <c r="AV89" s="366">
        <v>1</v>
      </c>
      <c r="AW89" s="366">
        <v>1</v>
      </c>
      <c r="AX89" s="366">
        <v>1</v>
      </c>
      <c r="AY89" s="303">
        <f>[2]SOCIOCULTURAL!AP7</f>
        <v>154435900</v>
      </c>
      <c r="AZ89" s="303">
        <v>133155000</v>
      </c>
      <c r="BA89" s="303">
        <v>135215100</v>
      </c>
      <c r="BB89" s="303">
        <v>137220342</v>
      </c>
      <c r="BC89" s="584">
        <f>SUM(AY89:BB89)</f>
        <v>560026342</v>
      </c>
      <c r="BD89" s="146" t="s">
        <v>236</v>
      </c>
      <c r="BE89" s="146" t="s">
        <v>237</v>
      </c>
    </row>
    <row r="90" spans="1:57" ht="33.75">
      <c r="A90" s="571"/>
      <c r="B90" s="572"/>
      <c r="C90" s="572"/>
      <c r="D90" s="572"/>
      <c r="E90" s="572"/>
      <c r="F90" s="572"/>
      <c r="G90" s="572"/>
      <c r="H90" s="572"/>
      <c r="I90" s="572"/>
      <c r="J90" s="572"/>
      <c r="K90" s="572"/>
      <c r="L90" s="572"/>
      <c r="M90" s="572"/>
      <c r="N90" s="4"/>
      <c r="O90" s="4"/>
      <c r="P90" s="4"/>
      <c r="Q90" s="4"/>
      <c r="R90" s="4"/>
      <c r="S90" s="4"/>
      <c r="T90" s="4"/>
      <c r="U90" s="4"/>
      <c r="V90" s="4"/>
      <c r="W90" s="4"/>
      <c r="X90" s="585"/>
      <c r="Y90" s="572"/>
      <c r="Z90" s="572"/>
      <c r="AA90" s="572"/>
      <c r="AB90" s="572"/>
      <c r="AC90" s="4"/>
      <c r="AD90" s="586"/>
      <c r="AE90" s="587"/>
      <c r="AF90" s="587"/>
      <c r="AG90" s="587"/>
      <c r="AH90" s="587"/>
      <c r="AI90" s="147" t="s">
        <v>242</v>
      </c>
      <c r="AJ90" s="582">
        <f t="shared" ref="AJ90:AJ92" si="23">+(0.002*100)/2</f>
        <v>0.1</v>
      </c>
      <c r="AK90" s="582">
        <f>+AJ90*C4</f>
        <v>1.0000000000000002E-2</v>
      </c>
      <c r="AL90" s="582">
        <f>+AJ90*D4</f>
        <v>4.5000000000000005E-2</v>
      </c>
      <c r="AM90" s="582">
        <f>+AJ90*E4</f>
        <v>2.5000000000000001E-2</v>
      </c>
      <c r="AN90" s="582">
        <f>+AJ90*F4</f>
        <v>2.0000000000000004E-2</v>
      </c>
      <c r="AO90" s="583" t="s">
        <v>256</v>
      </c>
      <c r="AP90" s="146" t="s">
        <v>203</v>
      </c>
      <c r="AQ90" s="157" t="s">
        <v>88</v>
      </c>
      <c r="AR90" s="366">
        <v>1</v>
      </c>
      <c r="AS90" s="366">
        <v>1</v>
      </c>
      <c r="AT90" s="366">
        <v>1</v>
      </c>
      <c r="AU90" s="366">
        <v>1</v>
      </c>
      <c r="AV90" s="366">
        <v>1</v>
      </c>
      <c r="AW90" s="366">
        <v>1</v>
      </c>
      <c r="AX90" s="366">
        <v>1</v>
      </c>
      <c r="AY90" s="271"/>
      <c r="AZ90" s="271"/>
      <c r="BA90" s="271"/>
      <c r="BB90" s="271"/>
      <c r="BC90" s="584">
        <f t="shared" ref="BC90:BC102" si="24">SUM(AY90:BB90)</f>
        <v>0</v>
      </c>
      <c r="BD90" s="588" t="s">
        <v>236</v>
      </c>
      <c r="BE90" s="588" t="s">
        <v>237</v>
      </c>
    </row>
    <row r="91" spans="1:57" ht="70.5" customHeight="1">
      <c r="A91" s="571"/>
      <c r="B91" s="572"/>
      <c r="C91" s="572"/>
      <c r="D91" s="572"/>
      <c r="E91" s="572"/>
      <c r="F91" s="572"/>
      <c r="G91" s="572"/>
      <c r="H91" s="572"/>
      <c r="I91" s="572"/>
      <c r="J91" s="572"/>
      <c r="K91" s="572"/>
      <c r="L91" s="572"/>
      <c r="M91" s="572"/>
      <c r="N91" s="4"/>
      <c r="O91" s="4"/>
      <c r="P91" s="4"/>
      <c r="Q91" s="4"/>
      <c r="R91" s="4"/>
      <c r="S91" s="4"/>
      <c r="T91" s="4"/>
      <c r="U91" s="4"/>
      <c r="V91" s="4"/>
      <c r="W91" s="4"/>
      <c r="X91" s="585"/>
      <c r="Y91" s="572"/>
      <c r="Z91" s="572"/>
      <c r="AA91" s="572"/>
      <c r="AB91" s="572"/>
      <c r="AC91" s="4"/>
      <c r="AD91" s="587"/>
      <c r="AE91" s="587"/>
      <c r="AF91" s="587"/>
      <c r="AG91" s="587"/>
      <c r="AH91" s="587"/>
      <c r="AI91" s="147" t="s">
        <v>243</v>
      </c>
      <c r="AJ91" s="582">
        <f t="shared" si="23"/>
        <v>0.1</v>
      </c>
      <c r="AK91" s="582">
        <f>+AJ91*C4</f>
        <v>1.0000000000000002E-2</v>
      </c>
      <c r="AL91" s="582">
        <f>+AJ91*D4</f>
        <v>4.5000000000000005E-2</v>
      </c>
      <c r="AM91" s="582">
        <f>+AJ91*E4</f>
        <v>2.5000000000000001E-2</v>
      </c>
      <c r="AN91" s="582">
        <f>+AJ91*F4</f>
        <v>2.0000000000000004E-2</v>
      </c>
      <c r="AO91" s="583" t="s">
        <v>257</v>
      </c>
      <c r="AP91" s="146" t="s">
        <v>202</v>
      </c>
      <c r="AQ91" s="157" t="s">
        <v>88</v>
      </c>
      <c r="AR91" s="146" t="s">
        <v>269</v>
      </c>
      <c r="AS91" s="366">
        <v>1</v>
      </c>
      <c r="AT91" s="366">
        <v>1</v>
      </c>
      <c r="AU91" s="366">
        <v>1</v>
      </c>
      <c r="AV91" s="366">
        <v>1</v>
      </c>
      <c r="AW91" s="366">
        <v>1</v>
      </c>
      <c r="AX91" s="366">
        <v>1</v>
      </c>
      <c r="AY91" s="271"/>
      <c r="AZ91" s="271"/>
      <c r="BA91" s="271"/>
      <c r="BB91" s="271"/>
      <c r="BC91" s="584">
        <f t="shared" si="24"/>
        <v>0</v>
      </c>
      <c r="BD91" s="588" t="s">
        <v>236</v>
      </c>
      <c r="BE91" s="588" t="s">
        <v>237</v>
      </c>
    </row>
    <row r="92" spans="1:57" ht="78.75" customHeight="1">
      <c r="A92" s="571"/>
      <c r="B92" s="572"/>
      <c r="C92" s="572"/>
      <c r="D92" s="572"/>
      <c r="E92" s="572"/>
      <c r="F92" s="572"/>
      <c r="G92" s="572"/>
      <c r="H92" s="572"/>
      <c r="I92" s="572"/>
      <c r="J92" s="572"/>
      <c r="K92" s="572"/>
      <c r="L92" s="572"/>
      <c r="M92" s="572"/>
      <c r="N92" s="4"/>
      <c r="O92" s="4"/>
      <c r="P92" s="4"/>
      <c r="Q92" s="4"/>
      <c r="R92" s="4"/>
      <c r="S92" s="4"/>
      <c r="T92" s="4"/>
      <c r="U92" s="4"/>
      <c r="V92" s="4"/>
      <c r="W92" s="4"/>
      <c r="X92" s="585"/>
      <c r="Y92" s="572"/>
      <c r="Z92" s="572"/>
      <c r="AA92" s="572"/>
      <c r="AB92" s="572"/>
      <c r="AC92" s="4"/>
      <c r="AD92" s="587"/>
      <c r="AE92" s="587"/>
      <c r="AF92" s="587"/>
      <c r="AG92" s="587"/>
      <c r="AH92" s="587"/>
      <c r="AI92" s="147" t="s">
        <v>244</v>
      </c>
      <c r="AJ92" s="582">
        <f t="shared" si="23"/>
        <v>0.1</v>
      </c>
      <c r="AK92" s="582">
        <f>+AJ92*C4</f>
        <v>1.0000000000000002E-2</v>
      </c>
      <c r="AL92" s="582">
        <f>+AJ92*D4</f>
        <v>4.5000000000000005E-2</v>
      </c>
      <c r="AM92" s="582">
        <f>+AJ92*E4</f>
        <v>2.5000000000000001E-2</v>
      </c>
      <c r="AN92" s="582">
        <f>+AJ92*F4</f>
        <v>2.0000000000000004E-2</v>
      </c>
      <c r="AO92" s="583" t="s">
        <v>258</v>
      </c>
      <c r="AP92" s="146" t="s">
        <v>202</v>
      </c>
      <c r="AQ92" s="157" t="s">
        <v>88</v>
      </c>
      <c r="AR92" s="146" t="s">
        <v>270</v>
      </c>
      <c r="AS92" s="366">
        <v>1</v>
      </c>
      <c r="AT92" s="366">
        <v>1</v>
      </c>
      <c r="AU92" s="366">
        <v>1</v>
      </c>
      <c r="AV92" s="366">
        <v>1</v>
      </c>
      <c r="AW92" s="366">
        <v>1</v>
      </c>
      <c r="AX92" s="366">
        <v>1</v>
      </c>
      <c r="AY92" s="70"/>
      <c r="AZ92" s="70"/>
      <c r="BA92" s="70"/>
      <c r="BB92" s="70"/>
      <c r="BC92" s="584">
        <f t="shared" si="24"/>
        <v>0</v>
      </c>
      <c r="BD92" s="588" t="s">
        <v>236</v>
      </c>
      <c r="BE92" s="588" t="s">
        <v>237</v>
      </c>
    </row>
    <row r="93" spans="1:57" ht="33.75" customHeight="1">
      <c r="A93" s="571"/>
      <c r="B93" s="572"/>
      <c r="C93" s="572"/>
      <c r="D93" s="572"/>
      <c r="E93" s="572"/>
      <c r="F93" s="572"/>
      <c r="G93" s="572"/>
      <c r="H93" s="572"/>
      <c r="I93" s="572"/>
      <c r="J93" s="572"/>
      <c r="K93" s="572"/>
      <c r="L93" s="572"/>
      <c r="M93" s="572"/>
      <c r="N93" s="4"/>
      <c r="O93" s="4"/>
      <c r="P93" s="4"/>
      <c r="Q93" s="4"/>
      <c r="R93" s="4"/>
      <c r="S93" s="4"/>
      <c r="T93" s="4"/>
      <c r="U93" s="4"/>
      <c r="V93" s="4"/>
      <c r="W93" s="4"/>
      <c r="X93" s="585"/>
      <c r="Y93" s="572"/>
      <c r="Z93" s="572"/>
      <c r="AA93" s="572"/>
      <c r="AB93" s="572"/>
      <c r="AC93" s="4"/>
      <c r="AD93" s="587"/>
      <c r="AE93" s="587"/>
      <c r="AF93" s="587"/>
      <c r="AG93" s="587"/>
      <c r="AH93" s="587"/>
      <c r="AI93" s="147" t="s">
        <v>245</v>
      </c>
      <c r="AJ93" s="582">
        <f>+(0.019*100)/2</f>
        <v>0.95</v>
      </c>
      <c r="AK93" s="582">
        <f>+AJ93*C4</f>
        <v>9.5000000000000001E-2</v>
      </c>
      <c r="AL93" s="582">
        <f>+AJ93*D4</f>
        <v>0.42749999999999999</v>
      </c>
      <c r="AM93" s="582">
        <f>+AJ93*E4</f>
        <v>0.23749999999999999</v>
      </c>
      <c r="AN93" s="582">
        <f>+AJ93*F4</f>
        <v>0.19</v>
      </c>
      <c r="AO93" s="583" t="s">
        <v>259</v>
      </c>
      <c r="AP93" s="268" t="s">
        <v>202</v>
      </c>
      <c r="AQ93" s="157" t="s">
        <v>88</v>
      </c>
      <c r="AR93" s="341" t="s">
        <v>221</v>
      </c>
      <c r="AS93" s="366">
        <v>1</v>
      </c>
      <c r="AT93" s="366">
        <v>1</v>
      </c>
      <c r="AU93" s="366">
        <v>1</v>
      </c>
      <c r="AV93" s="366">
        <v>1</v>
      </c>
      <c r="AW93" s="366">
        <v>1</v>
      </c>
      <c r="AX93" s="366">
        <v>1</v>
      </c>
      <c r="AY93" s="272">
        <f>[2]SOCIOCULTURAL!AP11</f>
        <v>250000000</v>
      </c>
      <c r="AZ93" s="272">
        <v>250000000</v>
      </c>
      <c r="BA93" s="272">
        <v>0</v>
      </c>
      <c r="BB93" s="272">
        <v>0</v>
      </c>
      <c r="BC93" s="584">
        <f t="shared" si="24"/>
        <v>500000000</v>
      </c>
      <c r="BD93" s="588" t="s">
        <v>236</v>
      </c>
      <c r="BE93" s="588" t="s">
        <v>237</v>
      </c>
    </row>
    <row r="94" spans="1:57" ht="45">
      <c r="A94" s="571"/>
      <c r="B94" s="572"/>
      <c r="C94" s="572"/>
      <c r="D94" s="572"/>
      <c r="E94" s="572"/>
      <c r="F94" s="572"/>
      <c r="G94" s="572"/>
      <c r="H94" s="572"/>
      <c r="I94" s="572"/>
      <c r="J94" s="572"/>
      <c r="K94" s="572"/>
      <c r="L94" s="572"/>
      <c r="M94" s="572"/>
      <c r="N94" s="4"/>
      <c r="O94" s="4"/>
      <c r="P94" s="4"/>
      <c r="Q94" s="4"/>
      <c r="R94" s="4"/>
      <c r="S94" s="4"/>
      <c r="T94" s="4"/>
      <c r="U94" s="4"/>
      <c r="V94" s="4"/>
      <c r="W94" s="4"/>
      <c r="X94" s="585"/>
      <c r="Y94" s="572"/>
      <c r="Z94" s="572"/>
      <c r="AA94" s="572"/>
      <c r="AB94" s="572"/>
      <c r="AC94" s="4"/>
      <c r="AD94" s="587"/>
      <c r="AE94" s="587"/>
      <c r="AF94" s="587"/>
      <c r="AG94" s="587"/>
      <c r="AH94" s="587"/>
      <c r="AI94" s="147" t="s">
        <v>246</v>
      </c>
      <c r="AJ94" s="582">
        <f>+(0.758*100)/2</f>
        <v>37.9</v>
      </c>
      <c r="AK94" s="582">
        <f>+AJ94*C4</f>
        <v>3.79</v>
      </c>
      <c r="AL94" s="582">
        <f>+AJ94*D4</f>
        <v>17.055</v>
      </c>
      <c r="AM94" s="582">
        <f>+AJ94*E4</f>
        <v>9.4749999999999996</v>
      </c>
      <c r="AN94" s="582">
        <f>+AJ94*F4</f>
        <v>7.58</v>
      </c>
      <c r="AO94" s="583" t="s">
        <v>260</v>
      </c>
      <c r="AP94" s="268" t="s">
        <v>202</v>
      </c>
      <c r="AQ94" s="157" t="s">
        <v>88</v>
      </c>
      <c r="AR94" s="269">
        <v>0.45</v>
      </c>
      <c r="AS94" s="366">
        <v>1</v>
      </c>
      <c r="AT94" s="366">
        <v>0.72750000000000004</v>
      </c>
      <c r="AU94" s="366">
        <v>0.88375000000000004</v>
      </c>
      <c r="AV94" s="366">
        <v>0.94000000000000006</v>
      </c>
      <c r="AW94" s="366">
        <v>1</v>
      </c>
      <c r="AX94" s="265">
        <v>0.55000000000000004</v>
      </c>
      <c r="AY94" s="272">
        <f>[2]SOCIOCULTURAL!AP12</f>
        <v>13700000000</v>
      </c>
      <c r="AZ94" s="272">
        <v>6000000000</v>
      </c>
      <c r="BA94" s="272">
        <v>2300000000</v>
      </c>
      <c r="BB94" s="272">
        <v>4000000000</v>
      </c>
      <c r="BC94" s="584">
        <f t="shared" si="24"/>
        <v>26000000000</v>
      </c>
      <c r="BD94" s="588" t="s">
        <v>236</v>
      </c>
      <c r="BE94" s="588" t="s">
        <v>237</v>
      </c>
    </row>
    <row r="95" spans="1:57" ht="45" customHeight="1">
      <c r="A95" s="571"/>
      <c r="B95" s="572"/>
      <c r="C95" s="572"/>
      <c r="D95" s="572"/>
      <c r="E95" s="572"/>
      <c r="F95" s="572"/>
      <c r="G95" s="572"/>
      <c r="H95" s="572"/>
      <c r="I95" s="572"/>
      <c r="J95" s="572"/>
      <c r="K95" s="572"/>
      <c r="L95" s="572"/>
      <c r="M95" s="572"/>
      <c r="N95" s="4"/>
      <c r="O95" s="4"/>
      <c r="P95" s="4"/>
      <c r="Q95" s="4"/>
      <c r="R95" s="4"/>
      <c r="S95" s="4"/>
      <c r="T95" s="4"/>
      <c r="U95" s="4"/>
      <c r="V95" s="4"/>
      <c r="W95" s="4"/>
      <c r="X95" s="585"/>
      <c r="Y95" s="572"/>
      <c r="Z95" s="572"/>
      <c r="AA95" s="572"/>
      <c r="AB95" s="572"/>
      <c r="AC95" s="4"/>
      <c r="AD95" s="587"/>
      <c r="AE95" s="587"/>
      <c r="AF95" s="587"/>
      <c r="AG95" s="587"/>
      <c r="AH95" s="587"/>
      <c r="AI95" s="147" t="s">
        <v>247</v>
      </c>
      <c r="AJ95" s="582">
        <f>+(0.454*100)/2</f>
        <v>22.7</v>
      </c>
      <c r="AK95" s="582">
        <f>+AJ95*C4</f>
        <v>2.27</v>
      </c>
      <c r="AL95" s="582">
        <f>+AJ95*D4</f>
        <v>10.215</v>
      </c>
      <c r="AM95" s="582">
        <f>+AJ95*E4</f>
        <v>5.6749999999999998</v>
      </c>
      <c r="AN95" s="582">
        <f>+AJ95*F4</f>
        <v>4.54</v>
      </c>
      <c r="AO95" s="583" t="s">
        <v>261</v>
      </c>
      <c r="AP95" s="146" t="s">
        <v>202</v>
      </c>
      <c r="AQ95" s="157" t="s">
        <v>88</v>
      </c>
      <c r="AR95" s="366">
        <v>0.2</v>
      </c>
      <c r="AS95" s="366">
        <v>1</v>
      </c>
      <c r="AT95" s="366">
        <v>0.60000000000000009</v>
      </c>
      <c r="AU95" s="366">
        <v>0.70000000000000007</v>
      </c>
      <c r="AV95" s="366">
        <v>0.90000000000000013</v>
      </c>
      <c r="AW95" s="366">
        <v>1.0000000000000002</v>
      </c>
      <c r="AX95" s="366">
        <v>0.8</v>
      </c>
      <c r="AY95" s="589">
        <f>[2]SOCIOCULTURAL!AP13</f>
        <v>8000000000</v>
      </c>
      <c r="AZ95" s="589">
        <v>2000000000</v>
      </c>
      <c r="BA95" s="589">
        <v>4000000000</v>
      </c>
      <c r="BB95" s="589">
        <v>2000000000</v>
      </c>
      <c r="BC95" s="584">
        <f t="shared" si="24"/>
        <v>16000000000</v>
      </c>
      <c r="BD95" s="146" t="s">
        <v>236</v>
      </c>
      <c r="BE95" s="146" t="s">
        <v>237</v>
      </c>
    </row>
    <row r="96" spans="1:57" ht="56.25" customHeight="1">
      <c r="A96" s="571"/>
      <c r="B96" s="572"/>
      <c r="C96" s="572"/>
      <c r="D96" s="572"/>
      <c r="E96" s="572"/>
      <c r="F96" s="572"/>
      <c r="G96" s="572"/>
      <c r="H96" s="572"/>
      <c r="I96" s="572"/>
      <c r="J96" s="572"/>
      <c r="K96" s="572"/>
      <c r="L96" s="572"/>
      <c r="M96" s="572"/>
      <c r="N96" s="4"/>
      <c r="O96" s="4"/>
      <c r="P96" s="4"/>
      <c r="Q96" s="4"/>
      <c r="R96" s="4"/>
      <c r="S96" s="4"/>
      <c r="T96" s="4"/>
      <c r="U96" s="4"/>
      <c r="V96" s="4"/>
      <c r="W96" s="4"/>
      <c r="X96" s="585"/>
      <c r="Y96" s="572"/>
      <c r="Z96" s="572"/>
      <c r="AA96" s="572"/>
      <c r="AB96" s="572"/>
      <c r="AC96" s="4"/>
      <c r="AD96" s="587"/>
      <c r="AE96" s="587"/>
      <c r="AF96" s="587"/>
      <c r="AG96" s="587"/>
      <c r="AH96" s="587"/>
      <c r="AI96" s="147" t="s">
        <v>248</v>
      </c>
      <c r="AJ96" s="582">
        <f>+(0.004*100)/2</f>
        <v>0.2</v>
      </c>
      <c r="AK96" s="582">
        <v>0</v>
      </c>
      <c r="AL96" s="582">
        <v>0.11</v>
      </c>
      <c r="AM96" s="582">
        <v>0.09</v>
      </c>
      <c r="AN96" s="582">
        <v>0</v>
      </c>
      <c r="AO96" s="583" t="s">
        <v>262</v>
      </c>
      <c r="AP96" s="146" t="s">
        <v>202</v>
      </c>
      <c r="AQ96" s="146" t="s">
        <v>87</v>
      </c>
      <c r="AR96" s="146">
        <v>0</v>
      </c>
      <c r="AS96" s="146">
        <v>1</v>
      </c>
      <c r="AT96" s="146">
        <v>0</v>
      </c>
      <c r="AU96" s="146">
        <v>1</v>
      </c>
      <c r="AV96" s="146">
        <v>1</v>
      </c>
      <c r="AW96" s="146">
        <v>0</v>
      </c>
      <c r="AX96" s="146">
        <v>1</v>
      </c>
      <c r="AY96" s="589">
        <f>[2]SOCIOCULTURAL!AP14</f>
        <v>0</v>
      </c>
      <c r="AZ96" s="589">
        <v>0</v>
      </c>
      <c r="BA96" s="589">
        <v>0</v>
      </c>
      <c r="BB96" s="589">
        <v>0</v>
      </c>
      <c r="BC96" s="584">
        <f t="shared" si="24"/>
        <v>0</v>
      </c>
      <c r="BD96" s="146" t="s">
        <v>236</v>
      </c>
      <c r="BE96" s="146" t="s">
        <v>237</v>
      </c>
    </row>
    <row r="97" spans="1:57" ht="45">
      <c r="A97" s="571"/>
      <c r="B97" s="572"/>
      <c r="C97" s="572"/>
      <c r="D97" s="572"/>
      <c r="E97" s="572"/>
      <c r="F97" s="572"/>
      <c r="G97" s="572"/>
      <c r="H97" s="572"/>
      <c r="I97" s="572"/>
      <c r="J97" s="572"/>
      <c r="K97" s="572"/>
      <c r="L97" s="572"/>
      <c r="M97" s="572"/>
      <c r="N97" s="4"/>
      <c r="O97" s="4"/>
      <c r="P97" s="4"/>
      <c r="Q97" s="4"/>
      <c r="R97" s="4"/>
      <c r="S97" s="4"/>
      <c r="T97" s="4"/>
      <c r="U97" s="4"/>
      <c r="V97" s="4"/>
      <c r="W97" s="4"/>
      <c r="X97" s="585"/>
      <c r="Y97" s="572"/>
      <c r="Z97" s="572"/>
      <c r="AA97" s="572"/>
      <c r="AB97" s="572"/>
      <c r="AC97" s="4"/>
      <c r="AD97" s="587"/>
      <c r="AE97" s="587"/>
      <c r="AF97" s="587"/>
      <c r="AG97" s="587"/>
      <c r="AH97" s="587"/>
      <c r="AI97" s="147" t="s">
        <v>249</v>
      </c>
      <c r="AJ97" s="582">
        <f>+(0.383*100)/2</f>
        <v>19.149999999999999</v>
      </c>
      <c r="AK97" s="582">
        <f>+AJ97*C4</f>
        <v>1.915</v>
      </c>
      <c r="AL97" s="582">
        <f>+AJ97*D4</f>
        <v>8.6174999999999997</v>
      </c>
      <c r="AM97" s="582">
        <f>+AJ97*E4</f>
        <v>4.7874999999999996</v>
      </c>
      <c r="AN97" s="582">
        <f>+AJ97*F4</f>
        <v>3.83</v>
      </c>
      <c r="AO97" s="583" t="s">
        <v>263</v>
      </c>
      <c r="AP97" s="146" t="s">
        <v>202</v>
      </c>
      <c r="AQ97" s="157" t="s">
        <v>88</v>
      </c>
      <c r="AR97" s="366">
        <v>0.35</v>
      </c>
      <c r="AS97" s="366">
        <v>0.8</v>
      </c>
      <c r="AT97" s="366">
        <v>0.35</v>
      </c>
      <c r="AU97" s="366">
        <v>0.5</v>
      </c>
      <c r="AV97" s="366">
        <v>0.65</v>
      </c>
      <c r="AW97" s="366">
        <v>0.8</v>
      </c>
      <c r="AX97" s="366">
        <v>0.45</v>
      </c>
      <c r="AY97" s="589">
        <f>[2]SOCIOCULTURAL!AP15</f>
        <v>4000000000</v>
      </c>
      <c r="AZ97" s="589">
        <v>3000000000</v>
      </c>
      <c r="BA97" s="589">
        <v>2000000000</v>
      </c>
      <c r="BB97" s="589">
        <v>850000000</v>
      </c>
      <c r="BC97" s="584">
        <f t="shared" si="24"/>
        <v>9850000000</v>
      </c>
      <c r="BD97" s="146" t="s">
        <v>236</v>
      </c>
      <c r="BE97" s="146" t="s">
        <v>237</v>
      </c>
    </row>
    <row r="98" spans="1:57" ht="22.5">
      <c r="A98" s="571"/>
      <c r="B98" s="572"/>
      <c r="C98" s="572"/>
      <c r="D98" s="572"/>
      <c r="E98" s="572"/>
      <c r="F98" s="572"/>
      <c r="G98" s="572"/>
      <c r="H98" s="572"/>
      <c r="I98" s="572"/>
      <c r="J98" s="572"/>
      <c r="K98" s="572"/>
      <c r="L98" s="572"/>
      <c r="M98" s="572"/>
      <c r="N98" s="4"/>
      <c r="O98" s="4"/>
      <c r="P98" s="4"/>
      <c r="Q98" s="4"/>
      <c r="R98" s="4"/>
      <c r="S98" s="4"/>
      <c r="T98" s="4"/>
      <c r="U98" s="4"/>
      <c r="V98" s="4"/>
      <c r="W98" s="4"/>
      <c r="X98" s="585"/>
      <c r="Y98" s="572"/>
      <c r="Z98" s="572"/>
      <c r="AA98" s="572"/>
      <c r="AB98" s="572"/>
      <c r="AC98" s="4"/>
      <c r="AD98" s="587"/>
      <c r="AE98" s="587"/>
      <c r="AF98" s="587"/>
      <c r="AG98" s="587"/>
      <c r="AH98" s="587"/>
      <c r="AI98" s="147" t="s">
        <v>250</v>
      </c>
      <c r="AJ98" s="582">
        <f>+(0.106*100)/2</f>
        <v>5.3</v>
      </c>
      <c r="AK98" s="582">
        <v>0</v>
      </c>
      <c r="AL98" s="582">
        <v>2.92</v>
      </c>
      <c r="AM98" s="582">
        <f>+AJ98*E4</f>
        <v>1.325</v>
      </c>
      <c r="AN98" s="582">
        <f>+AJ98*F4</f>
        <v>1.06</v>
      </c>
      <c r="AO98" s="583" t="s">
        <v>264</v>
      </c>
      <c r="AP98" s="146" t="s">
        <v>202</v>
      </c>
      <c r="AQ98" s="146" t="s">
        <v>87</v>
      </c>
      <c r="AR98" s="146">
        <v>0</v>
      </c>
      <c r="AS98" s="146">
        <v>5</v>
      </c>
      <c r="AT98" s="146">
        <v>0</v>
      </c>
      <c r="AU98" s="146">
        <v>1</v>
      </c>
      <c r="AV98" s="146">
        <v>2</v>
      </c>
      <c r="AW98" s="146">
        <v>2</v>
      </c>
      <c r="AX98" s="146">
        <v>5</v>
      </c>
      <c r="AY98" s="589">
        <f>[2]SOCIOCULTURAL!AP16</f>
        <v>0</v>
      </c>
      <c r="AZ98" s="589">
        <v>1500000000</v>
      </c>
      <c r="BA98" s="589">
        <v>1350000000</v>
      </c>
      <c r="BB98" s="589">
        <v>0</v>
      </c>
      <c r="BC98" s="584">
        <f t="shared" si="24"/>
        <v>2850000000</v>
      </c>
      <c r="BD98" s="146" t="s">
        <v>236</v>
      </c>
      <c r="BE98" s="146" t="s">
        <v>237</v>
      </c>
    </row>
    <row r="99" spans="1:57" ht="33.75">
      <c r="A99" s="571"/>
      <c r="B99" s="572"/>
      <c r="C99" s="572"/>
      <c r="D99" s="572"/>
      <c r="E99" s="572"/>
      <c r="F99" s="572"/>
      <c r="G99" s="572"/>
      <c r="H99" s="572"/>
      <c r="I99" s="572"/>
      <c r="J99" s="572"/>
      <c r="K99" s="572"/>
      <c r="L99" s="572"/>
      <c r="M99" s="572"/>
      <c r="N99" s="4"/>
      <c r="O99" s="5"/>
      <c r="P99" s="4"/>
      <c r="Q99" s="4"/>
      <c r="R99" s="4"/>
      <c r="S99" s="4"/>
      <c r="T99" s="4"/>
      <c r="U99" s="4"/>
      <c r="V99" s="4"/>
      <c r="W99" s="4"/>
      <c r="X99" s="585"/>
      <c r="Y99" s="572"/>
      <c r="Z99" s="572"/>
      <c r="AA99" s="572"/>
      <c r="AB99" s="572"/>
      <c r="AC99" s="4"/>
      <c r="AD99" s="587"/>
      <c r="AE99" s="587"/>
      <c r="AF99" s="587"/>
      <c r="AG99" s="587"/>
      <c r="AH99" s="587"/>
      <c r="AI99" s="147" t="s">
        <v>251</v>
      </c>
      <c r="AJ99" s="582">
        <f>+(0.255*100)/2</f>
        <v>12.75</v>
      </c>
      <c r="AK99" s="582">
        <f>+AJ99*C4</f>
        <v>1.2750000000000001</v>
      </c>
      <c r="AL99" s="582">
        <f>+AJ99*D4</f>
        <v>5.7374999999999998</v>
      </c>
      <c r="AM99" s="582">
        <f>+AJ99*E4</f>
        <v>3.1875</v>
      </c>
      <c r="AN99" s="582">
        <f>+AJ99*F4</f>
        <v>2.5500000000000003</v>
      </c>
      <c r="AO99" s="583" t="s">
        <v>265</v>
      </c>
      <c r="AP99" s="146" t="s">
        <v>202</v>
      </c>
      <c r="AQ99" s="157" t="s">
        <v>88</v>
      </c>
      <c r="AR99" s="366">
        <v>0.4</v>
      </c>
      <c r="AS99" s="366">
        <v>0.7</v>
      </c>
      <c r="AT99" s="366">
        <v>0.5408536585365854</v>
      </c>
      <c r="AU99" s="366">
        <v>0.57835365853658538</v>
      </c>
      <c r="AV99" s="366">
        <v>0.64603658536585362</v>
      </c>
      <c r="AW99" s="366">
        <v>0.70091463414634148</v>
      </c>
      <c r="AX99" s="366">
        <v>0.3</v>
      </c>
      <c r="AY99" s="589">
        <f>[2]SOCIOCULTURAL!AP17</f>
        <v>3850000000</v>
      </c>
      <c r="AZ99" s="589">
        <v>1850000000</v>
      </c>
      <c r="BA99" s="589">
        <v>1500000000</v>
      </c>
      <c r="BB99" s="589">
        <v>1000000000</v>
      </c>
      <c r="BC99" s="584">
        <f t="shared" si="24"/>
        <v>8200000000</v>
      </c>
      <c r="BD99" s="146" t="s">
        <v>236</v>
      </c>
      <c r="BE99" s="146" t="s">
        <v>237</v>
      </c>
    </row>
    <row r="100" spans="1:57" ht="52.5" customHeight="1">
      <c r="A100" s="571"/>
      <c r="B100" s="572"/>
      <c r="C100" s="572"/>
      <c r="D100" s="572"/>
      <c r="E100" s="572"/>
      <c r="F100" s="572"/>
      <c r="G100" s="572"/>
      <c r="H100" s="572"/>
      <c r="I100" s="572"/>
      <c r="J100" s="572"/>
      <c r="K100" s="572"/>
      <c r="L100" s="572"/>
      <c r="M100" s="572"/>
      <c r="N100" s="157" t="s">
        <v>275</v>
      </c>
      <c r="O100" s="415">
        <f>+(0.4*100)/10</f>
        <v>4</v>
      </c>
      <c r="P100" s="415">
        <f>+O100*C4</f>
        <v>0.4</v>
      </c>
      <c r="Q100" s="415">
        <f>+O100*D4</f>
        <v>1.8</v>
      </c>
      <c r="R100" s="415">
        <f>+O100*E4</f>
        <v>1</v>
      </c>
      <c r="S100" s="415">
        <f>+O100*F4</f>
        <v>0.8</v>
      </c>
      <c r="T100" s="267" t="s">
        <v>276</v>
      </c>
      <c r="U100" s="268" t="s">
        <v>202</v>
      </c>
      <c r="V100" s="267" t="s">
        <v>88</v>
      </c>
      <c r="W100" s="269" t="s">
        <v>221</v>
      </c>
      <c r="X100" s="269">
        <v>1</v>
      </c>
      <c r="Y100" s="269">
        <v>1</v>
      </c>
      <c r="Z100" s="269">
        <v>1</v>
      </c>
      <c r="AA100" s="269">
        <v>1</v>
      </c>
      <c r="AB100" s="269">
        <v>1</v>
      </c>
      <c r="AC100" s="4"/>
      <c r="AD100" s="587"/>
      <c r="AE100" s="587"/>
      <c r="AF100" s="587"/>
      <c r="AG100" s="587"/>
      <c r="AH100" s="587"/>
      <c r="AI100" s="147" t="s">
        <v>252</v>
      </c>
      <c r="AJ100" s="582">
        <f>+(0.005*100)/2</f>
        <v>0.25</v>
      </c>
      <c r="AK100" s="582">
        <f>+AJ100*C4</f>
        <v>2.5000000000000001E-2</v>
      </c>
      <c r="AL100" s="582">
        <f>+AJ100*D4</f>
        <v>0.1125</v>
      </c>
      <c r="AM100" s="582">
        <f>+AJ100*E4</f>
        <v>6.25E-2</v>
      </c>
      <c r="AN100" s="582">
        <f>+AJ100*F4</f>
        <v>0.05</v>
      </c>
      <c r="AO100" s="583" t="s">
        <v>266</v>
      </c>
      <c r="AP100" s="146" t="s">
        <v>202</v>
      </c>
      <c r="AQ100" s="157" t="s">
        <v>88</v>
      </c>
      <c r="AR100" s="366">
        <v>0</v>
      </c>
      <c r="AS100" s="366">
        <v>1</v>
      </c>
      <c r="AT100" s="366">
        <v>1</v>
      </c>
      <c r="AU100" s="366">
        <v>1</v>
      </c>
      <c r="AV100" s="366">
        <v>1</v>
      </c>
      <c r="AW100" s="366">
        <v>1</v>
      </c>
      <c r="AX100" s="366">
        <v>1</v>
      </c>
      <c r="AY100" s="589">
        <f>[2]SOCIOCULTURAL!AP18</f>
        <v>37028265</v>
      </c>
      <c r="AZ100" s="589">
        <v>20000000</v>
      </c>
      <c r="BA100" s="589">
        <v>20000000</v>
      </c>
      <c r="BB100" s="589">
        <v>20000000</v>
      </c>
      <c r="BC100" s="584">
        <f t="shared" si="24"/>
        <v>97028265</v>
      </c>
      <c r="BD100" s="146" t="s">
        <v>236</v>
      </c>
      <c r="BE100" s="146" t="s">
        <v>237</v>
      </c>
    </row>
    <row r="101" spans="1:57" ht="60" customHeight="1">
      <c r="A101" s="571"/>
      <c r="B101" s="572"/>
      <c r="C101" s="572"/>
      <c r="D101" s="572"/>
      <c r="E101" s="572"/>
      <c r="F101" s="572"/>
      <c r="G101" s="572"/>
      <c r="H101" s="572"/>
      <c r="I101" s="572"/>
      <c r="J101" s="572"/>
      <c r="K101" s="572"/>
      <c r="L101" s="572"/>
      <c r="M101" s="572"/>
      <c r="N101" s="157" t="s">
        <v>274</v>
      </c>
      <c r="O101" s="404">
        <f>+(0.35*100)/10</f>
        <v>3.5</v>
      </c>
      <c r="P101" s="158">
        <f>+O101*C4</f>
        <v>0.35000000000000003</v>
      </c>
      <c r="Q101" s="158">
        <f>+O101*D4</f>
        <v>1.575</v>
      </c>
      <c r="R101" s="158">
        <f>+O101*E4</f>
        <v>0.875</v>
      </c>
      <c r="S101" s="158">
        <f>+O101*F4</f>
        <v>0.70000000000000007</v>
      </c>
      <c r="T101" s="157" t="s">
        <v>277</v>
      </c>
      <c r="U101" s="198" t="s">
        <v>202</v>
      </c>
      <c r="V101" s="157" t="s">
        <v>88</v>
      </c>
      <c r="W101" s="298" t="s">
        <v>278</v>
      </c>
      <c r="X101" s="298">
        <v>1</v>
      </c>
      <c r="Y101" s="298">
        <v>1</v>
      </c>
      <c r="Z101" s="298">
        <v>1</v>
      </c>
      <c r="AA101" s="298">
        <v>1</v>
      </c>
      <c r="AB101" s="298">
        <v>1</v>
      </c>
      <c r="AC101" s="4"/>
      <c r="AD101" s="587"/>
      <c r="AE101" s="587"/>
      <c r="AF101" s="587"/>
      <c r="AG101" s="587"/>
      <c r="AH101" s="587"/>
      <c r="AI101" s="147" t="s">
        <v>253</v>
      </c>
      <c r="AJ101" s="582">
        <f>+(0.004*100)/2</f>
        <v>0.2</v>
      </c>
      <c r="AK101" s="582">
        <f>+AJ101*C4</f>
        <v>2.0000000000000004E-2</v>
      </c>
      <c r="AL101" s="582">
        <f>+AJ101*D4</f>
        <v>9.0000000000000011E-2</v>
      </c>
      <c r="AM101" s="582">
        <f>+AJ101*E4</f>
        <v>0.05</v>
      </c>
      <c r="AN101" s="582">
        <f>+AJ101*F4</f>
        <v>4.0000000000000008E-2</v>
      </c>
      <c r="AO101" s="583" t="s">
        <v>267</v>
      </c>
      <c r="AP101" s="146" t="s">
        <v>273</v>
      </c>
      <c r="AQ101" s="157" t="s">
        <v>88</v>
      </c>
      <c r="AR101" s="366">
        <v>6.8000000000000005E-2</v>
      </c>
      <c r="AS101" s="366">
        <v>0.75</v>
      </c>
      <c r="AT101" s="366" t="s">
        <v>271</v>
      </c>
      <c r="AU101" s="366" t="s">
        <v>272</v>
      </c>
      <c r="AV101" s="366" t="s">
        <v>272</v>
      </c>
      <c r="AW101" s="366" t="s">
        <v>272</v>
      </c>
      <c r="AX101" s="366">
        <v>0.75</v>
      </c>
      <c r="AY101" s="589">
        <f>[2]SOCIOCULTURAL!AP19</f>
        <v>0</v>
      </c>
      <c r="AZ101" s="589">
        <v>0</v>
      </c>
      <c r="BA101" s="589">
        <v>0</v>
      </c>
      <c r="BB101" s="589">
        <v>0</v>
      </c>
      <c r="BC101" s="584">
        <f t="shared" si="24"/>
        <v>0</v>
      </c>
      <c r="BD101" s="146" t="s">
        <v>236</v>
      </c>
      <c r="BE101" s="146" t="s">
        <v>237</v>
      </c>
    </row>
    <row r="102" spans="1:57" ht="33.75">
      <c r="A102" s="571"/>
      <c r="B102" s="572"/>
      <c r="C102" s="572"/>
      <c r="D102" s="572"/>
      <c r="E102" s="572"/>
      <c r="F102" s="572"/>
      <c r="G102" s="572"/>
      <c r="H102" s="572"/>
      <c r="I102" s="572"/>
      <c r="J102" s="572"/>
      <c r="K102" s="572"/>
      <c r="L102" s="572"/>
      <c r="M102" s="572"/>
      <c r="N102" s="5"/>
      <c r="O102" s="5"/>
      <c r="P102" s="5"/>
      <c r="Q102" s="5"/>
      <c r="R102" s="5"/>
      <c r="S102" s="5"/>
      <c r="T102" s="5"/>
      <c r="U102" s="5"/>
      <c r="V102" s="5"/>
      <c r="W102" s="265"/>
      <c r="X102" s="265"/>
      <c r="Y102" s="5"/>
      <c r="Z102" s="5"/>
      <c r="AA102" s="5"/>
      <c r="AB102" s="5"/>
      <c r="AC102" s="5"/>
      <c r="AD102" s="590"/>
      <c r="AE102" s="590"/>
      <c r="AF102" s="590"/>
      <c r="AG102" s="590"/>
      <c r="AH102" s="590"/>
      <c r="AI102" s="147" t="s">
        <v>254</v>
      </c>
      <c r="AJ102" s="582">
        <f>+(0.004*100)/2</f>
        <v>0.2</v>
      </c>
      <c r="AK102" s="582">
        <v>0</v>
      </c>
      <c r="AL102" s="582">
        <f>+AJ102</f>
        <v>0.2</v>
      </c>
      <c r="AM102" s="582">
        <v>0</v>
      </c>
      <c r="AN102" s="582">
        <v>0</v>
      </c>
      <c r="AO102" s="583" t="s">
        <v>268</v>
      </c>
      <c r="AP102" s="146" t="s">
        <v>202</v>
      </c>
      <c r="AQ102" s="146" t="s">
        <v>87</v>
      </c>
      <c r="AR102" s="146">
        <v>0</v>
      </c>
      <c r="AS102" s="146">
        <v>1</v>
      </c>
      <c r="AT102" s="146">
        <v>0</v>
      </c>
      <c r="AU102" s="146">
        <v>1</v>
      </c>
      <c r="AV102" s="146">
        <v>0</v>
      </c>
      <c r="AW102" s="146">
        <v>0</v>
      </c>
      <c r="AX102" s="146">
        <v>1</v>
      </c>
      <c r="AY102" s="589">
        <f>[2]SOCIOCULTURAL!AP20</f>
        <v>0</v>
      </c>
      <c r="AZ102" s="589">
        <v>0</v>
      </c>
      <c r="BA102" s="589">
        <v>0</v>
      </c>
      <c r="BB102" s="589">
        <v>0</v>
      </c>
      <c r="BC102" s="584">
        <f t="shared" si="24"/>
        <v>0</v>
      </c>
      <c r="BD102" s="146" t="s">
        <v>236</v>
      </c>
      <c r="BE102" s="146" t="s">
        <v>237</v>
      </c>
    </row>
    <row r="103" spans="1:57">
      <c r="A103" s="571"/>
      <c r="B103" s="572"/>
      <c r="C103" s="572"/>
      <c r="D103" s="572"/>
      <c r="E103" s="572"/>
      <c r="F103" s="572"/>
      <c r="G103" s="572"/>
      <c r="H103" s="572"/>
      <c r="I103" s="572"/>
      <c r="J103" s="572"/>
      <c r="K103" s="572"/>
      <c r="L103" s="572"/>
      <c r="M103" s="572"/>
      <c r="N103" s="184"/>
      <c r="O103" s="165"/>
      <c r="P103" s="165"/>
      <c r="Q103" s="165"/>
      <c r="R103" s="165"/>
      <c r="S103" s="165"/>
      <c r="T103" s="185"/>
      <c r="U103" s="186"/>
      <c r="V103" s="186"/>
      <c r="W103" s="187"/>
      <c r="X103" s="183"/>
      <c r="Y103" s="183"/>
      <c r="Z103" s="183"/>
      <c r="AA103" s="183"/>
      <c r="AB103" s="180"/>
      <c r="AC103" s="349" t="s">
        <v>1453</v>
      </c>
      <c r="AD103" s="421">
        <f>+AD89</f>
        <v>20</v>
      </c>
      <c r="AE103" s="165"/>
      <c r="AF103" s="165"/>
      <c r="AG103" s="165"/>
      <c r="AH103" s="165"/>
      <c r="AI103" s="126"/>
      <c r="AJ103" s="421">
        <f>SUM(AJ89:AJ102)</f>
        <v>100.00000000000001</v>
      </c>
      <c r="AK103" s="421"/>
      <c r="AL103" s="421"/>
      <c r="AM103" s="421"/>
      <c r="AN103" s="421"/>
      <c r="AO103" s="126"/>
      <c r="AP103" s="55"/>
      <c r="AQ103" s="55"/>
      <c r="AR103" s="179"/>
      <c r="AS103" s="180"/>
      <c r="AT103" s="180"/>
      <c r="AU103" s="55"/>
      <c r="AV103" s="55"/>
      <c r="AW103" s="55"/>
      <c r="AX103" s="55"/>
      <c r="AY103" s="104">
        <f>SUM(AY89:AY102)</f>
        <v>29991464165</v>
      </c>
      <c r="AZ103" s="104">
        <f t="shared" ref="AZ103:BC103" si="25">SUM(AZ89:AZ102)</f>
        <v>14753155000</v>
      </c>
      <c r="BA103" s="104">
        <f t="shared" si="25"/>
        <v>11305215100</v>
      </c>
      <c r="BB103" s="104">
        <f t="shared" si="25"/>
        <v>8007220342</v>
      </c>
      <c r="BC103" s="104">
        <f t="shared" si="25"/>
        <v>64057054607</v>
      </c>
      <c r="BD103" s="55"/>
      <c r="BE103" s="55"/>
    </row>
    <row r="104" spans="1:57" ht="96" customHeight="1">
      <c r="A104" s="571"/>
      <c r="B104" s="572"/>
      <c r="C104" s="572"/>
      <c r="D104" s="572"/>
      <c r="E104" s="572"/>
      <c r="F104" s="572"/>
      <c r="G104" s="572"/>
      <c r="H104" s="572"/>
      <c r="I104" s="572"/>
      <c r="J104" s="572"/>
      <c r="K104" s="572"/>
      <c r="L104" s="572"/>
      <c r="M104" s="572"/>
      <c r="N104" s="199" t="s">
        <v>416</v>
      </c>
      <c r="O104" s="158">
        <f>+(0.06*100)/10</f>
        <v>0.6</v>
      </c>
      <c r="P104" s="158">
        <f>+O104*C4</f>
        <v>0.06</v>
      </c>
      <c r="Q104" s="158">
        <f>+O104*D4</f>
        <v>0.27</v>
      </c>
      <c r="R104" s="158">
        <f>+O104*E4</f>
        <v>0.15</v>
      </c>
      <c r="S104" s="158">
        <f>+O104*F4</f>
        <v>0.12</v>
      </c>
      <c r="T104" s="591" t="s">
        <v>457</v>
      </c>
      <c r="U104" s="592" t="s">
        <v>1454</v>
      </c>
      <c r="V104" s="592" t="s">
        <v>400</v>
      </c>
      <c r="W104" s="592" t="s">
        <v>504</v>
      </c>
      <c r="X104" s="592" t="s">
        <v>527</v>
      </c>
      <c r="Y104" s="592">
        <v>0.72</v>
      </c>
      <c r="Z104" s="592" t="s">
        <v>1482</v>
      </c>
      <c r="AA104" s="592">
        <v>0.62</v>
      </c>
      <c r="AB104" s="592">
        <v>0.6</v>
      </c>
      <c r="AC104" s="194" t="s">
        <v>279</v>
      </c>
      <c r="AD104" s="404">
        <f>+(2.5*100)/10</f>
        <v>25</v>
      </c>
      <c r="AE104" s="404">
        <f>+AD104*C4</f>
        <v>2.5</v>
      </c>
      <c r="AF104" s="404">
        <f>+AD104*D4</f>
        <v>11.25</v>
      </c>
      <c r="AG104" s="404">
        <f>+AD104*E4</f>
        <v>6.25</v>
      </c>
      <c r="AH104" s="404">
        <f>+AD104*F4</f>
        <v>5</v>
      </c>
      <c r="AI104" s="147" t="s">
        <v>280</v>
      </c>
      <c r="AJ104" s="451">
        <f>+(0.064*100)/2.5</f>
        <v>2.56</v>
      </c>
      <c r="AK104" s="451">
        <f>+AJ104*C4</f>
        <v>0.25600000000000001</v>
      </c>
      <c r="AL104" s="451">
        <f>+AJ104*D4</f>
        <v>1.1520000000000001</v>
      </c>
      <c r="AM104" s="451">
        <f>+AJ104*E4</f>
        <v>0.64</v>
      </c>
      <c r="AN104" s="451">
        <f>+AJ104*F4</f>
        <v>0.51200000000000001</v>
      </c>
      <c r="AO104" s="25" t="s">
        <v>345</v>
      </c>
      <c r="AP104" s="25" t="s">
        <v>203</v>
      </c>
      <c r="AQ104" s="25" t="s">
        <v>88</v>
      </c>
      <c r="AR104" s="25">
        <v>0.71399999999999997</v>
      </c>
      <c r="AS104" s="25">
        <v>0.95</v>
      </c>
      <c r="AT104" s="25">
        <v>0.95</v>
      </c>
      <c r="AU104" s="25">
        <v>0.95</v>
      </c>
      <c r="AV104" s="25">
        <v>0.95</v>
      </c>
      <c r="AW104" s="25">
        <v>0.95</v>
      </c>
      <c r="AX104" s="25">
        <v>0.95</v>
      </c>
      <c r="AY104" s="195">
        <v>907000000</v>
      </c>
      <c r="AZ104" s="195">
        <v>991420000</v>
      </c>
      <c r="BA104" s="195">
        <v>961865200</v>
      </c>
      <c r="BB104" s="195">
        <v>962337112</v>
      </c>
      <c r="BC104" s="195">
        <f>SUM(AY104:BB104)</f>
        <v>3822622312</v>
      </c>
      <c r="BD104" s="198" t="s">
        <v>236</v>
      </c>
      <c r="BE104" s="198" t="s">
        <v>237</v>
      </c>
    </row>
    <row r="105" spans="1:57" ht="63" customHeight="1">
      <c r="A105" s="571"/>
      <c r="B105" s="572"/>
      <c r="C105" s="572"/>
      <c r="D105" s="572"/>
      <c r="E105" s="572"/>
      <c r="F105" s="572"/>
      <c r="G105" s="572"/>
      <c r="H105" s="572"/>
      <c r="I105" s="572"/>
      <c r="J105" s="572"/>
      <c r="K105" s="572"/>
      <c r="L105" s="572"/>
      <c r="M105" s="572"/>
      <c r="N105" s="182"/>
      <c r="O105" s="377"/>
      <c r="P105" s="182"/>
      <c r="Q105" s="182"/>
      <c r="R105" s="182"/>
      <c r="S105" s="182"/>
      <c r="T105" s="593"/>
      <c r="U105" s="594"/>
      <c r="V105" s="594"/>
      <c r="W105" s="594"/>
      <c r="X105" s="594"/>
      <c r="Y105" s="594"/>
      <c r="Z105" s="594"/>
      <c r="AA105" s="594"/>
      <c r="AB105" s="594"/>
      <c r="AC105" s="6"/>
      <c r="AD105" s="375"/>
      <c r="AE105" s="202"/>
      <c r="AF105" s="202"/>
      <c r="AG105" s="202"/>
      <c r="AH105" s="202"/>
      <c r="AI105" s="147" t="s">
        <v>281</v>
      </c>
      <c r="AJ105" s="451">
        <f>+(0.064*100)/2.5</f>
        <v>2.56</v>
      </c>
      <c r="AK105" s="451">
        <f>+AJ105*C4</f>
        <v>0.25600000000000001</v>
      </c>
      <c r="AL105" s="451">
        <f>+AJ105*D4</f>
        <v>1.1520000000000001</v>
      </c>
      <c r="AM105" s="451">
        <f>+AJ105*E4</f>
        <v>0.64</v>
      </c>
      <c r="AN105" s="451">
        <f>+AJ105*F4</f>
        <v>0.51200000000000001</v>
      </c>
      <c r="AO105" s="25" t="s">
        <v>346</v>
      </c>
      <c r="AP105" s="25" t="s">
        <v>203</v>
      </c>
      <c r="AQ105" s="25" t="s">
        <v>88</v>
      </c>
      <c r="AR105" s="25">
        <v>0.72899999999999998</v>
      </c>
      <c r="AS105" s="25">
        <v>0.95</v>
      </c>
      <c r="AT105" s="25">
        <v>0.95</v>
      </c>
      <c r="AU105" s="25">
        <v>0.95</v>
      </c>
      <c r="AV105" s="25">
        <v>0.95</v>
      </c>
      <c r="AW105" s="25">
        <v>0.95</v>
      </c>
      <c r="AX105" s="25">
        <v>0.95</v>
      </c>
      <c r="AY105" s="196"/>
      <c r="AZ105" s="196"/>
      <c r="BA105" s="196"/>
      <c r="BB105" s="196"/>
      <c r="BC105" s="196"/>
      <c r="BD105" s="192"/>
      <c r="BE105" s="192"/>
    </row>
    <row r="106" spans="1:57" ht="63" customHeight="1">
      <c r="A106" s="571"/>
      <c r="B106" s="572"/>
      <c r="C106" s="572"/>
      <c r="D106" s="572"/>
      <c r="E106" s="572"/>
      <c r="F106" s="572"/>
      <c r="G106" s="572"/>
      <c r="H106" s="572"/>
      <c r="I106" s="572"/>
      <c r="J106" s="572"/>
      <c r="K106" s="572"/>
      <c r="L106" s="572"/>
      <c r="M106" s="572"/>
      <c r="N106" s="201" t="s">
        <v>417</v>
      </c>
      <c r="O106" s="158">
        <f>+(0.06*100)/10</f>
        <v>0.6</v>
      </c>
      <c r="P106" s="415">
        <f>+O106*C4</f>
        <v>0.06</v>
      </c>
      <c r="Q106" s="415">
        <f>+O106*D4</f>
        <v>0.27</v>
      </c>
      <c r="R106" s="415">
        <f>+O106*E4</f>
        <v>0.15</v>
      </c>
      <c r="S106" s="415">
        <f>+O106*F4</f>
        <v>0.12</v>
      </c>
      <c r="T106" s="595" t="s">
        <v>458</v>
      </c>
      <c r="U106" s="595" t="s">
        <v>1454</v>
      </c>
      <c r="V106" s="595" t="s">
        <v>400</v>
      </c>
      <c r="W106" s="595" t="s">
        <v>505</v>
      </c>
      <c r="X106" s="595" t="s">
        <v>528</v>
      </c>
      <c r="Y106" s="595">
        <v>0.28000000000000003</v>
      </c>
      <c r="Z106" s="595">
        <v>0.26</v>
      </c>
      <c r="AA106" s="595">
        <v>0.25</v>
      </c>
      <c r="AB106" s="595">
        <v>0.24</v>
      </c>
      <c r="AC106" s="6"/>
      <c r="AD106" s="202"/>
      <c r="AE106" s="202"/>
      <c r="AF106" s="202"/>
      <c r="AG106" s="202"/>
      <c r="AH106" s="202"/>
      <c r="AI106" s="147" t="s">
        <v>282</v>
      </c>
      <c r="AJ106" s="451">
        <f>+(0.063*100)/2.5</f>
        <v>2.52</v>
      </c>
      <c r="AK106" s="451">
        <f>+AJ106*C4</f>
        <v>0.252</v>
      </c>
      <c r="AL106" s="451">
        <f>+AJ106*D4</f>
        <v>1.1340000000000001</v>
      </c>
      <c r="AM106" s="451">
        <f>+AJ106*E4</f>
        <v>0.63</v>
      </c>
      <c r="AN106" s="451">
        <f>+AJ106*F4</f>
        <v>0.504</v>
      </c>
      <c r="AO106" s="25" t="s">
        <v>347</v>
      </c>
      <c r="AP106" s="25" t="s">
        <v>203</v>
      </c>
      <c r="AQ106" s="25" t="s">
        <v>88</v>
      </c>
      <c r="AR106" s="25" t="s">
        <v>337</v>
      </c>
      <c r="AS106" s="25" t="s">
        <v>401</v>
      </c>
      <c r="AT106" s="25">
        <v>0.95</v>
      </c>
      <c r="AU106" s="25">
        <v>0.95</v>
      </c>
      <c r="AV106" s="25">
        <v>0.95</v>
      </c>
      <c r="AW106" s="25">
        <v>0.95</v>
      </c>
      <c r="AX106" s="25" t="s">
        <v>401</v>
      </c>
      <c r="AY106" s="197"/>
      <c r="AZ106" s="197"/>
      <c r="BA106" s="197"/>
      <c r="BB106" s="197"/>
      <c r="BC106" s="197"/>
      <c r="BD106" s="193"/>
      <c r="BE106" s="193"/>
    </row>
    <row r="107" spans="1:57" ht="33.75" customHeight="1">
      <c r="A107" s="571"/>
      <c r="B107" s="572"/>
      <c r="C107" s="572"/>
      <c r="D107" s="572"/>
      <c r="E107" s="572"/>
      <c r="F107" s="572"/>
      <c r="G107" s="572"/>
      <c r="H107" s="572"/>
      <c r="I107" s="572"/>
      <c r="J107" s="572"/>
      <c r="K107" s="572"/>
      <c r="L107" s="572"/>
      <c r="M107" s="572"/>
      <c r="N107" s="200" t="s">
        <v>418</v>
      </c>
      <c r="O107" s="158">
        <f>+(0.06*100)/10</f>
        <v>0.6</v>
      </c>
      <c r="P107" s="404">
        <f>+O107*C4</f>
        <v>0.06</v>
      </c>
      <c r="Q107" s="404">
        <f>+O107*D4</f>
        <v>0.27</v>
      </c>
      <c r="R107" s="404">
        <f>+O107*E4</f>
        <v>0.15</v>
      </c>
      <c r="S107" s="404">
        <f>+O107*F4</f>
        <v>0.12</v>
      </c>
      <c r="T107" s="592" t="s">
        <v>459</v>
      </c>
      <c r="U107" s="592" t="s">
        <v>1454</v>
      </c>
      <c r="V107" s="592" t="s">
        <v>400</v>
      </c>
      <c r="W107" s="592" t="s">
        <v>506</v>
      </c>
      <c r="X107" s="592" t="s">
        <v>529</v>
      </c>
      <c r="Y107" s="592">
        <v>5</v>
      </c>
      <c r="Z107" s="592">
        <v>4.75</v>
      </c>
      <c r="AA107" s="592">
        <v>4.6500000000000004</v>
      </c>
      <c r="AB107" s="592">
        <v>4.5599999999999996</v>
      </c>
      <c r="AC107" s="6"/>
      <c r="AD107" s="202"/>
      <c r="AE107" s="202"/>
      <c r="AF107" s="202"/>
      <c r="AG107" s="202"/>
      <c r="AH107" s="202"/>
      <c r="AI107" s="147" t="s">
        <v>283</v>
      </c>
      <c r="AJ107" s="451">
        <f>+(0.025*100)/2.5</f>
        <v>1</v>
      </c>
      <c r="AK107" s="451">
        <f>+AJ107*C4</f>
        <v>0.1</v>
      </c>
      <c r="AL107" s="451">
        <f>+AJ107*D4</f>
        <v>0.45</v>
      </c>
      <c r="AM107" s="451">
        <f>+AJ107*E4</f>
        <v>0.25</v>
      </c>
      <c r="AN107" s="451">
        <f>+AJ107*F4</f>
        <v>0.2</v>
      </c>
      <c r="AO107" s="25" t="s">
        <v>348</v>
      </c>
      <c r="AP107" s="25" t="s">
        <v>203</v>
      </c>
      <c r="AQ107" s="25" t="s">
        <v>400</v>
      </c>
      <c r="AR107" s="25" t="s">
        <v>338</v>
      </c>
      <c r="AS107" s="25" t="s">
        <v>402</v>
      </c>
      <c r="AT107" s="451">
        <v>1</v>
      </c>
      <c r="AU107" s="451">
        <v>1</v>
      </c>
      <c r="AV107" s="451">
        <v>1</v>
      </c>
      <c r="AW107" s="451">
        <v>1</v>
      </c>
      <c r="AX107" s="25" t="s">
        <v>402</v>
      </c>
      <c r="AY107" s="195">
        <v>465305075</v>
      </c>
      <c r="AZ107" s="195">
        <v>575223379</v>
      </c>
      <c r="BA107" s="195">
        <v>684836782</v>
      </c>
      <c r="BB107" s="195">
        <v>794963444</v>
      </c>
      <c r="BC107" s="195">
        <f t="shared" ref="BC107:BC163" si="26">SUM(AY107:BB107)</f>
        <v>2520328680</v>
      </c>
      <c r="BD107" s="198" t="s">
        <v>236</v>
      </c>
      <c r="BE107" s="198" t="s">
        <v>237</v>
      </c>
    </row>
    <row r="108" spans="1:57" ht="22.5">
      <c r="A108" s="571"/>
      <c r="B108" s="572"/>
      <c r="C108" s="572"/>
      <c r="D108" s="572"/>
      <c r="E108" s="572"/>
      <c r="F108" s="572"/>
      <c r="G108" s="572"/>
      <c r="H108" s="572"/>
      <c r="I108" s="572"/>
      <c r="J108" s="572"/>
      <c r="K108" s="572"/>
      <c r="L108" s="572"/>
      <c r="M108" s="572"/>
      <c r="N108" s="200"/>
      <c r="O108" s="376"/>
      <c r="P108" s="200"/>
      <c r="Q108" s="200"/>
      <c r="R108" s="200"/>
      <c r="S108" s="200"/>
      <c r="T108" s="596"/>
      <c r="U108" s="596"/>
      <c r="V108" s="596"/>
      <c r="W108" s="596"/>
      <c r="X108" s="596"/>
      <c r="Y108" s="596"/>
      <c r="Z108" s="596"/>
      <c r="AA108" s="596"/>
      <c r="AB108" s="596"/>
      <c r="AC108" s="6"/>
      <c r="AD108" s="202"/>
      <c r="AE108" s="202"/>
      <c r="AF108" s="202"/>
      <c r="AG108" s="202"/>
      <c r="AH108" s="202"/>
      <c r="AI108" s="147" t="s">
        <v>284</v>
      </c>
      <c r="AJ108" s="451">
        <f>+(0.025*100)/2.5</f>
        <v>1</v>
      </c>
      <c r="AK108" s="451">
        <f>+AJ108*C4</f>
        <v>0.1</v>
      </c>
      <c r="AL108" s="451">
        <f>+AJ108*D4</f>
        <v>0.45</v>
      </c>
      <c r="AM108" s="451">
        <f>+AJ108*E4</f>
        <v>0.25</v>
      </c>
      <c r="AN108" s="451">
        <f>+AJ108*F4</f>
        <v>0.2</v>
      </c>
      <c r="AO108" s="25" t="s">
        <v>349</v>
      </c>
      <c r="AP108" s="25" t="s">
        <v>203</v>
      </c>
      <c r="AQ108" s="25" t="s">
        <v>400</v>
      </c>
      <c r="AR108" s="25" t="s">
        <v>339</v>
      </c>
      <c r="AS108" s="25" t="s">
        <v>339</v>
      </c>
      <c r="AT108" s="25" t="s">
        <v>403</v>
      </c>
      <c r="AU108" s="25">
        <v>2.9999999999999997E-4</v>
      </c>
      <c r="AV108" s="25">
        <v>0</v>
      </c>
      <c r="AW108" s="25" t="s">
        <v>339</v>
      </c>
      <c r="AX108" s="25" t="s">
        <v>339</v>
      </c>
      <c r="AY108" s="196"/>
      <c r="AZ108" s="196"/>
      <c r="BA108" s="196"/>
      <c r="BB108" s="196"/>
      <c r="BC108" s="196"/>
      <c r="BD108" s="192"/>
      <c r="BE108" s="192"/>
    </row>
    <row r="109" spans="1:57" ht="33.75" customHeight="1">
      <c r="A109" s="571"/>
      <c r="B109" s="572"/>
      <c r="C109" s="572"/>
      <c r="D109" s="572"/>
      <c r="E109" s="572"/>
      <c r="F109" s="572"/>
      <c r="G109" s="572"/>
      <c r="H109" s="572"/>
      <c r="I109" s="572"/>
      <c r="J109" s="572"/>
      <c r="K109" s="572"/>
      <c r="L109" s="572"/>
      <c r="M109" s="572"/>
      <c r="N109" s="200"/>
      <c r="O109" s="376"/>
      <c r="P109" s="200"/>
      <c r="Q109" s="200"/>
      <c r="R109" s="200"/>
      <c r="S109" s="200"/>
      <c r="T109" s="594"/>
      <c r="U109" s="594"/>
      <c r="V109" s="594"/>
      <c r="W109" s="594"/>
      <c r="X109" s="594"/>
      <c r="Y109" s="594"/>
      <c r="Z109" s="594"/>
      <c r="AA109" s="594"/>
      <c r="AB109" s="594"/>
      <c r="AC109" s="6"/>
      <c r="AD109" s="202"/>
      <c r="AE109" s="202"/>
      <c r="AF109" s="202"/>
      <c r="AG109" s="202"/>
      <c r="AH109" s="202"/>
      <c r="AI109" s="147" t="s">
        <v>285</v>
      </c>
      <c r="AJ109" s="451">
        <f>+(0.026*100)/2.5</f>
        <v>1.04</v>
      </c>
      <c r="AK109" s="451">
        <f>+AJ109*C4</f>
        <v>0.10400000000000001</v>
      </c>
      <c r="AL109" s="451">
        <f>+AJ109*D4</f>
        <v>0.46800000000000003</v>
      </c>
      <c r="AM109" s="451">
        <f>+AJ109*E4</f>
        <v>0.26</v>
      </c>
      <c r="AN109" s="451">
        <f>+AJ109*F4</f>
        <v>0.20800000000000002</v>
      </c>
      <c r="AO109" s="25" t="s">
        <v>350</v>
      </c>
      <c r="AP109" s="25" t="s">
        <v>203</v>
      </c>
      <c r="AQ109" s="25" t="s">
        <v>400</v>
      </c>
      <c r="AR109" s="25" t="s">
        <v>340</v>
      </c>
      <c r="AS109" s="25" t="s">
        <v>407</v>
      </c>
      <c r="AT109" s="25" t="s">
        <v>404</v>
      </c>
      <c r="AU109" s="25" t="s">
        <v>405</v>
      </c>
      <c r="AV109" s="25" t="s">
        <v>406</v>
      </c>
      <c r="AW109" s="25" t="s">
        <v>407</v>
      </c>
      <c r="AX109" s="25" t="s">
        <v>407</v>
      </c>
      <c r="AY109" s="196"/>
      <c r="AZ109" s="196"/>
      <c r="BA109" s="196"/>
      <c r="BB109" s="196"/>
      <c r="BC109" s="196"/>
      <c r="BD109" s="192"/>
      <c r="BE109" s="192"/>
    </row>
    <row r="110" spans="1:57" ht="33.75">
      <c r="A110" s="571"/>
      <c r="B110" s="572"/>
      <c r="C110" s="572"/>
      <c r="D110" s="572"/>
      <c r="E110" s="572"/>
      <c r="F110" s="572"/>
      <c r="G110" s="572"/>
      <c r="H110" s="572"/>
      <c r="I110" s="572"/>
      <c r="J110" s="572"/>
      <c r="K110" s="572"/>
      <c r="L110" s="572"/>
      <c r="M110" s="572"/>
      <c r="N110" s="200"/>
      <c r="O110" s="376"/>
      <c r="P110" s="200"/>
      <c r="Q110" s="200"/>
      <c r="R110" s="200"/>
      <c r="S110" s="200"/>
      <c r="T110" s="592" t="s">
        <v>460</v>
      </c>
      <c r="U110" s="592" t="s">
        <v>1454</v>
      </c>
      <c r="V110" s="592" t="s">
        <v>400</v>
      </c>
      <c r="W110" s="592" t="s">
        <v>507</v>
      </c>
      <c r="X110" s="592" t="s">
        <v>530</v>
      </c>
      <c r="Y110" s="592">
        <v>0.85</v>
      </c>
      <c r="Z110" s="592">
        <v>0.81</v>
      </c>
      <c r="AA110" s="592">
        <v>0.79</v>
      </c>
      <c r="AB110" s="592">
        <v>0.78</v>
      </c>
      <c r="AC110" s="6"/>
      <c r="AD110" s="202"/>
      <c r="AE110" s="202"/>
      <c r="AF110" s="202"/>
      <c r="AG110" s="202"/>
      <c r="AH110" s="202"/>
      <c r="AI110" s="147" t="s">
        <v>286</v>
      </c>
      <c r="AJ110" s="451">
        <f>+(0.024*100)/2.5</f>
        <v>0.96</v>
      </c>
      <c r="AK110" s="451">
        <f>+AJ110*C4</f>
        <v>9.6000000000000002E-2</v>
      </c>
      <c r="AL110" s="451">
        <f>+AJ110*D4</f>
        <v>0.432</v>
      </c>
      <c r="AM110" s="451">
        <f>+AJ110*E4</f>
        <v>0.24</v>
      </c>
      <c r="AN110" s="451">
        <f>+AJ110*F4</f>
        <v>0.192</v>
      </c>
      <c r="AO110" s="25" t="s">
        <v>351</v>
      </c>
      <c r="AP110" s="25" t="s">
        <v>203</v>
      </c>
      <c r="AQ110" s="25" t="s">
        <v>400</v>
      </c>
      <c r="AR110" s="25" t="s">
        <v>341</v>
      </c>
      <c r="AS110" s="25" t="s">
        <v>411</v>
      </c>
      <c r="AT110" s="25" t="s">
        <v>408</v>
      </c>
      <c r="AU110" s="25" t="s">
        <v>409</v>
      </c>
      <c r="AV110" s="25" t="s">
        <v>410</v>
      </c>
      <c r="AW110" s="25" t="s">
        <v>411</v>
      </c>
      <c r="AX110" s="25" t="s">
        <v>411</v>
      </c>
      <c r="AY110" s="196"/>
      <c r="AZ110" s="196"/>
      <c r="BA110" s="196"/>
      <c r="BB110" s="196"/>
      <c r="BC110" s="196"/>
      <c r="BD110" s="192"/>
      <c r="BE110" s="192"/>
    </row>
    <row r="111" spans="1:57" ht="33.75">
      <c r="A111" s="571"/>
      <c r="B111" s="572"/>
      <c r="C111" s="572"/>
      <c r="D111" s="572"/>
      <c r="E111" s="572"/>
      <c r="F111" s="572"/>
      <c r="G111" s="572"/>
      <c r="H111" s="572"/>
      <c r="I111" s="572"/>
      <c r="J111" s="572"/>
      <c r="K111" s="572"/>
      <c r="L111" s="572"/>
      <c r="M111" s="572"/>
      <c r="N111" s="182"/>
      <c r="O111" s="377"/>
      <c r="P111" s="182"/>
      <c r="Q111" s="182"/>
      <c r="R111" s="182"/>
      <c r="S111" s="182"/>
      <c r="T111" s="593"/>
      <c r="U111" s="593"/>
      <c r="V111" s="593"/>
      <c r="W111" s="593"/>
      <c r="X111" s="593"/>
      <c r="Y111" s="593"/>
      <c r="Z111" s="593"/>
      <c r="AA111" s="593"/>
      <c r="AB111" s="593"/>
      <c r="AC111" s="6"/>
      <c r="AD111" s="202"/>
      <c r="AE111" s="202"/>
      <c r="AF111" s="202"/>
      <c r="AG111" s="202"/>
      <c r="AH111" s="202"/>
      <c r="AI111" s="147" t="s">
        <v>287</v>
      </c>
      <c r="AJ111" s="451">
        <f>+(0.025*100)/2.5</f>
        <v>1</v>
      </c>
      <c r="AK111" s="451">
        <f>+AJ111*C4</f>
        <v>0.1</v>
      </c>
      <c r="AL111" s="451">
        <f>+AJ111*D4</f>
        <v>0.45</v>
      </c>
      <c r="AM111" s="451">
        <f>+AJ111*E4</f>
        <v>0.25</v>
      </c>
      <c r="AN111" s="451">
        <f>+AJ111*F4</f>
        <v>0.2</v>
      </c>
      <c r="AO111" s="25" t="s">
        <v>352</v>
      </c>
      <c r="AP111" s="25" t="s">
        <v>202</v>
      </c>
      <c r="AQ111" s="25" t="s">
        <v>87</v>
      </c>
      <c r="AR111" s="451">
        <v>0</v>
      </c>
      <c r="AS111" s="451">
        <v>7</v>
      </c>
      <c r="AT111" s="462">
        <v>2</v>
      </c>
      <c r="AU111" s="462">
        <v>3</v>
      </c>
      <c r="AV111" s="462">
        <v>2</v>
      </c>
      <c r="AW111" s="462">
        <v>7</v>
      </c>
      <c r="AX111" s="451">
        <v>7</v>
      </c>
      <c r="AY111" s="197"/>
      <c r="AZ111" s="197"/>
      <c r="BA111" s="197"/>
      <c r="BB111" s="197"/>
      <c r="BC111" s="197"/>
      <c r="BD111" s="193"/>
      <c r="BE111" s="193"/>
    </row>
    <row r="112" spans="1:57" ht="45">
      <c r="A112" s="571"/>
      <c r="B112" s="572"/>
      <c r="C112" s="572"/>
      <c r="D112" s="572"/>
      <c r="E112" s="572"/>
      <c r="F112" s="572"/>
      <c r="G112" s="572"/>
      <c r="H112" s="572"/>
      <c r="I112" s="572"/>
      <c r="J112" s="572"/>
      <c r="K112" s="572"/>
      <c r="L112" s="572"/>
      <c r="M112" s="572"/>
      <c r="N112" s="201" t="s">
        <v>419</v>
      </c>
      <c r="O112" s="158">
        <f t="shared" ref="O112:O118" si="27">+(0.06*100)/10</f>
        <v>0.6</v>
      </c>
      <c r="P112" s="415">
        <f>+O112*C4</f>
        <v>0.06</v>
      </c>
      <c r="Q112" s="415">
        <f>O112*D4</f>
        <v>0.27</v>
      </c>
      <c r="R112" s="415">
        <f>+O112*E4</f>
        <v>0.15</v>
      </c>
      <c r="S112" s="415">
        <f>+O112*F4</f>
        <v>0.12</v>
      </c>
      <c r="T112" s="595" t="s">
        <v>461</v>
      </c>
      <c r="U112" s="595" t="s">
        <v>1454</v>
      </c>
      <c r="V112" s="592" t="s">
        <v>400</v>
      </c>
      <c r="W112" s="595" t="s">
        <v>508</v>
      </c>
      <c r="X112" s="595" t="s">
        <v>508</v>
      </c>
      <c r="Y112" s="595">
        <v>69.27</v>
      </c>
      <c r="Z112" s="595">
        <v>69.27</v>
      </c>
      <c r="AA112" s="595">
        <v>69.27</v>
      </c>
      <c r="AB112" s="595">
        <v>69.27</v>
      </c>
      <c r="AC112" s="6"/>
      <c r="AD112" s="202"/>
      <c r="AE112" s="202"/>
      <c r="AF112" s="202"/>
      <c r="AG112" s="202"/>
      <c r="AH112" s="202"/>
      <c r="AI112" s="147" t="s">
        <v>288</v>
      </c>
      <c r="AJ112" s="451">
        <f>+(0.042*100)/2.5</f>
        <v>1.6800000000000002</v>
      </c>
      <c r="AK112" s="451">
        <f>+AJ112*C4</f>
        <v>0.16800000000000004</v>
      </c>
      <c r="AL112" s="451">
        <f>+AJ112*D4</f>
        <v>0.75600000000000012</v>
      </c>
      <c r="AM112" s="451">
        <f>+AJ112*E4</f>
        <v>0.42000000000000004</v>
      </c>
      <c r="AN112" s="451">
        <f>+AJ112*F4</f>
        <v>0.33600000000000008</v>
      </c>
      <c r="AO112" s="25" t="s">
        <v>353</v>
      </c>
      <c r="AP112" s="25" t="s">
        <v>1454</v>
      </c>
      <c r="AQ112" s="25" t="s">
        <v>400</v>
      </c>
      <c r="AR112" s="25" t="s">
        <v>342</v>
      </c>
      <c r="AS112" s="25" t="s">
        <v>414</v>
      </c>
      <c r="AT112" s="25" t="s">
        <v>342</v>
      </c>
      <c r="AU112" s="25" t="s">
        <v>412</v>
      </c>
      <c r="AV112" s="25" t="s">
        <v>413</v>
      </c>
      <c r="AW112" s="25" t="s">
        <v>414</v>
      </c>
      <c r="AX112" s="25" t="s">
        <v>414</v>
      </c>
      <c r="AY112" s="195">
        <v>136271267</v>
      </c>
      <c r="AZ112" s="195">
        <v>1107469178</v>
      </c>
      <c r="BA112" s="195">
        <v>906647544</v>
      </c>
      <c r="BB112" s="195">
        <v>757046396</v>
      </c>
      <c r="BC112" s="195">
        <f t="shared" si="26"/>
        <v>2907434385</v>
      </c>
      <c r="BD112" s="146" t="s">
        <v>236</v>
      </c>
      <c r="BE112" s="146" t="s">
        <v>237</v>
      </c>
    </row>
    <row r="113" spans="1:57" ht="22.5">
      <c r="A113" s="571"/>
      <c r="B113" s="572"/>
      <c r="C113" s="572"/>
      <c r="D113" s="572"/>
      <c r="E113" s="572"/>
      <c r="F113" s="572"/>
      <c r="G113" s="572"/>
      <c r="H113" s="572"/>
      <c r="I113" s="572"/>
      <c r="J113" s="572"/>
      <c r="K113" s="572"/>
      <c r="L113" s="572"/>
      <c r="M113" s="572"/>
      <c r="N113" s="182" t="s">
        <v>420</v>
      </c>
      <c r="O113" s="158">
        <f t="shared" si="27"/>
        <v>0.6</v>
      </c>
      <c r="P113" s="415">
        <f>+O113*C4</f>
        <v>0.06</v>
      </c>
      <c r="Q113" s="415">
        <f>+O113*D4</f>
        <v>0.27</v>
      </c>
      <c r="R113" s="415">
        <f>+O113*E4</f>
        <v>0.15</v>
      </c>
      <c r="S113" s="415">
        <f>+O113*F4</f>
        <v>0.12</v>
      </c>
      <c r="T113" s="595" t="s">
        <v>462</v>
      </c>
      <c r="U113" s="595" t="s">
        <v>1454</v>
      </c>
      <c r="V113" s="592" t="s">
        <v>400</v>
      </c>
      <c r="W113" s="595" t="s">
        <v>509</v>
      </c>
      <c r="X113" s="595" t="s">
        <v>531</v>
      </c>
      <c r="Y113" s="595">
        <v>11.8</v>
      </c>
      <c r="Z113" s="595">
        <v>11.1</v>
      </c>
      <c r="AA113" s="595">
        <v>10.9</v>
      </c>
      <c r="AB113" s="595">
        <v>10.8</v>
      </c>
      <c r="AC113" s="6"/>
      <c r="AD113" s="202"/>
      <c r="AE113" s="202"/>
      <c r="AF113" s="202"/>
      <c r="AG113" s="202"/>
      <c r="AH113" s="202"/>
      <c r="AI113" s="147" t="s">
        <v>289</v>
      </c>
      <c r="AJ113" s="451">
        <f>+(0.042*100)/2.5</f>
        <v>1.6800000000000002</v>
      </c>
      <c r="AK113" s="451">
        <f>+AJ113*C4</f>
        <v>0.16800000000000004</v>
      </c>
      <c r="AL113" s="451">
        <f>+AJ113*D4</f>
        <v>0.75600000000000012</v>
      </c>
      <c r="AM113" s="451">
        <f>+AJ113*E4</f>
        <v>0.42000000000000004</v>
      </c>
      <c r="AN113" s="451">
        <f>+AJ113*F4</f>
        <v>0.33600000000000008</v>
      </c>
      <c r="AO113" s="25" t="s">
        <v>354</v>
      </c>
      <c r="AP113" s="25" t="s">
        <v>202</v>
      </c>
      <c r="AQ113" s="25" t="s">
        <v>88</v>
      </c>
      <c r="AR113" s="188">
        <v>72.819999999999993</v>
      </c>
      <c r="AS113" s="366">
        <v>0.8</v>
      </c>
      <c r="AT113" s="366">
        <v>0.8</v>
      </c>
      <c r="AU113" s="366">
        <v>0.8</v>
      </c>
      <c r="AV113" s="366">
        <v>0.8</v>
      </c>
      <c r="AW113" s="366">
        <v>0.8</v>
      </c>
      <c r="AX113" s="366">
        <v>0.8</v>
      </c>
      <c r="AY113" s="195">
        <v>0</v>
      </c>
      <c r="AZ113" s="195">
        <v>0</v>
      </c>
      <c r="BA113" s="195">
        <v>0</v>
      </c>
      <c r="BB113" s="195">
        <v>0</v>
      </c>
      <c r="BC113" s="195">
        <f t="shared" si="26"/>
        <v>0</v>
      </c>
      <c r="BD113" s="146" t="s">
        <v>236</v>
      </c>
      <c r="BE113" s="146" t="s">
        <v>237</v>
      </c>
    </row>
    <row r="114" spans="1:57" ht="45">
      <c r="A114" s="571"/>
      <c r="B114" s="572"/>
      <c r="C114" s="572"/>
      <c r="D114" s="572"/>
      <c r="E114" s="572"/>
      <c r="F114" s="572"/>
      <c r="G114" s="572"/>
      <c r="H114" s="572"/>
      <c r="I114" s="572"/>
      <c r="J114" s="572"/>
      <c r="K114" s="572"/>
      <c r="L114" s="572"/>
      <c r="M114" s="572"/>
      <c r="N114" s="182" t="s">
        <v>421</v>
      </c>
      <c r="O114" s="158">
        <f t="shared" si="27"/>
        <v>0.6</v>
      </c>
      <c r="P114" s="415">
        <f>+O114*C4</f>
        <v>0.06</v>
      </c>
      <c r="Q114" s="415">
        <f>+O114*D4</f>
        <v>0.27</v>
      </c>
      <c r="R114" s="415">
        <f>+O114*E4</f>
        <v>0.15</v>
      </c>
      <c r="S114" s="415">
        <f>+O114*F4</f>
        <v>0.12</v>
      </c>
      <c r="T114" s="595" t="s">
        <v>463</v>
      </c>
      <c r="U114" s="595" t="s">
        <v>1454</v>
      </c>
      <c r="V114" s="595" t="s">
        <v>87</v>
      </c>
      <c r="W114" s="595">
        <v>1318</v>
      </c>
      <c r="X114" s="595">
        <v>1186</v>
      </c>
      <c r="Y114" s="595">
        <v>1315</v>
      </c>
      <c r="Z114" s="595">
        <v>1260</v>
      </c>
      <c r="AA114" s="595">
        <v>1210</v>
      </c>
      <c r="AB114" s="595">
        <v>1186</v>
      </c>
      <c r="AC114" s="6"/>
      <c r="AD114" s="202"/>
      <c r="AE114" s="202"/>
      <c r="AF114" s="202"/>
      <c r="AG114" s="202"/>
      <c r="AH114" s="202"/>
      <c r="AI114" s="147" t="s">
        <v>290</v>
      </c>
      <c r="AJ114" s="451">
        <f>+(0.042*100)/2.5</f>
        <v>1.6800000000000002</v>
      </c>
      <c r="AK114" s="451">
        <f>+AJ114*C4</f>
        <v>0.16800000000000004</v>
      </c>
      <c r="AL114" s="451">
        <f>+AJ114*D4</f>
        <v>0.75600000000000012</v>
      </c>
      <c r="AM114" s="451">
        <f>+AJ114*E4</f>
        <v>0.42000000000000004</v>
      </c>
      <c r="AN114" s="451">
        <f>+AJ114*F4</f>
        <v>0.33600000000000008</v>
      </c>
      <c r="AO114" s="25" t="s">
        <v>355</v>
      </c>
      <c r="AP114" s="25" t="s">
        <v>202</v>
      </c>
      <c r="AQ114" s="25" t="s">
        <v>88</v>
      </c>
      <c r="AR114" s="25">
        <v>0.66600000000000004</v>
      </c>
      <c r="AS114" s="366">
        <v>1</v>
      </c>
      <c r="AT114" s="366">
        <v>0.14280000000000001</v>
      </c>
      <c r="AU114" s="366">
        <v>0.28599999999999998</v>
      </c>
      <c r="AV114" s="366">
        <v>0.71419999999999995</v>
      </c>
      <c r="AW114" s="366">
        <v>1</v>
      </c>
      <c r="AX114" s="366">
        <v>1</v>
      </c>
      <c r="AY114" s="195">
        <v>0</v>
      </c>
      <c r="AZ114" s="195">
        <v>0</v>
      </c>
      <c r="BA114" s="195">
        <v>0</v>
      </c>
      <c r="BB114" s="195">
        <v>0</v>
      </c>
      <c r="BC114" s="195">
        <f t="shared" si="26"/>
        <v>0</v>
      </c>
      <c r="BD114" s="146" t="s">
        <v>236</v>
      </c>
      <c r="BE114" s="146" t="s">
        <v>237</v>
      </c>
    </row>
    <row r="115" spans="1:57" ht="101.25">
      <c r="A115" s="571"/>
      <c r="B115" s="572"/>
      <c r="C115" s="572"/>
      <c r="D115" s="572"/>
      <c r="E115" s="572"/>
      <c r="F115" s="572"/>
      <c r="G115" s="572"/>
      <c r="H115" s="572"/>
      <c r="I115" s="572"/>
      <c r="J115" s="572"/>
      <c r="K115" s="572"/>
      <c r="L115" s="572"/>
      <c r="M115" s="572"/>
      <c r="N115" s="201" t="s">
        <v>422</v>
      </c>
      <c r="O115" s="158">
        <f t="shared" si="27"/>
        <v>0.6</v>
      </c>
      <c r="P115" s="415">
        <f>+O115*C4</f>
        <v>0.06</v>
      </c>
      <c r="Q115" s="415">
        <f>+O115*D4</f>
        <v>0.27</v>
      </c>
      <c r="R115" s="415">
        <f>+O115*E4</f>
        <v>0.15</v>
      </c>
      <c r="S115" s="415">
        <f>+O115*F4</f>
        <v>0.12</v>
      </c>
      <c r="T115" s="595" t="s">
        <v>464</v>
      </c>
      <c r="U115" s="595" t="s">
        <v>202</v>
      </c>
      <c r="V115" s="595" t="s">
        <v>88</v>
      </c>
      <c r="W115" s="595" t="s">
        <v>221</v>
      </c>
      <c r="X115" s="595">
        <v>1</v>
      </c>
      <c r="Y115" s="595">
        <v>1</v>
      </c>
      <c r="Z115" s="595">
        <v>1</v>
      </c>
      <c r="AA115" s="595">
        <v>1</v>
      </c>
      <c r="AB115" s="595">
        <v>1</v>
      </c>
      <c r="AC115" s="6"/>
      <c r="AD115" s="202"/>
      <c r="AE115" s="202"/>
      <c r="AF115" s="202"/>
      <c r="AG115" s="202"/>
      <c r="AH115" s="202"/>
      <c r="AI115" s="147" t="s">
        <v>291</v>
      </c>
      <c r="AJ115" s="451">
        <f>+(0.043*100)/2.5</f>
        <v>1.72</v>
      </c>
      <c r="AK115" s="451">
        <f>+AJ115*C4</f>
        <v>0.17200000000000001</v>
      </c>
      <c r="AL115" s="451">
        <f>+AJ115*D4</f>
        <v>0.77400000000000002</v>
      </c>
      <c r="AM115" s="451">
        <f>+AJ115*E4</f>
        <v>0.43</v>
      </c>
      <c r="AN115" s="451">
        <f>+AJ115*F4</f>
        <v>0.34400000000000003</v>
      </c>
      <c r="AO115" s="25" t="s">
        <v>356</v>
      </c>
      <c r="AP115" s="25" t="s">
        <v>202</v>
      </c>
      <c r="AQ115" s="25" t="s">
        <v>87</v>
      </c>
      <c r="AR115" s="451">
        <v>0</v>
      </c>
      <c r="AS115" s="451">
        <v>7</v>
      </c>
      <c r="AT115" s="462">
        <v>1</v>
      </c>
      <c r="AU115" s="462">
        <v>3</v>
      </c>
      <c r="AV115" s="462">
        <v>5</v>
      </c>
      <c r="AW115" s="462">
        <v>7</v>
      </c>
      <c r="AX115" s="451">
        <v>7</v>
      </c>
      <c r="AY115" s="401">
        <v>0</v>
      </c>
      <c r="AZ115" s="195">
        <v>0</v>
      </c>
      <c r="BA115" s="195">
        <v>0</v>
      </c>
      <c r="BB115" s="195">
        <v>0</v>
      </c>
      <c r="BC115" s="195">
        <f t="shared" si="26"/>
        <v>0</v>
      </c>
      <c r="BD115" s="146" t="s">
        <v>236</v>
      </c>
      <c r="BE115" s="146" t="s">
        <v>237</v>
      </c>
    </row>
    <row r="116" spans="1:57" ht="56.25">
      <c r="A116" s="571"/>
      <c r="B116" s="572"/>
      <c r="C116" s="572"/>
      <c r="D116" s="572"/>
      <c r="E116" s="572"/>
      <c r="F116" s="572"/>
      <c r="G116" s="572"/>
      <c r="H116" s="572"/>
      <c r="I116" s="572"/>
      <c r="J116" s="572"/>
      <c r="K116" s="572"/>
      <c r="L116" s="572"/>
      <c r="M116" s="572"/>
      <c r="N116" s="182" t="s">
        <v>423</v>
      </c>
      <c r="O116" s="158">
        <f t="shared" si="27"/>
        <v>0.6</v>
      </c>
      <c r="P116" s="415">
        <f>+O116*C4</f>
        <v>0.06</v>
      </c>
      <c r="Q116" s="415">
        <f>+O116*D4</f>
        <v>0.27</v>
      </c>
      <c r="R116" s="415">
        <f>+O116*E4</f>
        <v>0.15</v>
      </c>
      <c r="S116" s="415">
        <f>+O116*F4</f>
        <v>0.12</v>
      </c>
      <c r="T116" s="595" t="s">
        <v>465</v>
      </c>
      <c r="U116" s="595" t="s">
        <v>202</v>
      </c>
      <c r="V116" s="595" t="s">
        <v>88</v>
      </c>
      <c r="W116" s="595" t="s">
        <v>221</v>
      </c>
      <c r="X116" s="597">
        <v>1</v>
      </c>
      <c r="Y116" s="597">
        <v>1</v>
      </c>
      <c r="Z116" s="597">
        <v>1</v>
      </c>
      <c r="AA116" s="597">
        <v>1</v>
      </c>
      <c r="AB116" s="597">
        <v>1</v>
      </c>
      <c r="AC116" s="6"/>
      <c r="AD116" s="202"/>
      <c r="AE116" s="202"/>
      <c r="AF116" s="202"/>
      <c r="AG116" s="202"/>
      <c r="AH116" s="202"/>
      <c r="AI116" s="147" t="s">
        <v>292</v>
      </c>
      <c r="AJ116" s="451">
        <f>+(0.004*100)/2.5</f>
        <v>0.16</v>
      </c>
      <c r="AK116" s="451">
        <f>+AJ116*C4</f>
        <v>1.6E-2</v>
      </c>
      <c r="AL116" s="451">
        <f>+AJ116*D4</f>
        <v>7.2000000000000008E-2</v>
      </c>
      <c r="AM116" s="451">
        <f>+AJ116*E4</f>
        <v>0.04</v>
      </c>
      <c r="AN116" s="451">
        <f>+AJ116*F4</f>
        <v>3.2000000000000001E-2</v>
      </c>
      <c r="AO116" s="25" t="s">
        <v>357</v>
      </c>
      <c r="AP116" s="25" t="s">
        <v>202</v>
      </c>
      <c r="AQ116" s="25" t="s">
        <v>88</v>
      </c>
      <c r="AR116" s="25">
        <v>0.68</v>
      </c>
      <c r="AS116" s="25">
        <v>1</v>
      </c>
      <c r="AT116" s="25">
        <v>1</v>
      </c>
      <c r="AU116" s="8">
        <v>1</v>
      </c>
      <c r="AV116" s="8">
        <v>1</v>
      </c>
      <c r="AW116" s="8">
        <v>1</v>
      </c>
      <c r="AX116" s="25">
        <v>1</v>
      </c>
      <c r="AY116" s="195">
        <v>0</v>
      </c>
      <c r="AZ116" s="195">
        <v>0</v>
      </c>
      <c r="BA116" s="195">
        <v>0</v>
      </c>
      <c r="BB116" s="195">
        <v>0</v>
      </c>
      <c r="BC116" s="195">
        <f t="shared" si="26"/>
        <v>0</v>
      </c>
      <c r="BD116" s="146" t="s">
        <v>236</v>
      </c>
      <c r="BE116" s="146" t="s">
        <v>237</v>
      </c>
    </row>
    <row r="117" spans="1:57" ht="33.75">
      <c r="A117" s="571"/>
      <c r="B117" s="572"/>
      <c r="C117" s="572"/>
      <c r="D117" s="572"/>
      <c r="E117" s="572"/>
      <c r="F117" s="572"/>
      <c r="G117" s="572"/>
      <c r="H117" s="572"/>
      <c r="I117" s="572"/>
      <c r="J117" s="572"/>
      <c r="K117" s="572"/>
      <c r="L117" s="572"/>
      <c r="M117" s="572"/>
      <c r="N117" s="182" t="s">
        <v>424</v>
      </c>
      <c r="O117" s="158">
        <f t="shared" si="27"/>
        <v>0.6</v>
      </c>
      <c r="P117" s="415">
        <f>+O117*C4</f>
        <v>0.06</v>
      </c>
      <c r="Q117" s="415">
        <f>+O117*D4</f>
        <v>0.27</v>
      </c>
      <c r="R117" s="415">
        <f>+O117*E4</f>
        <v>0.15</v>
      </c>
      <c r="S117" s="415">
        <f>+O117*F4</f>
        <v>0.12</v>
      </c>
      <c r="T117" s="595" t="s">
        <v>466</v>
      </c>
      <c r="U117" s="595" t="s">
        <v>202</v>
      </c>
      <c r="V117" s="595" t="s">
        <v>542</v>
      </c>
      <c r="W117" s="595" t="s">
        <v>510</v>
      </c>
      <c r="X117" s="595" t="s">
        <v>532</v>
      </c>
      <c r="Y117" s="595">
        <v>3.75</v>
      </c>
      <c r="Z117" s="595">
        <v>3</v>
      </c>
      <c r="AA117" s="595">
        <v>2.7</v>
      </c>
      <c r="AB117" s="595">
        <v>2.2999999999999998</v>
      </c>
      <c r="AC117" s="6"/>
      <c r="AD117" s="202"/>
      <c r="AE117" s="202"/>
      <c r="AF117" s="202"/>
      <c r="AG117" s="202"/>
      <c r="AH117" s="202"/>
      <c r="AI117" s="147" t="s">
        <v>293</v>
      </c>
      <c r="AJ117" s="451">
        <f>+(0.004*100)/2.5</f>
        <v>0.16</v>
      </c>
      <c r="AK117" s="451">
        <f>+AJ117*C4</f>
        <v>1.6E-2</v>
      </c>
      <c r="AL117" s="451">
        <f>+AJ117*D4</f>
        <v>7.2000000000000008E-2</v>
      </c>
      <c r="AM117" s="451">
        <f>+AJ117*E4</f>
        <v>0.04</v>
      </c>
      <c r="AN117" s="451">
        <f>+AJ117*F4</f>
        <v>3.2000000000000001E-2</v>
      </c>
      <c r="AO117" s="25" t="s">
        <v>358</v>
      </c>
      <c r="AP117" s="25" t="s">
        <v>202</v>
      </c>
      <c r="AQ117" s="25" t="s">
        <v>88</v>
      </c>
      <c r="AR117" s="25">
        <v>0.27</v>
      </c>
      <c r="AS117" s="366">
        <v>0.8</v>
      </c>
      <c r="AT117" s="366">
        <v>0.8</v>
      </c>
      <c r="AU117" s="8">
        <v>0.8</v>
      </c>
      <c r="AV117" s="8">
        <v>0.8</v>
      </c>
      <c r="AW117" s="8">
        <v>0.8</v>
      </c>
      <c r="AX117" s="366">
        <v>0.8</v>
      </c>
      <c r="AY117" s="195">
        <v>0</v>
      </c>
      <c r="AZ117" s="195">
        <v>0</v>
      </c>
      <c r="BA117" s="195">
        <v>0</v>
      </c>
      <c r="BB117" s="195">
        <v>0</v>
      </c>
      <c r="BC117" s="195">
        <f t="shared" si="26"/>
        <v>0</v>
      </c>
      <c r="BD117" s="146" t="s">
        <v>236</v>
      </c>
      <c r="BE117" s="146" t="s">
        <v>237</v>
      </c>
    </row>
    <row r="118" spans="1:57" ht="56.25" customHeight="1">
      <c r="A118" s="571"/>
      <c r="B118" s="572"/>
      <c r="C118" s="572"/>
      <c r="D118" s="572"/>
      <c r="E118" s="572"/>
      <c r="F118" s="572"/>
      <c r="G118" s="572"/>
      <c r="H118" s="572"/>
      <c r="I118" s="572"/>
      <c r="J118" s="572"/>
      <c r="K118" s="572"/>
      <c r="L118" s="572"/>
      <c r="M118" s="572"/>
      <c r="N118" s="201" t="s">
        <v>425</v>
      </c>
      <c r="O118" s="415">
        <f t="shared" si="27"/>
        <v>0.6</v>
      </c>
      <c r="P118" s="415">
        <f>+O118*C4</f>
        <v>0.06</v>
      </c>
      <c r="Q118" s="415">
        <f>+O118*D4</f>
        <v>0.27</v>
      </c>
      <c r="R118" s="415">
        <f>+O118*E4</f>
        <v>0.15</v>
      </c>
      <c r="S118" s="415">
        <f>+O118*F4</f>
        <v>0.12</v>
      </c>
      <c r="T118" s="591" t="s">
        <v>467</v>
      </c>
      <c r="U118" s="592" t="s">
        <v>202</v>
      </c>
      <c r="V118" s="591" t="s">
        <v>88</v>
      </c>
      <c r="W118" s="592" t="s">
        <v>221</v>
      </c>
      <c r="X118" s="592">
        <v>1</v>
      </c>
      <c r="Y118" s="592">
        <v>1</v>
      </c>
      <c r="Z118" s="592">
        <v>1</v>
      </c>
      <c r="AA118" s="592">
        <v>1</v>
      </c>
      <c r="AB118" s="592">
        <v>1</v>
      </c>
      <c r="AC118" s="6"/>
      <c r="AD118" s="202"/>
      <c r="AE118" s="202"/>
      <c r="AF118" s="202"/>
      <c r="AG118" s="452"/>
      <c r="AH118" s="453">
        <v>0.84</v>
      </c>
      <c r="AI118" s="147" t="s">
        <v>294</v>
      </c>
      <c r="AJ118" s="451">
        <f>+(0.0035*100)/2.5</f>
        <v>0.14000000000000001</v>
      </c>
      <c r="AK118" s="451">
        <f>+AJ118*C4</f>
        <v>1.4000000000000002E-2</v>
      </c>
      <c r="AL118" s="451">
        <f>+AJ118*D4</f>
        <v>6.3000000000000014E-2</v>
      </c>
      <c r="AM118" s="451">
        <f>+AJ118*E4</f>
        <v>3.5000000000000003E-2</v>
      </c>
      <c r="AN118" s="451">
        <f>+AJ118*F4</f>
        <v>2.8000000000000004E-2</v>
      </c>
      <c r="AO118" s="25" t="s">
        <v>359</v>
      </c>
      <c r="AP118" s="25" t="s">
        <v>202</v>
      </c>
      <c r="AQ118" s="25" t="s">
        <v>88</v>
      </c>
      <c r="AR118" s="190">
        <v>0.56999999999999995</v>
      </c>
      <c r="AS118" s="366">
        <v>1</v>
      </c>
      <c r="AT118" s="366">
        <v>0.56999999999999995</v>
      </c>
      <c r="AU118" s="8">
        <v>0.71</v>
      </c>
      <c r="AV118" s="8">
        <v>0.85</v>
      </c>
      <c r="AW118" s="8">
        <v>1</v>
      </c>
      <c r="AX118" s="366">
        <v>1</v>
      </c>
      <c r="AY118" s="195">
        <v>100000000</v>
      </c>
      <c r="AZ118" s="195">
        <v>200000000</v>
      </c>
      <c r="BA118" s="195">
        <v>100000000</v>
      </c>
      <c r="BB118" s="195">
        <v>100000000</v>
      </c>
      <c r="BC118" s="195">
        <f t="shared" si="26"/>
        <v>500000000</v>
      </c>
      <c r="BD118" s="198" t="s">
        <v>236</v>
      </c>
      <c r="BE118" s="198" t="s">
        <v>237</v>
      </c>
    </row>
    <row r="119" spans="1:57" ht="33.75" customHeight="1">
      <c r="A119" s="571"/>
      <c r="B119" s="572"/>
      <c r="C119" s="572"/>
      <c r="D119" s="572"/>
      <c r="E119" s="572"/>
      <c r="F119" s="572"/>
      <c r="G119" s="572"/>
      <c r="H119" s="572"/>
      <c r="I119" s="572"/>
      <c r="J119" s="572"/>
      <c r="K119" s="572"/>
      <c r="L119" s="572"/>
      <c r="M119" s="572"/>
      <c r="N119" s="200" t="s">
        <v>426</v>
      </c>
      <c r="O119" s="404">
        <f>+(0.06*100)/10</f>
        <v>0.6</v>
      </c>
      <c r="P119" s="404">
        <f>+O119*C4</f>
        <v>0.06</v>
      </c>
      <c r="Q119" s="404">
        <f>+O119*D4</f>
        <v>0.27</v>
      </c>
      <c r="R119" s="404">
        <f>+O119*E4</f>
        <v>0.15</v>
      </c>
      <c r="S119" s="404">
        <f>+O119*F4</f>
        <v>0.12</v>
      </c>
      <c r="T119" s="591" t="s">
        <v>468</v>
      </c>
      <c r="U119" s="592" t="s">
        <v>202</v>
      </c>
      <c r="V119" s="591" t="s">
        <v>400</v>
      </c>
      <c r="W119" s="592" t="s">
        <v>511</v>
      </c>
      <c r="X119" s="592" t="s">
        <v>533</v>
      </c>
      <c r="Y119" s="592">
        <v>16.350000000000001</v>
      </c>
      <c r="Z119" s="592">
        <v>16</v>
      </c>
      <c r="AA119" s="592">
        <v>15.8</v>
      </c>
      <c r="AB119" s="592">
        <v>15.65</v>
      </c>
      <c r="AC119" s="6"/>
      <c r="AD119" s="202"/>
      <c r="AE119" s="202"/>
      <c r="AF119" s="202"/>
      <c r="AG119" s="202"/>
      <c r="AH119" s="202"/>
      <c r="AI119" s="147" t="s">
        <v>295</v>
      </c>
      <c r="AJ119" s="451">
        <f t="shared" ref="AJ119:AJ123" si="28">+(0.0035*100)/2.5</f>
        <v>0.14000000000000001</v>
      </c>
      <c r="AK119" s="451">
        <f>+AJ119*C4</f>
        <v>1.4000000000000002E-2</v>
      </c>
      <c r="AL119" s="451">
        <f>+AJ119*D4</f>
        <v>6.3000000000000014E-2</v>
      </c>
      <c r="AM119" s="451">
        <f>+AJ119*E4</f>
        <v>3.5000000000000003E-2</v>
      </c>
      <c r="AN119" s="451">
        <f>+AJ119*F4</f>
        <v>2.8000000000000004E-2</v>
      </c>
      <c r="AO119" s="25" t="s">
        <v>360</v>
      </c>
      <c r="AP119" s="25" t="s">
        <v>202</v>
      </c>
      <c r="AQ119" s="25" t="s">
        <v>88</v>
      </c>
      <c r="AR119" s="25">
        <v>1</v>
      </c>
      <c r="AS119" s="366">
        <v>1</v>
      </c>
      <c r="AT119" s="366">
        <v>1</v>
      </c>
      <c r="AU119" s="8">
        <v>1</v>
      </c>
      <c r="AV119" s="8">
        <v>1</v>
      </c>
      <c r="AW119" s="8">
        <v>1</v>
      </c>
      <c r="AX119" s="366">
        <v>1</v>
      </c>
      <c r="AY119" s="195">
        <v>0</v>
      </c>
      <c r="AZ119" s="195">
        <v>0</v>
      </c>
      <c r="BA119" s="195">
        <v>0</v>
      </c>
      <c r="BB119" s="195">
        <v>0</v>
      </c>
      <c r="BC119" s="195">
        <f t="shared" si="26"/>
        <v>0</v>
      </c>
      <c r="BD119" s="146" t="s">
        <v>236</v>
      </c>
      <c r="BE119" s="146" t="s">
        <v>237</v>
      </c>
    </row>
    <row r="120" spans="1:57" ht="56.25">
      <c r="A120" s="571"/>
      <c r="B120" s="572"/>
      <c r="C120" s="572"/>
      <c r="D120" s="572"/>
      <c r="E120" s="572"/>
      <c r="F120" s="572"/>
      <c r="G120" s="572"/>
      <c r="H120" s="572"/>
      <c r="I120" s="572"/>
      <c r="J120" s="572"/>
      <c r="K120" s="572"/>
      <c r="L120" s="572"/>
      <c r="M120" s="572"/>
      <c r="N120" s="200"/>
      <c r="O120" s="376"/>
      <c r="P120" s="362"/>
      <c r="Q120" s="362"/>
      <c r="R120" s="362"/>
      <c r="S120" s="362"/>
      <c r="T120" s="598"/>
      <c r="U120" s="598"/>
      <c r="V120" s="598"/>
      <c r="W120" s="598"/>
      <c r="X120" s="598"/>
      <c r="Y120" s="596"/>
      <c r="Z120" s="596"/>
      <c r="AA120" s="596"/>
      <c r="AB120" s="596"/>
      <c r="AC120" s="6"/>
      <c r="AD120" s="202"/>
      <c r="AE120" s="202"/>
      <c r="AF120" s="202"/>
      <c r="AG120" s="202"/>
      <c r="AH120" s="202"/>
      <c r="AI120" s="147" t="s">
        <v>296</v>
      </c>
      <c r="AJ120" s="451">
        <f t="shared" si="28"/>
        <v>0.14000000000000001</v>
      </c>
      <c r="AK120" s="451">
        <f>+AJ120*C4</f>
        <v>1.4000000000000002E-2</v>
      </c>
      <c r="AL120" s="451">
        <f>+AJ120*D4</f>
        <v>6.3000000000000014E-2</v>
      </c>
      <c r="AM120" s="451">
        <f>+AJ120*E4</f>
        <v>3.5000000000000003E-2</v>
      </c>
      <c r="AN120" s="451">
        <f>+AJ120*F4</f>
        <v>2.8000000000000004E-2</v>
      </c>
      <c r="AO120" s="25" t="s">
        <v>361</v>
      </c>
      <c r="AP120" s="25" t="s">
        <v>202</v>
      </c>
      <c r="AQ120" s="25" t="s">
        <v>88</v>
      </c>
      <c r="AR120" s="8">
        <v>0.14699999999999999</v>
      </c>
      <c r="AS120" s="366">
        <v>1</v>
      </c>
      <c r="AT120" s="366">
        <v>0.15</v>
      </c>
      <c r="AU120" s="8">
        <v>0.3</v>
      </c>
      <c r="AV120" s="8">
        <v>1</v>
      </c>
      <c r="AW120" s="8">
        <v>1</v>
      </c>
      <c r="AX120" s="366">
        <v>1</v>
      </c>
      <c r="AY120" s="195">
        <v>0</v>
      </c>
      <c r="AZ120" s="195">
        <v>0</v>
      </c>
      <c r="BA120" s="195">
        <v>0</v>
      </c>
      <c r="BB120" s="195">
        <v>0</v>
      </c>
      <c r="BC120" s="195">
        <f t="shared" si="26"/>
        <v>0</v>
      </c>
      <c r="BD120" s="146" t="s">
        <v>236</v>
      </c>
      <c r="BE120" s="146" t="s">
        <v>237</v>
      </c>
    </row>
    <row r="121" spans="1:57" ht="45">
      <c r="A121" s="571"/>
      <c r="B121" s="572"/>
      <c r="C121" s="572"/>
      <c r="D121" s="572"/>
      <c r="E121" s="572"/>
      <c r="F121" s="572"/>
      <c r="G121" s="572"/>
      <c r="H121" s="572"/>
      <c r="I121" s="572"/>
      <c r="J121" s="572"/>
      <c r="K121" s="572"/>
      <c r="L121" s="572"/>
      <c r="M121" s="572"/>
      <c r="N121" s="182"/>
      <c r="O121" s="377"/>
      <c r="P121" s="389"/>
      <c r="Q121" s="389"/>
      <c r="R121" s="389"/>
      <c r="S121" s="389"/>
      <c r="T121" s="593"/>
      <c r="U121" s="593"/>
      <c r="V121" s="593"/>
      <c r="W121" s="593"/>
      <c r="X121" s="593"/>
      <c r="Y121" s="593"/>
      <c r="Z121" s="593"/>
      <c r="AA121" s="593"/>
      <c r="AB121" s="593"/>
      <c r="AC121" s="6"/>
      <c r="AD121" s="202"/>
      <c r="AE121" s="202"/>
      <c r="AF121" s="202"/>
      <c r="AG121" s="202"/>
      <c r="AH121" s="202"/>
      <c r="AI121" s="147" t="s">
        <v>297</v>
      </c>
      <c r="AJ121" s="451">
        <f t="shared" si="28"/>
        <v>0.14000000000000001</v>
      </c>
      <c r="AK121" s="451">
        <f>+AJ121*C4</f>
        <v>1.4000000000000002E-2</v>
      </c>
      <c r="AL121" s="451">
        <f>+AJ121*D4</f>
        <v>6.3000000000000014E-2</v>
      </c>
      <c r="AM121" s="451">
        <f>+AJ121*E4</f>
        <v>3.5000000000000003E-2</v>
      </c>
      <c r="AN121" s="451">
        <f>+AJ121*F4</f>
        <v>2.8000000000000004E-2</v>
      </c>
      <c r="AO121" s="25" t="s">
        <v>362</v>
      </c>
      <c r="AP121" s="25" t="s">
        <v>202</v>
      </c>
      <c r="AQ121" s="25" t="s">
        <v>88</v>
      </c>
      <c r="AR121" s="8">
        <v>0.43</v>
      </c>
      <c r="AS121" s="366">
        <v>1</v>
      </c>
      <c r="AT121" s="366">
        <v>0.43</v>
      </c>
      <c r="AU121" s="8">
        <v>0.2</v>
      </c>
      <c r="AV121" s="8">
        <v>0.2</v>
      </c>
      <c r="AW121" s="8">
        <v>1</v>
      </c>
      <c r="AX121" s="366">
        <v>1</v>
      </c>
      <c r="AY121" s="195">
        <v>0</v>
      </c>
      <c r="AZ121" s="195">
        <v>0</v>
      </c>
      <c r="BA121" s="195">
        <v>0</v>
      </c>
      <c r="BB121" s="195">
        <v>0</v>
      </c>
      <c r="BC121" s="195">
        <f t="shared" si="26"/>
        <v>0</v>
      </c>
      <c r="BD121" s="146" t="s">
        <v>236</v>
      </c>
      <c r="BE121" s="146" t="s">
        <v>237</v>
      </c>
    </row>
    <row r="122" spans="1:57" ht="67.5">
      <c r="A122" s="571"/>
      <c r="B122" s="572"/>
      <c r="C122" s="572"/>
      <c r="D122" s="572"/>
      <c r="E122" s="572"/>
      <c r="F122" s="572"/>
      <c r="G122" s="572"/>
      <c r="H122" s="572"/>
      <c r="I122" s="572"/>
      <c r="J122" s="572"/>
      <c r="K122" s="572"/>
      <c r="L122" s="572"/>
      <c r="M122" s="572"/>
      <c r="N122" s="200" t="s">
        <v>427</v>
      </c>
      <c r="O122" s="158">
        <f>+(0.06*100)/10</f>
        <v>0.6</v>
      </c>
      <c r="P122" s="404">
        <f>+O122*C4</f>
        <v>0.06</v>
      </c>
      <c r="Q122" s="404">
        <f>O122*D4</f>
        <v>0.27</v>
      </c>
      <c r="R122" s="404">
        <f>+O122*E4</f>
        <v>0.15</v>
      </c>
      <c r="S122" s="404">
        <f>+O122*F4</f>
        <v>0.12</v>
      </c>
      <c r="T122" s="591" t="s">
        <v>469</v>
      </c>
      <c r="U122" s="592" t="s">
        <v>1454</v>
      </c>
      <c r="V122" s="591" t="s">
        <v>88</v>
      </c>
      <c r="W122" s="592" t="s">
        <v>512</v>
      </c>
      <c r="X122" s="592" t="s">
        <v>534</v>
      </c>
      <c r="Y122" s="592">
        <v>0.9</v>
      </c>
      <c r="Z122" s="592">
        <v>0.85</v>
      </c>
      <c r="AA122" s="592">
        <v>0.83</v>
      </c>
      <c r="AB122" s="592">
        <v>0.82</v>
      </c>
      <c r="AC122" s="6"/>
      <c r="AD122" s="202"/>
      <c r="AE122" s="202"/>
      <c r="AF122" s="202"/>
      <c r="AG122" s="202"/>
      <c r="AH122" s="202"/>
      <c r="AI122" s="147" t="s">
        <v>298</v>
      </c>
      <c r="AJ122" s="451">
        <f t="shared" si="28"/>
        <v>0.14000000000000001</v>
      </c>
      <c r="AK122" s="451">
        <f>+AJ122*C4</f>
        <v>1.4000000000000002E-2</v>
      </c>
      <c r="AL122" s="451">
        <f>+AJ122*D4</f>
        <v>6.3000000000000014E-2</v>
      </c>
      <c r="AM122" s="451">
        <f>+AJ122*E4</f>
        <v>3.5000000000000003E-2</v>
      </c>
      <c r="AN122" s="451">
        <f>+AJ122*F4</f>
        <v>2.8000000000000004E-2</v>
      </c>
      <c r="AO122" s="25" t="s">
        <v>363</v>
      </c>
      <c r="AP122" s="25" t="s">
        <v>202</v>
      </c>
      <c r="AQ122" s="25" t="s">
        <v>88</v>
      </c>
      <c r="AR122" s="451">
        <v>0</v>
      </c>
      <c r="AS122" s="366">
        <v>1</v>
      </c>
      <c r="AT122" s="366">
        <v>0.28570000000000001</v>
      </c>
      <c r="AU122" s="8">
        <v>0.57140000000000002</v>
      </c>
      <c r="AV122" s="8">
        <v>0.85709999999999997</v>
      </c>
      <c r="AW122" s="8">
        <v>1</v>
      </c>
      <c r="AX122" s="366">
        <v>1</v>
      </c>
      <c r="AY122" s="195">
        <v>0</v>
      </c>
      <c r="AZ122" s="195">
        <v>0</v>
      </c>
      <c r="BA122" s="195">
        <v>0</v>
      </c>
      <c r="BB122" s="195">
        <v>0</v>
      </c>
      <c r="BC122" s="195">
        <f t="shared" si="26"/>
        <v>0</v>
      </c>
      <c r="BD122" s="146" t="s">
        <v>236</v>
      </c>
      <c r="BE122" s="146" t="s">
        <v>237</v>
      </c>
    </row>
    <row r="123" spans="1:57" ht="56.25">
      <c r="A123" s="571"/>
      <c r="B123" s="572"/>
      <c r="C123" s="572"/>
      <c r="D123" s="572"/>
      <c r="E123" s="572"/>
      <c r="F123" s="572"/>
      <c r="G123" s="572"/>
      <c r="H123" s="572"/>
      <c r="I123" s="572"/>
      <c r="J123" s="572"/>
      <c r="K123" s="572"/>
      <c r="L123" s="572"/>
      <c r="M123" s="572"/>
      <c r="N123" s="200"/>
      <c r="O123" s="362"/>
      <c r="P123" s="362"/>
      <c r="Q123" s="362"/>
      <c r="R123" s="362"/>
      <c r="S123" s="362"/>
      <c r="T123" s="593"/>
      <c r="U123" s="593"/>
      <c r="V123" s="593"/>
      <c r="W123" s="593"/>
      <c r="X123" s="593"/>
      <c r="Y123" s="593"/>
      <c r="Z123" s="593"/>
      <c r="AA123" s="593"/>
      <c r="AB123" s="593"/>
      <c r="AC123" s="6"/>
      <c r="AD123" s="202"/>
      <c r="AE123" s="202"/>
      <c r="AF123" s="202"/>
      <c r="AG123" s="202"/>
      <c r="AH123" s="202"/>
      <c r="AI123" s="147" t="s">
        <v>299</v>
      </c>
      <c r="AJ123" s="451">
        <f t="shared" si="28"/>
        <v>0.14000000000000001</v>
      </c>
      <c r="AK123" s="451">
        <f>+AJ123*C4</f>
        <v>1.4000000000000002E-2</v>
      </c>
      <c r="AL123" s="451">
        <f>+AJ123*D4</f>
        <v>6.3000000000000014E-2</v>
      </c>
      <c r="AM123" s="451">
        <f>+AJ123*E4</f>
        <v>3.5000000000000003E-2</v>
      </c>
      <c r="AN123" s="451">
        <f>+AJ123*F4</f>
        <v>2.8000000000000004E-2</v>
      </c>
      <c r="AO123" s="25" t="s">
        <v>364</v>
      </c>
      <c r="AP123" s="25" t="s">
        <v>202</v>
      </c>
      <c r="AQ123" s="25" t="s">
        <v>87</v>
      </c>
      <c r="AR123" s="451">
        <v>0</v>
      </c>
      <c r="AS123" s="451">
        <v>7</v>
      </c>
      <c r="AT123" s="451">
        <v>1</v>
      </c>
      <c r="AU123" s="451">
        <v>3</v>
      </c>
      <c r="AV123" s="451">
        <v>3</v>
      </c>
      <c r="AW123" s="451">
        <v>7</v>
      </c>
      <c r="AX123" s="451">
        <v>7</v>
      </c>
      <c r="AY123" s="195">
        <v>0</v>
      </c>
      <c r="AZ123" s="195">
        <v>0</v>
      </c>
      <c r="BA123" s="195">
        <v>0</v>
      </c>
      <c r="BB123" s="195">
        <v>0</v>
      </c>
      <c r="BC123" s="195">
        <f t="shared" si="26"/>
        <v>0</v>
      </c>
      <c r="BD123" s="146" t="s">
        <v>236</v>
      </c>
      <c r="BE123" s="146" t="s">
        <v>237</v>
      </c>
    </row>
    <row r="124" spans="1:57" ht="33.75">
      <c r="A124" s="571"/>
      <c r="B124" s="572"/>
      <c r="C124" s="572"/>
      <c r="D124" s="572"/>
      <c r="E124" s="572"/>
      <c r="F124" s="572"/>
      <c r="G124" s="572"/>
      <c r="H124" s="572"/>
      <c r="I124" s="572"/>
      <c r="J124" s="572"/>
      <c r="K124" s="572"/>
      <c r="L124" s="572"/>
      <c r="M124" s="572"/>
      <c r="N124" s="194" t="s">
        <v>1483</v>
      </c>
      <c r="O124" s="158">
        <f>+(0.06*100)/10</f>
        <v>0.6</v>
      </c>
      <c r="P124" s="158">
        <f>+O124*C4</f>
        <v>0.06</v>
      </c>
      <c r="Q124" s="158">
        <f>+O124*D4</f>
        <v>0.27</v>
      </c>
      <c r="R124" s="158">
        <f>+O124*E4</f>
        <v>0.15</v>
      </c>
      <c r="S124" s="158">
        <f>+O124*F4</f>
        <v>0.12</v>
      </c>
      <c r="T124" s="194" t="s">
        <v>1484</v>
      </c>
      <c r="U124" s="458" t="s">
        <v>1454</v>
      </c>
      <c r="V124" s="194" t="s">
        <v>400</v>
      </c>
      <c r="W124" s="458">
        <v>27</v>
      </c>
      <c r="X124" s="458">
        <v>24</v>
      </c>
      <c r="Y124" s="458">
        <v>26.5</v>
      </c>
      <c r="Z124" s="458">
        <v>25</v>
      </c>
      <c r="AA124" s="458">
        <v>24.5</v>
      </c>
      <c r="AB124" s="458">
        <v>24</v>
      </c>
      <c r="AC124" s="6"/>
      <c r="AD124" s="202"/>
      <c r="AE124" s="202"/>
      <c r="AF124" s="202"/>
      <c r="AG124" s="202"/>
      <c r="AH124" s="202">
        <v>10.92</v>
      </c>
      <c r="AI124" s="147" t="s">
        <v>300</v>
      </c>
      <c r="AJ124" s="451">
        <v>1.22</v>
      </c>
      <c r="AK124" s="451">
        <f>+AJ124*C4</f>
        <v>0.122</v>
      </c>
      <c r="AL124" s="451">
        <f>+AJ124*D4</f>
        <v>0.54900000000000004</v>
      </c>
      <c r="AM124" s="451">
        <f>+AJ124*E4</f>
        <v>0.30499999999999999</v>
      </c>
      <c r="AN124" s="451">
        <f>+AJ124*F4</f>
        <v>0.24399999999999999</v>
      </c>
      <c r="AO124" s="25" t="s">
        <v>365</v>
      </c>
      <c r="AP124" s="25" t="s">
        <v>202</v>
      </c>
      <c r="AQ124" s="25" t="s">
        <v>88</v>
      </c>
      <c r="AR124" s="25" t="s">
        <v>221</v>
      </c>
      <c r="AS124" s="366">
        <v>1</v>
      </c>
      <c r="AT124" s="366">
        <v>1</v>
      </c>
      <c r="AU124" s="366">
        <v>1</v>
      </c>
      <c r="AV124" s="366">
        <v>1</v>
      </c>
      <c r="AW124" s="366">
        <v>1</v>
      </c>
      <c r="AX124" s="366">
        <v>1</v>
      </c>
      <c r="AY124" s="195">
        <v>2196718888</v>
      </c>
      <c r="AZ124" s="195">
        <v>1500000000</v>
      </c>
      <c r="BA124" s="195">
        <v>1000000000</v>
      </c>
      <c r="BB124" s="195">
        <v>1000000000</v>
      </c>
      <c r="BC124" s="195">
        <f t="shared" si="26"/>
        <v>5696718888</v>
      </c>
      <c r="BD124" s="146" t="s">
        <v>236</v>
      </c>
      <c r="BE124" s="146" t="s">
        <v>237</v>
      </c>
    </row>
    <row r="125" spans="1:57" ht="45">
      <c r="A125" s="571"/>
      <c r="B125" s="572"/>
      <c r="C125" s="572"/>
      <c r="D125" s="572"/>
      <c r="E125" s="572"/>
      <c r="F125" s="572"/>
      <c r="G125" s="572"/>
      <c r="H125" s="572"/>
      <c r="I125" s="572"/>
      <c r="J125" s="572"/>
      <c r="K125" s="572"/>
      <c r="L125" s="572"/>
      <c r="M125" s="572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6"/>
      <c r="AD125" s="202"/>
      <c r="AE125" s="202"/>
      <c r="AF125" s="202"/>
      <c r="AG125" s="202"/>
      <c r="AH125" s="202"/>
      <c r="AI125" s="147" t="s">
        <v>301</v>
      </c>
      <c r="AJ125" s="451">
        <v>1.22</v>
      </c>
      <c r="AK125" s="451">
        <f>+AJ125*C4</f>
        <v>0.122</v>
      </c>
      <c r="AL125" s="451">
        <f>+AJ125*D4</f>
        <v>0.54900000000000004</v>
      </c>
      <c r="AM125" s="451">
        <f>+AJ125*E4</f>
        <v>0.30499999999999999</v>
      </c>
      <c r="AN125" s="451">
        <f>+AJ125*F4</f>
        <v>0.24399999999999999</v>
      </c>
      <c r="AO125" s="25" t="s">
        <v>366</v>
      </c>
      <c r="AP125" s="25" t="s">
        <v>202</v>
      </c>
      <c r="AQ125" s="25" t="s">
        <v>88</v>
      </c>
      <c r="AR125" s="25" t="s">
        <v>221</v>
      </c>
      <c r="AS125" s="366">
        <v>0.6</v>
      </c>
      <c r="AT125" s="366">
        <v>0.6</v>
      </c>
      <c r="AU125" s="366">
        <v>0.6</v>
      </c>
      <c r="AV125" s="366">
        <v>0.6</v>
      </c>
      <c r="AW125" s="366">
        <v>0.6</v>
      </c>
      <c r="AX125" s="366">
        <v>0.6</v>
      </c>
      <c r="AY125" s="195">
        <v>0</v>
      </c>
      <c r="AZ125" s="195">
        <v>0</v>
      </c>
      <c r="BA125" s="195">
        <v>0</v>
      </c>
      <c r="BB125" s="195">
        <v>0</v>
      </c>
      <c r="BC125" s="195">
        <f t="shared" si="26"/>
        <v>0</v>
      </c>
      <c r="BD125" s="146" t="s">
        <v>236</v>
      </c>
      <c r="BE125" s="146" t="s">
        <v>237</v>
      </c>
    </row>
    <row r="126" spans="1:57" ht="56.25">
      <c r="A126" s="571"/>
      <c r="B126" s="572"/>
      <c r="C126" s="572"/>
      <c r="D126" s="572"/>
      <c r="E126" s="572"/>
      <c r="F126" s="572"/>
      <c r="G126" s="572"/>
      <c r="H126" s="572"/>
      <c r="I126" s="572"/>
      <c r="J126" s="572"/>
      <c r="K126" s="572"/>
      <c r="L126" s="572"/>
      <c r="M126" s="572"/>
      <c r="N126" s="599" t="s">
        <v>428</v>
      </c>
      <c r="O126" s="158">
        <f>+(0.06*100)/10</f>
        <v>0.6</v>
      </c>
      <c r="P126" s="158">
        <f>+O126*C4</f>
        <v>0.06</v>
      </c>
      <c r="Q126" s="158">
        <f>+O126*D4</f>
        <v>0.27</v>
      </c>
      <c r="R126" s="158">
        <f>+O126*E4</f>
        <v>0.15</v>
      </c>
      <c r="S126" s="158">
        <f>+O126*F4</f>
        <v>0.12</v>
      </c>
      <c r="T126" s="599" t="s">
        <v>470</v>
      </c>
      <c r="U126" s="595" t="s">
        <v>1454</v>
      </c>
      <c r="V126" s="591" t="s">
        <v>88</v>
      </c>
      <c r="W126" s="600">
        <v>5.6000000000000001E-2</v>
      </c>
      <c r="X126" s="600">
        <v>5.6000000000000001E-2</v>
      </c>
      <c r="Y126" s="600">
        <v>5.6000000000000001E-2</v>
      </c>
      <c r="Z126" s="600">
        <v>5.6000000000000001E-2</v>
      </c>
      <c r="AA126" s="600">
        <v>5.6000000000000001E-2</v>
      </c>
      <c r="AB126" s="600">
        <v>5.6000000000000001E-2</v>
      </c>
      <c r="AC126" s="6"/>
      <c r="AD126" s="202"/>
      <c r="AE126" s="202"/>
      <c r="AF126" s="202"/>
      <c r="AG126" s="202"/>
      <c r="AH126" s="202"/>
      <c r="AI126" s="147" t="s">
        <v>302</v>
      </c>
      <c r="AJ126" s="451">
        <v>1.22</v>
      </c>
      <c r="AK126" s="451">
        <f>+AJ126*C4</f>
        <v>0.122</v>
      </c>
      <c r="AL126" s="451">
        <f>+AJ126*D4</f>
        <v>0.54900000000000004</v>
      </c>
      <c r="AM126" s="451">
        <f>+AJ126*E4</f>
        <v>0.30499999999999999</v>
      </c>
      <c r="AN126" s="451">
        <f>+AJ126*F4</f>
        <v>0.24399999999999999</v>
      </c>
      <c r="AO126" s="25" t="s">
        <v>367</v>
      </c>
      <c r="AP126" s="25" t="s">
        <v>202</v>
      </c>
      <c r="AQ126" s="25" t="s">
        <v>88</v>
      </c>
      <c r="AR126" s="451">
        <v>69</v>
      </c>
      <c r="AS126" s="366">
        <v>1</v>
      </c>
      <c r="AT126" s="366">
        <v>1</v>
      </c>
      <c r="AU126" s="366">
        <v>1</v>
      </c>
      <c r="AV126" s="366">
        <v>1</v>
      </c>
      <c r="AW126" s="366">
        <v>1</v>
      </c>
      <c r="AX126" s="366">
        <v>1</v>
      </c>
      <c r="AY126" s="195">
        <v>0</v>
      </c>
      <c r="AZ126" s="195">
        <v>0</v>
      </c>
      <c r="BA126" s="195">
        <v>0</v>
      </c>
      <c r="BB126" s="195">
        <v>0</v>
      </c>
      <c r="BC126" s="195">
        <f t="shared" si="26"/>
        <v>0</v>
      </c>
      <c r="BD126" s="146" t="s">
        <v>236</v>
      </c>
      <c r="BE126" s="146" t="s">
        <v>237</v>
      </c>
    </row>
    <row r="127" spans="1:57" ht="56.25">
      <c r="A127" s="571"/>
      <c r="B127" s="572"/>
      <c r="C127" s="572"/>
      <c r="D127" s="572"/>
      <c r="E127" s="572"/>
      <c r="F127" s="572"/>
      <c r="G127" s="572"/>
      <c r="H127" s="572"/>
      <c r="I127" s="572"/>
      <c r="J127" s="572"/>
      <c r="K127" s="572"/>
      <c r="L127" s="572"/>
      <c r="M127" s="572"/>
      <c r="N127" s="147" t="s">
        <v>429</v>
      </c>
      <c r="O127" s="158">
        <f>+(0.06*100)/10</f>
        <v>0.6</v>
      </c>
      <c r="P127" s="158">
        <f>+O127*C4</f>
        <v>0.06</v>
      </c>
      <c r="Q127" s="158">
        <f>+O127*D4</f>
        <v>0.27</v>
      </c>
      <c r="R127" s="158">
        <f>+O127*E4</f>
        <v>0.15</v>
      </c>
      <c r="S127" s="158">
        <f>+O127*F4</f>
        <v>0.12</v>
      </c>
      <c r="T127" s="147" t="s">
        <v>471</v>
      </c>
      <c r="U127" s="146" t="s">
        <v>202</v>
      </c>
      <c r="V127" s="591" t="s">
        <v>88</v>
      </c>
      <c r="W127" s="601">
        <v>0.14299999999999999</v>
      </c>
      <c r="X127" s="602">
        <v>1</v>
      </c>
      <c r="Y127" s="602">
        <v>0.2</v>
      </c>
      <c r="Z127" s="602">
        <v>0.6</v>
      </c>
      <c r="AA127" s="602">
        <v>0.8</v>
      </c>
      <c r="AB127" s="602">
        <v>1</v>
      </c>
      <c r="AC127" s="6"/>
      <c r="AD127" s="202"/>
      <c r="AE127" s="202"/>
      <c r="AF127" s="202"/>
      <c r="AG127" s="202"/>
      <c r="AH127" s="202"/>
      <c r="AI127" s="147" t="s">
        <v>303</v>
      </c>
      <c r="AJ127" s="451">
        <v>1.21</v>
      </c>
      <c r="AK127" s="451">
        <f>+AJ127*C4</f>
        <v>0.121</v>
      </c>
      <c r="AL127" s="451">
        <f>+AJ127*D4</f>
        <v>0.54449999999999998</v>
      </c>
      <c r="AM127" s="451">
        <f>+AJ127*E4</f>
        <v>0.30249999999999999</v>
      </c>
      <c r="AN127" s="451">
        <f>+AJ127*F4</f>
        <v>0.24199999999999999</v>
      </c>
      <c r="AO127" s="25" t="s">
        <v>368</v>
      </c>
      <c r="AP127" s="25" t="s">
        <v>202</v>
      </c>
      <c r="AQ127" s="25" t="s">
        <v>87</v>
      </c>
      <c r="AR127" s="451">
        <v>1</v>
      </c>
      <c r="AS127" s="451">
        <v>7</v>
      </c>
      <c r="AT127" s="451">
        <v>1</v>
      </c>
      <c r="AU127" s="451">
        <v>2</v>
      </c>
      <c r="AV127" s="451">
        <v>2</v>
      </c>
      <c r="AW127" s="451">
        <v>7</v>
      </c>
      <c r="AX127" s="451">
        <v>7</v>
      </c>
      <c r="AY127" s="195">
        <v>0</v>
      </c>
      <c r="AZ127" s="195">
        <v>0</v>
      </c>
      <c r="BA127" s="195">
        <v>0</v>
      </c>
      <c r="BB127" s="195">
        <v>0</v>
      </c>
      <c r="BC127" s="195">
        <f t="shared" si="26"/>
        <v>0</v>
      </c>
      <c r="BD127" s="146" t="s">
        <v>236</v>
      </c>
      <c r="BE127" s="146" t="s">
        <v>237</v>
      </c>
    </row>
    <row r="128" spans="1:57" ht="90">
      <c r="A128" s="571"/>
      <c r="B128" s="572"/>
      <c r="C128" s="572"/>
      <c r="D128" s="572"/>
      <c r="E128" s="572"/>
      <c r="F128" s="572"/>
      <c r="G128" s="572"/>
      <c r="H128" s="572"/>
      <c r="I128" s="572"/>
      <c r="J128" s="572"/>
      <c r="K128" s="572"/>
      <c r="L128" s="572"/>
      <c r="M128" s="572"/>
      <c r="N128" s="591" t="s">
        <v>430</v>
      </c>
      <c r="O128" s="158">
        <f>+(0.06*100)/10</f>
        <v>0.6</v>
      </c>
      <c r="P128" s="158">
        <f>+O128*C4</f>
        <v>0.06</v>
      </c>
      <c r="Q128" s="158">
        <f>+O128*D4</f>
        <v>0.27</v>
      </c>
      <c r="R128" s="158">
        <f>+O128*E4</f>
        <v>0.15</v>
      </c>
      <c r="S128" s="158">
        <f>+O128*F4</f>
        <v>0.12</v>
      </c>
      <c r="T128" s="591" t="s">
        <v>472</v>
      </c>
      <c r="U128" s="591" t="s">
        <v>203</v>
      </c>
      <c r="V128" s="591" t="s">
        <v>88</v>
      </c>
      <c r="W128" s="603">
        <v>0.85</v>
      </c>
      <c r="X128" s="603">
        <v>0.95</v>
      </c>
      <c r="Y128" s="603">
        <v>0.95</v>
      </c>
      <c r="Z128" s="603">
        <v>0.95</v>
      </c>
      <c r="AA128" s="603">
        <v>0.95</v>
      </c>
      <c r="AB128" s="603">
        <v>0.95</v>
      </c>
      <c r="AC128" s="6"/>
      <c r="AD128" s="202"/>
      <c r="AE128" s="202"/>
      <c r="AF128" s="202"/>
      <c r="AG128" s="202"/>
      <c r="AH128" s="202"/>
      <c r="AI128" s="147" t="s">
        <v>304</v>
      </c>
      <c r="AJ128" s="458">
        <v>1.21</v>
      </c>
      <c r="AK128" s="460">
        <f>+AJ128*C4</f>
        <v>0.121</v>
      </c>
      <c r="AL128" s="460">
        <f>+AJ128*D4</f>
        <v>0.54449999999999998</v>
      </c>
      <c r="AM128" s="460">
        <f>+AJ128*E4</f>
        <v>0.30249999999999999</v>
      </c>
      <c r="AN128" s="460">
        <f>+AJ128*F4</f>
        <v>0.24199999999999999</v>
      </c>
      <c r="AO128" s="25" t="s">
        <v>369</v>
      </c>
      <c r="AP128" s="25" t="s">
        <v>202</v>
      </c>
      <c r="AQ128" s="25" t="s">
        <v>88</v>
      </c>
      <c r="AR128" s="25">
        <v>0.83</v>
      </c>
      <c r="AS128" s="8">
        <v>1</v>
      </c>
      <c r="AT128" s="8">
        <v>1</v>
      </c>
      <c r="AU128" s="8">
        <v>1</v>
      </c>
      <c r="AV128" s="8">
        <v>1</v>
      </c>
      <c r="AW128" s="8">
        <v>1</v>
      </c>
      <c r="AX128" s="8">
        <v>1</v>
      </c>
      <c r="AY128" s="195">
        <v>0</v>
      </c>
      <c r="AZ128" s="195">
        <v>0</v>
      </c>
      <c r="BA128" s="195">
        <v>0</v>
      </c>
      <c r="BB128" s="195">
        <v>0</v>
      </c>
      <c r="BC128" s="195">
        <f t="shared" si="26"/>
        <v>0</v>
      </c>
      <c r="BD128" s="146" t="s">
        <v>236</v>
      </c>
      <c r="BE128" s="146" t="s">
        <v>237</v>
      </c>
    </row>
    <row r="129" spans="1:57" ht="78.75" customHeight="1">
      <c r="A129" s="571"/>
      <c r="B129" s="572"/>
      <c r="C129" s="572"/>
      <c r="D129" s="572"/>
      <c r="E129" s="572"/>
      <c r="F129" s="572"/>
      <c r="G129" s="572"/>
      <c r="H129" s="572"/>
      <c r="I129" s="572"/>
      <c r="J129" s="572"/>
      <c r="K129" s="572"/>
      <c r="L129" s="572"/>
      <c r="M129" s="572"/>
      <c r="N129" s="598"/>
      <c r="O129" s="598"/>
      <c r="P129" s="598"/>
      <c r="Q129" s="598"/>
      <c r="R129" s="598"/>
      <c r="S129" s="598"/>
      <c r="T129" s="591" t="s">
        <v>473</v>
      </c>
      <c r="U129" s="591" t="s">
        <v>203</v>
      </c>
      <c r="V129" s="591" t="s">
        <v>88</v>
      </c>
      <c r="W129" s="603">
        <v>0.95</v>
      </c>
      <c r="X129" s="603">
        <v>0.95</v>
      </c>
      <c r="Y129" s="603">
        <v>0.95</v>
      </c>
      <c r="Z129" s="603">
        <v>0.95</v>
      </c>
      <c r="AA129" s="603">
        <v>0.95</v>
      </c>
      <c r="AB129" s="603">
        <v>0.95</v>
      </c>
      <c r="AC129" s="6"/>
      <c r="AD129" s="202"/>
      <c r="AE129" s="202"/>
      <c r="AF129" s="202"/>
      <c r="AG129" s="202"/>
      <c r="AH129" s="202"/>
      <c r="AI129" s="147" t="s">
        <v>305</v>
      </c>
      <c r="AJ129" s="451">
        <v>1.21</v>
      </c>
      <c r="AK129" s="451">
        <f>+AJ129*C4</f>
        <v>0.121</v>
      </c>
      <c r="AL129" s="451">
        <f>+AJ129*D4</f>
        <v>0.54449999999999998</v>
      </c>
      <c r="AM129" s="451">
        <f>+AJ129*E4</f>
        <v>0.30249999999999999</v>
      </c>
      <c r="AN129" s="451">
        <f>+AJ129*F4</f>
        <v>0.24199999999999999</v>
      </c>
      <c r="AO129" s="25" t="s">
        <v>370</v>
      </c>
      <c r="AP129" s="25" t="s">
        <v>202</v>
      </c>
      <c r="AQ129" s="25" t="s">
        <v>88</v>
      </c>
      <c r="AR129" s="25">
        <v>0.91</v>
      </c>
      <c r="AS129" s="8">
        <v>1</v>
      </c>
      <c r="AT129" s="8">
        <v>0.91</v>
      </c>
      <c r="AU129" s="8">
        <v>0.94</v>
      </c>
      <c r="AV129" s="8">
        <v>0.96</v>
      </c>
      <c r="AW129" s="8">
        <v>1</v>
      </c>
      <c r="AX129" s="8">
        <v>1</v>
      </c>
      <c r="AY129" s="195">
        <v>0</v>
      </c>
      <c r="AZ129" s="195">
        <v>0</v>
      </c>
      <c r="BA129" s="195">
        <v>0</v>
      </c>
      <c r="BB129" s="195">
        <v>0</v>
      </c>
      <c r="BC129" s="195">
        <f t="shared" si="26"/>
        <v>0</v>
      </c>
      <c r="BD129" s="146" t="s">
        <v>236</v>
      </c>
      <c r="BE129" s="146" t="s">
        <v>237</v>
      </c>
    </row>
    <row r="130" spans="1:57" ht="45">
      <c r="A130" s="571"/>
      <c r="B130" s="572"/>
      <c r="C130" s="572"/>
      <c r="D130" s="572"/>
      <c r="E130" s="572"/>
      <c r="F130" s="572"/>
      <c r="G130" s="572"/>
      <c r="H130" s="572"/>
      <c r="I130" s="572"/>
      <c r="J130" s="572"/>
      <c r="K130" s="572"/>
      <c r="L130" s="572"/>
      <c r="M130" s="572"/>
      <c r="N130" s="598"/>
      <c r="O130" s="598"/>
      <c r="P130" s="598"/>
      <c r="Q130" s="598"/>
      <c r="R130" s="598"/>
      <c r="S130" s="598"/>
      <c r="T130" s="593"/>
      <c r="U130" s="593"/>
      <c r="V130" s="593"/>
      <c r="W130" s="593"/>
      <c r="X130" s="593"/>
      <c r="Y130" s="593"/>
      <c r="Z130" s="593"/>
      <c r="AA130" s="593"/>
      <c r="AB130" s="593"/>
      <c r="AC130" s="6"/>
      <c r="AD130" s="202"/>
      <c r="AE130" s="202"/>
      <c r="AF130" s="202"/>
      <c r="AG130" s="202"/>
      <c r="AH130" s="202"/>
      <c r="AI130" s="147" t="s">
        <v>306</v>
      </c>
      <c r="AJ130" s="451">
        <v>1.21</v>
      </c>
      <c r="AK130" s="451">
        <f>+AJ130*C4</f>
        <v>0.121</v>
      </c>
      <c r="AL130" s="451">
        <f>+AJ130*D4</f>
        <v>0.54449999999999998</v>
      </c>
      <c r="AM130" s="451">
        <f>+AJ130*E4</f>
        <v>0.30249999999999999</v>
      </c>
      <c r="AN130" s="451">
        <f>+AJ130*F4</f>
        <v>0.24199999999999999</v>
      </c>
      <c r="AO130" s="25" t="s">
        <v>371</v>
      </c>
      <c r="AP130" s="25" t="s">
        <v>202</v>
      </c>
      <c r="AQ130" s="25" t="s">
        <v>88</v>
      </c>
      <c r="AR130" s="25">
        <v>0.98</v>
      </c>
      <c r="AS130" s="8">
        <v>1</v>
      </c>
      <c r="AT130" s="8">
        <v>1</v>
      </c>
      <c r="AU130" s="8">
        <v>1</v>
      </c>
      <c r="AV130" s="8">
        <v>1</v>
      </c>
      <c r="AW130" s="8">
        <v>1</v>
      </c>
      <c r="AX130" s="8">
        <v>1</v>
      </c>
      <c r="AY130" s="195">
        <v>0</v>
      </c>
      <c r="AZ130" s="195">
        <v>0</v>
      </c>
      <c r="BA130" s="195">
        <v>0</v>
      </c>
      <c r="BB130" s="195">
        <v>0</v>
      </c>
      <c r="BC130" s="195">
        <f t="shared" si="26"/>
        <v>0</v>
      </c>
      <c r="BD130" s="146" t="s">
        <v>236</v>
      </c>
      <c r="BE130" s="146" t="s">
        <v>237</v>
      </c>
    </row>
    <row r="131" spans="1:57" ht="56.25">
      <c r="A131" s="571"/>
      <c r="B131" s="572"/>
      <c r="C131" s="572"/>
      <c r="D131" s="572"/>
      <c r="E131" s="572"/>
      <c r="F131" s="572"/>
      <c r="G131" s="572"/>
      <c r="H131" s="572"/>
      <c r="I131" s="572"/>
      <c r="J131" s="572"/>
      <c r="K131" s="572"/>
      <c r="L131" s="572"/>
      <c r="M131" s="572"/>
      <c r="N131" s="593"/>
      <c r="O131" s="593"/>
      <c r="P131" s="593"/>
      <c r="Q131" s="593"/>
      <c r="R131" s="593"/>
      <c r="S131" s="593"/>
      <c r="T131" s="593" t="s">
        <v>474</v>
      </c>
      <c r="U131" s="594" t="s">
        <v>202</v>
      </c>
      <c r="V131" s="591" t="s">
        <v>88</v>
      </c>
      <c r="W131" s="604">
        <v>0.9</v>
      </c>
      <c r="X131" s="604">
        <v>0.95</v>
      </c>
      <c r="Y131" s="603">
        <v>0.91</v>
      </c>
      <c r="Z131" s="603">
        <v>0.93</v>
      </c>
      <c r="AA131" s="603">
        <v>0.94</v>
      </c>
      <c r="AB131" s="603">
        <v>0.95</v>
      </c>
      <c r="AC131" s="6"/>
      <c r="AD131" s="202"/>
      <c r="AE131" s="202"/>
      <c r="AF131" s="202"/>
      <c r="AG131" s="202"/>
      <c r="AH131" s="202"/>
      <c r="AI131" s="147" t="s">
        <v>307</v>
      </c>
      <c r="AJ131" s="451">
        <v>1.21</v>
      </c>
      <c r="AK131" s="451">
        <f>+AJ131*C4</f>
        <v>0.121</v>
      </c>
      <c r="AL131" s="451">
        <f>+AJ131*D4</f>
        <v>0.54449999999999998</v>
      </c>
      <c r="AM131" s="451">
        <f>+AJ131*E4</f>
        <v>0.30249999999999999</v>
      </c>
      <c r="AN131" s="451">
        <f>+AJ131*F4</f>
        <v>0.24199999999999999</v>
      </c>
      <c r="AO131" s="25" t="s">
        <v>372</v>
      </c>
      <c r="AP131" s="25" t="s">
        <v>202</v>
      </c>
      <c r="AQ131" s="25" t="s">
        <v>88</v>
      </c>
      <c r="AR131" s="25">
        <v>0.9</v>
      </c>
      <c r="AS131" s="8">
        <v>1</v>
      </c>
      <c r="AT131" s="8">
        <v>0.95</v>
      </c>
      <c r="AU131" s="8">
        <v>1</v>
      </c>
      <c r="AV131" s="8">
        <v>1</v>
      </c>
      <c r="AW131" s="8">
        <v>1</v>
      </c>
      <c r="AX131" s="8">
        <v>1</v>
      </c>
      <c r="AY131" s="195">
        <v>0</v>
      </c>
      <c r="AZ131" s="195">
        <v>0</v>
      </c>
      <c r="BA131" s="195">
        <v>0</v>
      </c>
      <c r="BB131" s="195">
        <v>0</v>
      </c>
      <c r="BC131" s="195">
        <f t="shared" si="26"/>
        <v>0</v>
      </c>
      <c r="BD131" s="146" t="s">
        <v>236</v>
      </c>
      <c r="BE131" s="146" t="s">
        <v>237</v>
      </c>
    </row>
    <row r="132" spans="1:57" ht="56.25">
      <c r="A132" s="571"/>
      <c r="B132" s="572"/>
      <c r="C132" s="572"/>
      <c r="D132" s="572"/>
      <c r="E132" s="572"/>
      <c r="F132" s="572"/>
      <c r="G132" s="572"/>
      <c r="H132" s="572"/>
      <c r="I132" s="572"/>
      <c r="J132" s="572"/>
      <c r="K132" s="572"/>
      <c r="L132" s="572"/>
      <c r="M132" s="572"/>
      <c r="N132" s="595" t="s">
        <v>431</v>
      </c>
      <c r="O132" s="158">
        <f>+(0.06*100)/10</f>
        <v>0.6</v>
      </c>
      <c r="P132" s="605">
        <f>+O132*C4</f>
        <v>0.06</v>
      </c>
      <c r="Q132" s="605">
        <f>+O132*D4</f>
        <v>0.27</v>
      </c>
      <c r="R132" s="605">
        <f>+O132*E4</f>
        <v>0.15</v>
      </c>
      <c r="S132" s="605">
        <f>+O132*F4</f>
        <v>0.12</v>
      </c>
      <c r="T132" s="595" t="s">
        <v>475</v>
      </c>
      <c r="U132" s="146" t="s">
        <v>203</v>
      </c>
      <c r="V132" s="591" t="s">
        <v>88</v>
      </c>
      <c r="W132" s="606">
        <v>1</v>
      </c>
      <c r="X132" s="607">
        <v>1</v>
      </c>
      <c r="Y132" s="607">
        <v>1</v>
      </c>
      <c r="Z132" s="607">
        <v>1</v>
      </c>
      <c r="AA132" s="607">
        <v>1</v>
      </c>
      <c r="AB132" s="607">
        <v>1</v>
      </c>
      <c r="AC132" s="6"/>
      <c r="AD132" s="202"/>
      <c r="AE132" s="202"/>
      <c r="AF132" s="202"/>
      <c r="AG132" s="202"/>
      <c r="AH132" s="202"/>
      <c r="AI132" s="147" t="s">
        <v>308</v>
      </c>
      <c r="AJ132" s="451">
        <v>1.21</v>
      </c>
      <c r="AK132" s="451">
        <f>+AJ132*C4</f>
        <v>0.121</v>
      </c>
      <c r="AL132" s="451">
        <f>+AJ132*D4</f>
        <v>0.54449999999999998</v>
      </c>
      <c r="AM132" s="451">
        <f>+AJ132*E4</f>
        <v>0.30249999999999999</v>
      </c>
      <c r="AN132" s="451">
        <f>+AJ132*F4</f>
        <v>0.24199999999999999</v>
      </c>
      <c r="AO132" s="25" t="s">
        <v>373</v>
      </c>
      <c r="AP132" s="25" t="s">
        <v>202</v>
      </c>
      <c r="AQ132" s="25" t="s">
        <v>88</v>
      </c>
      <c r="AR132" s="25">
        <v>1</v>
      </c>
      <c r="AS132" s="8">
        <v>1</v>
      </c>
      <c r="AT132" s="8">
        <v>1</v>
      </c>
      <c r="AU132" s="8">
        <v>1</v>
      </c>
      <c r="AV132" s="8">
        <v>1</v>
      </c>
      <c r="AW132" s="8">
        <v>1</v>
      </c>
      <c r="AX132" s="8">
        <v>1</v>
      </c>
      <c r="AY132" s="195">
        <v>0</v>
      </c>
      <c r="AZ132" s="195">
        <v>0</v>
      </c>
      <c r="BA132" s="195">
        <v>0</v>
      </c>
      <c r="BB132" s="195">
        <v>0</v>
      </c>
      <c r="BC132" s="195">
        <f t="shared" si="26"/>
        <v>0</v>
      </c>
      <c r="BD132" s="146" t="s">
        <v>236</v>
      </c>
      <c r="BE132" s="146" t="s">
        <v>237</v>
      </c>
    </row>
    <row r="133" spans="1:57" ht="33.75" customHeight="1">
      <c r="A133" s="571"/>
      <c r="B133" s="572"/>
      <c r="C133" s="572"/>
      <c r="D133" s="572"/>
      <c r="E133" s="572"/>
      <c r="F133" s="572"/>
      <c r="G133" s="572"/>
      <c r="H133" s="572"/>
      <c r="I133" s="572"/>
      <c r="J133" s="572"/>
      <c r="K133" s="572"/>
      <c r="L133" s="572"/>
      <c r="M133" s="572"/>
      <c r="N133" s="591" t="s">
        <v>432</v>
      </c>
      <c r="O133" s="158">
        <f>+(0.06*100)/10</f>
        <v>0.6</v>
      </c>
      <c r="P133" s="605">
        <f>+O133*C4</f>
        <v>0.06</v>
      </c>
      <c r="Q133" s="605">
        <f>+O133*D4</f>
        <v>0.27</v>
      </c>
      <c r="R133" s="605">
        <f>+O133*E4</f>
        <v>0.15</v>
      </c>
      <c r="S133" s="605">
        <f>+O133*F4</f>
        <v>0.12</v>
      </c>
      <c r="T133" s="608" t="s">
        <v>476</v>
      </c>
      <c r="U133" s="609" t="s">
        <v>1454</v>
      </c>
      <c r="V133" s="147" t="s">
        <v>400</v>
      </c>
      <c r="W133" s="608" t="s">
        <v>513</v>
      </c>
      <c r="X133" s="609" t="s">
        <v>535</v>
      </c>
      <c r="Y133" s="609">
        <v>500</v>
      </c>
      <c r="Z133" s="609">
        <v>440</v>
      </c>
      <c r="AA133" s="609">
        <v>430</v>
      </c>
      <c r="AB133" s="609">
        <v>420</v>
      </c>
      <c r="AC133" s="6"/>
      <c r="AD133" s="202"/>
      <c r="AE133" s="202"/>
      <c r="AF133" s="202"/>
      <c r="AG133" s="202"/>
      <c r="AH133" s="202"/>
      <c r="AI133" s="147" t="s">
        <v>309</v>
      </c>
      <c r="AJ133" s="158">
        <v>0.06</v>
      </c>
      <c r="AK133" s="158">
        <f>+AJ133*C4</f>
        <v>6.0000000000000001E-3</v>
      </c>
      <c r="AL133" s="158">
        <f>+AJ133*D4</f>
        <v>2.7E-2</v>
      </c>
      <c r="AM133" s="158">
        <f>+AJ133*E4</f>
        <v>1.4999999999999999E-2</v>
      </c>
      <c r="AN133" s="158">
        <f>+AJ133*F4</f>
        <v>1.2E-2</v>
      </c>
      <c r="AO133" s="189" t="s">
        <v>374</v>
      </c>
      <c r="AP133" s="190" t="s">
        <v>202</v>
      </c>
      <c r="AQ133" s="189" t="s">
        <v>88</v>
      </c>
      <c r="AR133" s="190" t="s">
        <v>221</v>
      </c>
      <c r="AS133" s="341">
        <v>0.9</v>
      </c>
      <c r="AT133" s="341">
        <v>0.9</v>
      </c>
      <c r="AU133" s="8">
        <v>0.9</v>
      </c>
      <c r="AV133" s="8">
        <v>0.9</v>
      </c>
      <c r="AW133" s="8">
        <v>0.9</v>
      </c>
      <c r="AX133" s="341">
        <v>0.9</v>
      </c>
      <c r="AY133" s="195">
        <v>200000000</v>
      </c>
      <c r="AZ133" s="195">
        <v>0</v>
      </c>
      <c r="BA133" s="195">
        <v>0</v>
      </c>
      <c r="BB133" s="195">
        <v>0</v>
      </c>
      <c r="BC133" s="195">
        <f t="shared" si="26"/>
        <v>200000000</v>
      </c>
      <c r="BD133" s="198" t="s">
        <v>236</v>
      </c>
      <c r="BE133" s="198" t="s">
        <v>237</v>
      </c>
    </row>
    <row r="134" spans="1:57">
      <c r="A134" s="571"/>
      <c r="B134" s="572"/>
      <c r="C134" s="572"/>
      <c r="D134" s="572"/>
      <c r="E134" s="572"/>
      <c r="F134" s="572"/>
      <c r="G134" s="572"/>
      <c r="H134" s="572"/>
      <c r="I134" s="572"/>
      <c r="J134" s="572"/>
      <c r="K134" s="572"/>
      <c r="L134" s="572"/>
      <c r="M134" s="572"/>
      <c r="N134" s="598"/>
      <c r="O134" s="598"/>
      <c r="P134" s="598"/>
      <c r="Q134" s="598"/>
      <c r="R134" s="598"/>
      <c r="S134" s="598"/>
      <c r="T134" s="608" t="s">
        <v>477</v>
      </c>
      <c r="U134" s="609" t="s">
        <v>1454</v>
      </c>
      <c r="V134" s="147" t="s">
        <v>400</v>
      </c>
      <c r="W134" s="608" t="s">
        <v>514</v>
      </c>
      <c r="X134" s="596" t="s">
        <v>536</v>
      </c>
      <c r="Y134" s="609">
        <v>12.5</v>
      </c>
      <c r="Z134" s="609">
        <v>11</v>
      </c>
      <c r="AA134" s="609">
        <v>10.5</v>
      </c>
      <c r="AB134" s="609">
        <v>10</v>
      </c>
      <c r="AC134" s="6"/>
      <c r="AD134" s="202"/>
      <c r="AE134" s="202"/>
      <c r="AF134" s="202"/>
      <c r="AG134" s="202"/>
      <c r="AH134" s="202">
        <v>0.24</v>
      </c>
      <c r="AI134" s="147"/>
      <c r="AJ134" s="203"/>
      <c r="AK134" s="203"/>
      <c r="AL134" s="203"/>
      <c r="AM134" s="203"/>
      <c r="AN134" s="203"/>
      <c r="AO134" s="3"/>
      <c r="AP134" s="69"/>
      <c r="AQ134" s="3"/>
      <c r="AR134" s="69"/>
      <c r="AS134" s="38"/>
      <c r="AT134" s="38"/>
      <c r="AU134" s="8"/>
      <c r="AV134" s="8"/>
      <c r="AW134" s="8"/>
      <c r="AX134" s="38"/>
      <c r="AY134" s="197"/>
      <c r="AZ134" s="197"/>
      <c r="BA134" s="197"/>
      <c r="BB134" s="197"/>
      <c r="BC134" s="197"/>
      <c r="BD134" s="193"/>
      <c r="BE134" s="193"/>
    </row>
    <row r="135" spans="1:57" ht="22.5">
      <c r="A135" s="571"/>
      <c r="B135" s="572"/>
      <c r="C135" s="572"/>
      <c r="D135" s="572"/>
      <c r="E135" s="572"/>
      <c r="F135" s="572"/>
      <c r="G135" s="572"/>
      <c r="H135" s="572"/>
      <c r="I135" s="572"/>
      <c r="J135" s="572"/>
      <c r="K135" s="572"/>
      <c r="L135" s="572"/>
      <c r="M135" s="572"/>
      <c r="N135" s="598"/>
      <c r="O135" s="598"/>
      <c r="P135" s="598"/>
      <c r="Q135" s="598"/>
      <c r="R135" s="598"/>
      <c r="S135" s="598"/>
      <c r="T135" s="608" t="s">
        <v>478</v>
      </c>
      <c r="U135" s="609" t="s">
        <v>1454</v>
      </c>
      <c r="V135" s="147" t="s">
        <v>400</v>
      </c>
      <c r="W135" s="608" t="s">
        <v>515</v>
      </c>
      <c r="X135" s="609" t="s">
        <v>537</v>
      </c>
      <c r="Y135" s="609">
        <v>3</v>
      </c>
      <c r="Z135" s="609">
        <v>3</v>
      </c>
      <c r="AA135" s="609">
        <v>3</v>
      </c>
      <c r="AB135" s="609">
        <v>3</v>
      </c>
      <c r="AC135" s="6"/>
      <c r="AD135" s="202"/>
      <c r="AE135" s="202"/>
      <c r="AF135" s="202"/>
      <c r="AG135" s="202"/>
      <c r="AH135" s="202"/>
      <c r="AI135" s="147" t="s">
        <v>310</v>
      </c>
      <c r="AJ135" s="451">
        <v>0.06</v>
      </c>
      <c r="AK135" s="451">
        <f>+AJ135*C4</f>
        <v>6.0000000000000001E-3</v>
      </c>
      <c r="AL135" s="451">
        <f>+AJ135*D4</f>
        <v>2.7E-2</v>
      </c>
      <c r="AM135" s="451">
        <f>+AJ135*E4</f>
        <v>1.4999999999999999E-2</v>
      </c>
      <c r="AN135" s="451">
        <f>+AJ135*F4</f>
        <v>1.2E-2</v>
      </c>
      <c r="AO135" s="25" t="s">
        <v>375</v>
      </c>
      <c r="AP135" s="25" t="s">
        <v>202</v>
      </c>
      <c r="AQ135" s="25" t="s">
        <v>88</v>
      </c>
      <c r="AR135" s="25">
        <v>1</v>
      </c>
      <c r="AS135" s="8">
        <v>1</v>
      </c>
      <c r="AT135" s="8">
        <v>1</v>
      </c>
      <c r="AU135" s="8">
        <v>1</v>
      </c>
      <c r="AV135" s="8">
        <v>1</v>
      </c>
      <c r="AW135" s="8">
        <v>1</v>
      </c>
      <c r="AX135" s="8">
        <v>1</v>
      </c>
      <c r="AY135" s="195">
        <v>0</v>
      </c>
      <c r="AZ135" s="195">
        <v>0</v>
      </c>
      <c r="BA135" s="195">
        <v>0</v>
      </c>
      <c r="BB135" s="195">
        <v>0</v>
      </c>
      <c r="BC135" s="195">
        <f t="shared" si="26"/>
        <v>0</v>
      </c>
      <c r="BD135" s="146" t="s">
        <v>236</v>
      </c>
      <c r="BE135" s="146" t="s">
        <v>237</v>
      </c>
    </row>
    <row r="136" spans="1:57" ht="22.5">
      <c r="A136" s="571"/>
      <c r="B136" s="572"/>
      <c r="C136" s="572"/>
      <c r="D136" s="572"/>
      <c r="E136" s="572"/>
      <c r="F136" s="572"/>
      <c r="G136" s="572"/>
      <c r="H136" s="572"/>
      <c r="I136" s="572"/>
      <c r="J136" s="572"/>
      <c r="K136" s="572"/>
      <c r="L136" s="572"/>
      <c r="M136" s="572"/>
      <c r="N136" s="598"/>
      <c r="O136" s="598"/>
      <c r="P136" s="598"/>
      <c r="Q136" s="598"/>
      <c r="R136" s="598"/>
      <c r="S136" s="598"/>
      <c r="T136" s="608" t="s">
        <v>479</v>
      </c>
      <c r="U136" s="609" t="s">
        <v>1454</v>
      </c>
      <c r="V136" s="147" t="s">
        <v>400</v>
      </c>
      <c r="W136" s="608" t="s">
        <v>516</v>
      </c>
      <c r="X136" s="609" t="s">
        <v>537</v>
      </c>
      <c r="Y136" s="609">
        <v>3</v>
      </c>
      <c r="Z136" s="609">
        <v>3</v>
      </c>
      <c r="AA136" s="609">
        <v>3</v>
      </c>
      <c r="AB136" s="609">
        <v>3</v>
      </c>
      <c r="AC136" s="6"/>
      <c r="AD136" s="202"/>
      <c r="AE136" s="202"/>
      <c r="AF136" s="202"/>
      <c r="AG136" s="202"/>
      <c r="AH136" s="202"/>
      <c r="AI136" s="147" t="s">
        <v>311</v>
      </c>
      <c r="AJ136" s="451">
        <v>0.06</v>
      </c>
      <c r="AK136" s="451">
        <f>+AJ136*C4</f>
        <v>6.0000000000000001E-3</v>
      </c>
      <c r="AL136" s="451">
        <f>+AJ136*D4</f>
        <v>2.7E-2</v>
      </c>
      <c r="AM136" s="451">
        <f>+AJ136*E4</f>
        <v>1.4999999999999999E-2</v>
      </c>
      <c r="AN136" s="451">
        <f>+AJ136*F4</f>
        <v>1.2E-2</v>
      </c>
      <c r="AO136" s="25" t="s">
        <v>375</v>
      </c>
      <c r="AP136" s="25" t="s">
        <v>202</v>
      </c>
      <c r="AQ136" s="25" t="s">
        <v>88</v>
      </c>
      <c r="AR136" s="25">
        <v>1</v>
      </c>
      <c r="AS136" s="8">
        <v>1</v>
      </c>
      <c r="AT136" s="8">
        <v>1</v>
      </c>
      <c r="AU136" s="8">
        <v>1</v>
      </c>
      <c r="AV136" s="8">
        <v>1</v>
      </c>
      <c r="AW136" s="8">
        <v>1</v>
      </c>
      <c r="AX136" s="8">
        <v>1</v>
      </c>
      <c r="AY136" s="195">
        <v>0</v>
      </c>
      <c r="AZ136" s="195">
        <v>0</v>
      </c>
      <c r="BA136" s="195">
        <v>0</v>
      </c>
      <c r="BB136" s="195">
        <v>0</v>
      </c>
      <c r="BC136" s="195">
        <f t="shared" si="26"/>
        <v>0</v>
      </c>
      <c r="BD136" s="146" t="s">
        <v>236</v>
      </c>
      <c r="BE136" s="146" t="s">
        <v>237</v>
      </c>
    </row>
    <row r="137" spans="1:57" ht="22.5">
      <c r="A137" s="571"/>
      <c r="B137" s="572"/>
      <c r="C137" s="572"/>
      <c r="D137" s="572"/>
      <c r="E137" s="572"/>
      <c r="F137" s="572"/>
      <c r="G137" s="572"/>
      <c r="H137" s="572"/>
      <c r="I137" s="572"/>
      <c r="J137" s="572"/>
      <c r="K137" s="572"/>
      <c r="L137" s="572"/>
      <c r="M137" s="572"/>
      <c r="N137" s="593"/>
      <c r="O137" s="593"/>
      <c r="P137" s="593"/>
      <c r="Q137" s="593"/>
      <c r="R137" s="593"/>
      <c r="S137" s="593"/>
      <c r="T137" s="608" t="s">
        <v>480</v>
      </c>
      <c r="U137" s="609" t="s">
        <v>1454</v>
      </c>
      <c r="V137" s="147" t="s">
        <v>400</v>
      </c>
      <c r="W137" s="608" t="s">
        <v>517</v>
      </c>
      <c r="X137" s="609" t="s">
        <v>538</v>
      </c>
      <c r="Y137" s="609">
        <v>0.68</v>
      </c>
      <c r="Z137" s="609">
        <v>0.6</v>
      </c>
      <c r="AA137" s="609">
        <v>0.57999999999999996</v>
      </c>
      <c r="AB137" s="609">
        <v>0.56000000000000005</v>
      </c>
      <c r="AC137" s="6"/>
      <c r="AD137" s="202"/>
      <c r="AE137" s="202"/>
      <c r="AF137" s="202"/>
      <c r="AG137" s="202"/>
      <c r="AH137" s="202"/>
      <c r="AI137" s="147" t="s">
        <v>312</v>
      </c>
      <c r="AJ137" s="451">
        <v>0.06</v>
      </c>
      <c r="AK137" s="451">
        <f>+AJ137*C4</f>
        <v>6.0000000000000001E-3</v>
      </c>
      <c r="AL137" s="451">
        <f>+AJ137*D4</f>
        <v>2.7E-2</v>
      </c>
      <c r="AM137" s="451">
        <f>+AJ137*E4</f>
        <v>1.4999999999999999E-2</v>
      </c>
      <c r="AN137" s="451">
        <f>+AJ137*F4</f>
        <v>1.2E-2</v>
      </c>
      <c r="AO137" s="25" t="s">
        <v>375</v>
      </c>
      <c r="AP137" s="25" t="s">
        <v>202</v>
      </c>
      <c r="AQ137" s="25" t="s">
        <v>88</v>
      </c>
      <c r="AR137" s="25">
        <v>0</v>
      </c>
      <c r="AS137" s="8">
        <v>0.8</v>
      </c>
      <c r="AT137" s="8">
        <v>0.2</v>
      </c>
      <c r="AU137" s="8">
        <v>0.5</v>
      </c>
      <c r="AV137" s="8">
        <v>0.8</v>
      </c>
      <c r="AW137" s="8">
        <v>0.8</v>
      </c>
      <c r="AX137" s="8">
        <v>0.8</v>
      </c>
      <c r="AY137" s="195">
        <v>0</v>
      </c>
      <c r="AZ137" s="195">
        <v>0</v>
      </c>
      <c r="BA137" s="195">
        <v>0</v>
      </c>
      <c r="BB137" s="195">
        <v>0</v>
      </c>
      <c r="BC137" s="195">
        <f t="shared" si="26"/>
        <v>0</v>
      </c>
      <c r="BD137" s="146" t="s">
        <v>236</v>
      </c>
      <c r="BE137" s="146" t="s">
        <v>237</v>
      </c>
    </row>
    <row r="138" spans="1:57" ht="56.25">
      <c r="A138" s="571"/>
      <c r="B138" s="572"/>
      <c r="C138" s="572"/>
      <c r="D138" s="572"/>
      <c r="E138" s="572"/>
      <c r="F138" s="572"/>
      <c r="G138" s="572"/>
      <c r="H138" s="572"/>
      <c r="I138" s="572"/>
      <c r="J138" s="572"/>
      <c r="K138" s="572"/>
      <c r="L138" s="572"/>
      <c r="M138" s="572"/>
      <c r="N138" s="608" t="s">
        <v>433</v>
      </c>
      <c r="O138" s="158">
        <f t="shared" ref="O138:O146" si="29">+(0.06*100)/10</f>
        <v>0.6</v>
      </c>
      <c r="P138" s="158">
        <f>+O138*C4</f>
        <v>0.06</v>
      </c>
      <c r="Q138" s="158">
        <f>+O138*D4</f>
        <v>0.27</v>
      </c>
      <c r="R138" s="158">
        <f>+O138*E4</f>
        <v>0.15</v>
      </c>
      <c r="S138" s="158">
        <f>+O138*F4</f>
        <v>0.12</v>
      </c>
      <c r="T138" s="147" t="s">
        <v>481</v>
      </c>
      <c r="U138" s="146" t="s">
        <v>202</v>
      </c>
      <c r="V138" s="591" t="s">
        <v>88</v>
      </c>
      <c r="W138" s="366">
        <v>1</v>
      </c>
      <c r="X138" s="366">
        <v>1</v>
      </c>
      <c r="Y138" s="366">
        <v>1</v>
      </c>
      <c r="Z138" s="366">
        <v>1</v>
      </c>
      <c r="AA138" s="366">
        <v>1</v>
      </c>
      <c r="AB138" s="366">
        <v>1</v>
      </c>
      <c r="AC138" s="6"/>
      <c r="AD138" s="202"/>
      <c r="AE138" s="202"/>
      <c r="AF138" s="202"/>
      <c r="AG138" s="202"/>
      <c r="AH138" s="202">
        <v>1.8</v>
      </c>
      <c r="AI138" s="147" t="s">
        <v>313</v>
      </c>
      <c r="AJ138" s="451">
        <v>0.12</v>
      </c>
      <c r="AK138" s="451">
        <f>+AJ138*C4</f>
        <v>1.2E-2</v>
      </c>
      <c r="AL138" s="451">
        <f>+AJ138*D4</f>
        <v>5.3999999999999999E-2</v>
      </c>
      <c r="AM138" s="451">
        <f>+AJ138*E4</f>
        <v>0.03</v>
      </c>
      <c r="AN138" s="451">
        <f>+AJ138*F4</f>
        <v>2.4E-2</v>
      </c>
      <c r="AO138" s="25" t="s">
        <v>376</v>
      </c>
      <c r="AP138" s="25" t="s">
        <v>202</v>
      </c>
      <c r="AQ138" s="25" t="s">
        <v>88</v>
      </c>
      <c r="AR138" s="25">
        <v>1</v>
      </c>
      <c r="AS138" s="8">
        <v>1</v>
      </c>
      <c r="AT138" s="8">
        <v>1</v>
      </c>
      <c r="AU138" s="8">
        <v>1</v>
      </c>
      <c r="AV138" s="8">
        <v>1</v>
      </c>
      <c r="AW138" s="8">
        <v>1</v>
      </c>
      <c r="AX138" s="8">
        <v>1</v>
      </c>
      <c r="AY138" s="195">
        <v>865624374.5</v>
      </c>
      <c r="AZ138" s="195">
        <v>121105000</v>
      </c>
      <c r="BA138" s="195">
        <v>128371300</v>
      </c>
      <c r="BB138" s="195">
        <v>136073578</v>
      </c>
      <c r="BC138" s="195">
        <f t="shared" si="26"/>
        <v>1251174252.5</v>
      </c>
      <c r="BD138" s="146" t="s">
        <v>236</v>
      </c>
      <c r="BE138" s="146" t="s">
        <v>237</v>
      </c>
    </row>
    <row r="139" spans="1:57" ht="45">
      <c r="A139" s="571"/>
      <c r="B139" s="572"/>
      <c r="C139" s="572"/>
      <c r="D139" s="572"/>
      <c r="E139" s="572"/>
      <c r="F139" s="572"/>
      <c r="G139" s="572"/>
      <c r="H139" s="572"/>
      <c r="I139" s="572"/>
      <c r="J139" s="572"/>
      <c r="K139" s="572"/>
      <c r="L139" s="572"/>
      <c r="M139" s="572"/>
      <c r="N139" s="608" t="s">
        <v>434</v>
      </c>
      <c r="O139" s="158">
        <f t="shared" si="29"/>
        <v>0.6</v>
      </c>
      <c r="P139" s="158">
        <f>+O139*C4</f>
        <v>0.06</v>
      </c>
      <c r="Q139" s="158">
        <f>+O139*D4</f>
        <v>0.27</v>
      </c>
      <c r="R139" s="158">
        <f>+O139*E4</f>
        <v>0.15</v>
      </c>
      <c r="S139" s="158">
        <f>+O139*F4</f>
        <v>0.12</v>
      </c>
      <c r="T139" s="599" t="s">
        <v>482</v>
      </c>
      <c r="U139" s="146" t="s">
        <v>203</v>
      </c>
      <c r="V139" s="591" t="s">
        <v>88</v>
      </c>
      <c r="W139" s="366">
        <v>1</v>
      </c>
      <c r="X139" s="366">
        <v>1</v>
      </c>
      <c r="Y139" s="366">
        <v>1</v>
      </c>
      <c r="Z139" s="366">
        <v>1</v>
      </c>
      <c r="AA139" s="366">
        <v>1</v>
      </c>
      <c r="AB139" s="366">
        <v>1</v>
      </c>
      <c r="AC139" s="6"/>
      <c r="AD139" s="202"/>
      <c r="AE139" s="202"/>
      <c r="AF139" s="202"/>
      <c r="AG139" s="202"/>
      <c r="AH139" s="202"/>
      <c r="AI139" s="147" t="s">
        <v>314</v>
      </c>
      <c r="AJ139" s="451">
        <v>0.12</v>
      </c>
      <c r="AK139" s="451">
        <f>+AJ139*C4</f>
        <v>1.2E-2</v>
      </c>
      <c r="AL139" s="451">
        <f>+AJ139*D4</f>
        <v>5.3999999999999999E-2</v>
      </c>
      <c r="AM139" s="451">
        <f>+AJ139*E4</f>
        <v>0.03</v>
      </c>
      <c r="AN139" s="451">
        <f>+AJ139*F4</f>
        <v>2.4E-2</v>
      </c>
      <c r="AO139" s="25" t="s">
        <v>377</v>
      </c>
      <c r="AP139" s="25" t="s">
        <v>202</v>
      </c>
      <c r="AQ139" s="25" t="s">
        <v>88</v>
      </c>
      <c r="AR139" s="25">
        <v>1</v>
      </c>
      <c r="AS139" s="8">
        <v>1</v>
      </c>
      <c r="AT139" s="8">
        <v>1</v>
      </c>
      <c r="AU139" s="8">
        <v>1</v>
      </c>
      <c r="AV139" s="8">
        <v>1</v>
      </c>
      <c r="AW139" s="8">
        <v>1</v>
      </c>
      <c r="AX139" s="8">
        <v>1</v>
      </c>
      <c r="AY139" s="195">
        <v>0</v>
      </c>
      <c r="AZ139" s="195">
        <v>0</v>
      </c>
      <c r="BA139" s="195">
        <v>0</v>
      </c>
      <c r="BB139" s="195">
        <v>0</v>
      </c>
      <c r="BC139" s="195">
        <f t="shared" si="26"/>
        <v>0</v>
      </c>
      <c r="BD139" s="146" t="s">
        <v>236</v>
      </c>
      <c r="BE139" s="146" t="s">
        <v>237</v>
      </c>
    </row>
    <row r="140" spans="1:57" ht="67.5">
      <c r="A140" s="571"/>
      <c r="B140" s="572"/>
      <c r="C140" s="572"/>
      <c r="D140" s="572"/>
      <c r="E140" s="572"/>
      <c r="F140" s="572"/>
      <c r="G140" s="572"/>
      <c r="H140" s="572"/>
      <c r="I140" s="572"/>
      <c r="J140" s="572"/>
      <c r="K140" s="572"/>
      <c r="L140" s="572"/>
      <c r="M140" s="572"/>
      <c r="N140" s="608" t="s">
        <v>435</v>
      </c>
      <c r="O140" s="158">
        <f t="shared" si="29"/>
        <v>0.6</v>
      </c>
      <c r="P140" s="158">
        <f>+O140*C4</f>
        <v>0.06</v>
      </c>
      <c r="Q140" s="158">
        <f>+O140*D4</f>
        <v>0.27</v>
      </c>
      <c r="R140" s="158">
        <f>+O140*E4</f>
        <v>0.15</v>
      </c>
      <c r="S140" s="158">
        <f>+O140*F4</f>
        <v>0.12</v>
      </c>
      <c r="T140" s="610" t="s">
        <v>483</v>
      </c>
      <c r="U140" s="267" t="s">
        <v>203</v>
      </c>
      <c r="V140" s="591" t="s">
        <v>88</v>
      </c>
      <c r="W140" s="269">
        <v>1</v>
      </c>
      <c r="X140" s="269">
        <v>1</v>
      </c>
      <c r="Y140" s="269">
        <v>1</v>
      </c>
      <c r="Z140" s="269">
        <v>1</v>
      </c>
      <c r="AA140" s="269">
        <v>1</v>
      </c>
      <c r="AB140" s="269">
        <v>1</v>
      </c>
      <c r="AC140" s="6"/>
      <c r="AD140" s="202"/>
      <c r="AE140" s="202"/>
      <c r="AF140" s="202"/>
      <c r="AG140" s="202"/>
      <c r="AH140" s="202"/>
      <c r="AI140" s="147" t="s">
        <v>315</v>
      </c>
      <c r="AJ140" s="451">
        <v>0.12</v>
      </c>
      <c r="AK140" s="451">
        <f>+AJ140*C4</f>
        <v>1.2E-2</v>
      </c>
      <c r="AL140" s="451">
        <f>+AJ140*D4</f>
        <v>5.3999999999999999E-2</v>
      </c>
      <c r="AM140" s="451">
        <f>+AJ140*E4</f>
        <v>0.03</v>
      </c>
      <c r="AN140" s="451">
        <f>+AJ140*F4</f>
        <v>2.4E-2</v>
      </c>
      <c r="AO140" s="25" t="s">
        <v>378</v>
      </c>
      <c r="AP140" s="25" t="s">
        <v>202</v>
      </c>
      <c r="AQ140" s="25" t="s">
        <v>88</v>
      </c>
      <c r="AR140" s="25">
        <v>1</v>
      </c>
      <c r="AS140" s="8">
        <v>1</v>
      </c>
      <c r="AT140" s="8">
        <v>1</v>
      </c>
      <c r="AU140" s="8">
        <v>1</v>
      </c>
      <c r="AV140" s="8">
        <v>1</v>
      </c>
      <c r="AW140" s="8">
        <v>1</v>
      </c>
      <c r="AX140" s="8">
        <v>1</v>
      </c>
      <c r="AY140" s="195">
        <v>0</v>
      </c>
      <c r="AZ140" s="195">
        <v>0</v>
      </c>
      <c r="BA140" s="195">
        <v>0</v>
      </c>
      <c r="BB140" s="195">
        <v>0</v>
      </c>
      <c r="BC140" s="195">
        <f t="shared" si="26"/>
        <v>0</v>
      </c>
      <c r="BD140" s="146" t="s">
        <v>236</v>
      </c>
      <c r="BE140" s="146" t="s">
        <v>237</v>
      </c>
    </row>
    <row r="141" spans="1:57" ht="78.75">
      <c r="A141" s="571"/>
      <c r="B141" s="572"/>
      <c r="C141" s="572"/>
      <c r="D141" s="572"/>
      <c r="E141" s="572"/>
      <c r="F141" s="572"/>
      <c r="G141" s="572"/>
      <c r="H141" s="572"/>
      <c r="I141" s="572"/>
      <c r="J141" s="572"/>
      <c r="K141" s="572"/>
      <c r="L141" s="572"/>
      <c r="M141" s="572"/>
      <c r="N141" s="608" t="s">
        <v>436</v>
      </c>
      <c r="O141" s="158">
        <f t="shared" si="29"/>
        <v>0.6</v>
      </c>
      <c r="P141" s="158">
        <f>+O141*C4</f>
        <v>0.06</v>
      </c>
      <c r="Q141" s="158">
        <f>+O141*D4</f>
        <v>0.27</v>
      </c>
      <c r="R141" s="158">
        <f>+O141*E4</f>
        <v>0.15</v>
      </c>
      <c r="S141" s="158">
        <f>+O141*F4</f>
        <v>0.12</v>
      </c>
      <c r="T141" s="7" t="s">
        <v>484</v>
      </c>
      <c r="U141" s="5" t="s">
        <v>203</v>
      </c>
      <c r="V141" s="591" t="s">
        <v>88</v>
      </c>
      <c r="W141" s="265">
        <v>1</v>
      </c>
      <c r="X141" s="265">
        <v>1</v>
      </c>
      <c r="Y141" s="265">
        <v>1</v>
      </c>
      <c r="Z141" s="265">
        <v>1</v>
      </c>
      <c r="AA141" s="265">
        <v>1</v>
      </c>
      <c r="AB141" s="265">
        <v>1</v>
      </c>
      <c r="AC141" s="6"/>
      <c r="AD141" s="202"/>
      <c r="AE141" s="202"/>
      <c r="AF141" s="202"/>
      <c r="AG141" s="202"/>
      <c r="AH141" s="202"/>
      <c r="AI141" s="147" t="s">
        <v>316</v>
      </c>
      <c r="AJ141" s="451">
        <v>0.11</v>
      </c>
      <c r="AK141" s="451">
        <f>+AJ141*C4</f>
        <v>1.1000000000000001E-2</v>
      </c>
      <c r="AL141" s="451">
        <f>+AJ141*D4</f>
        <v>4.9500000000000002E-2</v>
      </c>
      <c r="AM141" s="451">
        <f>+AJ141*E4</f>
        <v>2.75E-2</v>
      </c>
      <c r="AN141" s="451">
        <f>+AJ141*F4</f>
        <v>2.2000000000000002E-2</v>
      </c>
      <c r="AO141" s="25" t="s">
        <v>379</v>
      </c>
      <c r="AP141" s="25" t="s">
        <v>202</v>
      </c>
      <c r="AQ141" s="25" t="s">
        <v>87</v>
      </c>
      <c r="AR141" s="451">
        <v>36</v>
      </c>
      <c r="AS141" s="451">
        <v>36</v>
      </c>
      <c r="AT141" s="451">
        <v>36</v>
      </c>
      <c r="AU141" s="451">
        <v>36</v>
      </c>
      <c r="AV141" s="451">
        <v>36</v>
      </c>
      <c r="AW141" s="451">
        <v>36</v>
      </c>
      <c r="AX141" s="451">
        <v>36</v>
      </c>
      <c r="AY141" s="195">
        <v>0</v>
      </c>
      <c r="AZ141" s="195">
        <v>0</v>
      </c>
      <c r="BA141" s="195">
        <v>0</v>
      </c>
      <c r="BB141" s="195">
        <v>0</v>
      </c>
      <c r="BC141" s="195">
        <f t="shared" si="26"/>
        <v>0</v>
      </c>
      <c r="BD141" s="146" t="s">
        <v>236</v>
      </c>
      <c r="BE141" s="146" t="s">
        <v>237</v>
      </c>
    </row>
    <row r="142" spans="1:57" ht="45">
      <c r="A142" s="571"/>
      <c r="B142" s="572"/>
      <c r="C142" s="572"/>
      <c r="D142" s="572"/>
      <c r="E142" s="572"/>
      <c r="F142" s="572"/>
      <c r="G142" s="572"/>
      <c r="H142" s="572"/>
      <c r="I142" s="572"/>
      <c r="J142" s="572"/>
      <c r="K142" s="572"/>
      <c r="L142" s="572"/>
      <c r="M142" s="572"/>
      <c r="N142" s="147" t="s">
        <v>437</v>
      </c>
      <c r="O142" s="158">
        <f t="shared" si="29"/>
        <v>0.6</v>
      </c>
      <c r="P142" s="158">
        <f>+O142*C4</f>
        <v>0.06</v>
      </c>
      <c r="Q142" s="158">
        <f>+O142*D4</f>
        <v>0.27</v>
      </c>
      <c r="R142" s="158">
        <f>+O142*E4</f>
        <v>0.15</v>
      </c>
      <c r="S142" s="158">
        <f>+O142*F4</f>
        <v>0.12</v>
      </c>
      <c r="T142" s="147" t="s">
        <v>380</v>
      </c>
      <c r="U142" s="146" t="s">
        <v>203</v>
      </c>
      <c r="V142" s="591" t="s">
        <v>88</v>
      </c>
      <c r="W142" s="611">
        <v>1</v>
      </c>
      <c r="X142" s="612">
        <v>1</v>
      </c>
      <c r="Y142" s="612">
        <v>1</v>
      </c>
      <c r="Z142" s="612">
        <v>1</v>
      </c>
      <c r="AA142" s="612">
        <v>1</v>
      </c>
      <c r="AB142" s="612">
        <v>1</v>
      </c>
      <c r="AC142" s="6"/>
      <c r="AD142" s="202"/>
      <c r="AE142" s="202"/>
      <c r="AF142" s="202"/>
      <c r="AG142" s="202"/>
      <c r="AH142" s="202"/>
      <c r="AI142" s="147" t="s">
        <v>317</v>
      </c>
      <c r="AJ142" s="451">
        <v>0.11</v>
      </c>
      <c r="AK142" s="451">
        <f>+AJ142*C4</f>
        <v>1.1000000000000001E-2</v>
      </c>
      <c r="AL142" s="451">
        <f>+AJ142*D4</f>
        <v>4.9500000000000002E-2</v>
      </c>
      <c r="AM142" s="451">
        <f>+AJ142*E4</f>
        <v>2.75E-2</v>
      </c>
      <c r="AN142" s="451">
        <f>+AJ142*F4</f>
        <v>2.2000000000000002E-2</v>
      </c>
      <c r="AO142" s="25" t="s">
        <v>380</v>
      </c>
      <c r="AP142" s="25" t="s">
        <v>202</v>
      </c>
      <c r="AQ142" s="25" t="s">
        <v>88</v>
      </c>
      <c r="AR142" s="25">
        <v>1</v>
      </c>
      <c r="AS142" s="8">
        <v>1</v>
      </c>
      <c r="AT142" s="8">
        <v>1</v>
      </c>
      <c r="AU142" s="8">
        <v>1</v>
      </c>
      <c r="AV142" s="8">
        <v>1</v>
      </c>
      <c r="AW142" s="8">
        <v>1</v>
      </c>
      <c r="AX142" s="8">
        <v>1</v>
      </c>
      <c r="AY142" s="195">
        <v>0</v>
      </c>
      <c r="AZ142" s="195">
        <v>0</v>
      </c>
      <c r="BA142" s="195">
        <v>0</v>
      </c>
      <c r="BB142" s="195">
        <v>0</v>
      </c>
      <c r="BC142" s="195">
        <f t="shared" si="26"/>
        <v>0</v>
      </c>
      <c r="BD142" s="146" t="s">
        <v>236</v>
      </c>
      <c r="BE142" s="146" t="s">
        <v>237</v>
      </c>
    </row>
    <row r="143" spans="1:57" ht="45">
      <c r="A143" s="571"/>
      <c r="B143" s="572"/>
      <c r="C143" s="572"/>
      <c r="D143" s="572"/>
      <c r="E143" s="572"/>
      <c r="F143" s="572"/>
      <c r="G143" s="572"/>
      <c r="H143" s="572"/>
      <c r="I143" s="572"/>
      <c r="J143" s="572"/>
      <c r="K143" s="572"/>
      <c r="L143" s="572"/>
      <c r="M143" s="572"/>
      <c r="N143" s="147" t="s">
        <v>438</v>
      </c>
      <c r="O143" s="158">
        <f t="shared" si="29"/>
        <v>0.6</v>
      </c>
      <c r="P143" s="158">
        <f>+O143*C4</f>
        <v>0.06</v>
      </c>
      <c r="Q143" s="158">
        <f>+O143*D4</f>
        <v>0.27</v>
      </c>
      <c r="R143" s="158">
        <f>+O143*E4</f>
        <v>0.15</v>
      </c>
      <c r="S143" s="158">
        <f>+O143*F4</f>
        <v>0.12</v>
      </c>
      <c r="T143" s="595" t="s">
        <v>485</v>
      </c>
      <c r="U143" s="146" t="s">
        <v>202</v>
      </c>
      <c r="V143" s="591" t="s">
        <v>88</v>
      </c>
      <c r="W143" s="611">
        <v>0.65</v>
      </c>
      <c r="X143" s="601">
        <v>1</v>
      </c>
      <c r="Y143" s="601">
        <v>1</v>
      </c>
      <c r="Z143" s="601">
        <v>1</v>
      </c>
      <c r="AA143" s="601">
        <v>1</v>
      </c>
      <c r="AB143" s="601">
        <v>1</v>
      </c>
      <c r="AC143" s="6"/>
      <c r="AD143" s="202"/>
      <c r="AE143" s="202"/>
      <c r="AF143" s="202"/>
      <c r="AG143" s="202"/>
      <c r="AH143" s="202"/>
      <c r="AI143" s="147" t="s">
        <v>318</v>
      </c>
      <c r="AJ143" s="451">
        <v>0.11</v>
      </c>
      <c r="AK143" s="451">
        <f>+AJ143*C4</f>
        <v>1.1000000000000001E-2</v>
      </c>
      <c r="AL143" s="451">
        <f>+AJ143*D4</f>
        <v>4.9500000000000002E-2</v>
      </c>
      <c r="AM143" s="451">
        <f>+AJ143*E4</f>
        <v>2.75E-2</v>
      </c>
      <c r="AN143" s="451">
        <f>+AJ143*F4</f>
        <v>2.2000000000000002E-2</v>
      </c>
      <c r="AO143" s="25" t="s">
        <v>381</v>
      </c>
      <c r="AP143" s="25" t="s">
        <v>202</v>
      </c>
      <c r="AQ143" s="25" t="s">
        <v>88</v>
      </c>
      <c r="AR143" s="25">
        <v>1</v>
      </c>
      <c r="AS143" s="8">
        <v>1</v>
      </c>
      <c r="AT143" s="8">
        <v>1</v>
      </c>
      <c r="AU143" s="8">
        <v>1</v>
      </c>
      <c r="AV143" s="8">
        <v>1</v>
      </c>
      <c r="AW143" s="8">
        <v>1</v>
      </c>
      <c r="AX143" s="8">
        <v>1</v>
      </c>
      <c r="AY143" s="195">
        <v>0</v>
      </c>
      <c r="AZ143" s="195">
        <v>0</v>
      </c>
      <c r="BA143" s="195">
        <v>0</v>
      </c>
      <c r="BB143" s="195">
        <v>0</v>
      </c>
      <c r="BC143" s="195">
        <f t="shared" si="26"/>
        <v>0</v>
      </c>
      <c r="BD143" s="146" t="s">
        <v>236</v>
      </c>
      <c r="BE143" s="146" t="s">
        <v>237</v>
      </c>
    </row>
    <row r="144" spans="1:57" ht="45">
      <c r="A144" s="571"/>
      <c r="B144" s="572"/>
      <c r="C144" s="572"/>
      <c r="D144" s="572"/>
      <c r="E144" s="572"/>
      <c r="F144" s="572"/>
      <c r="G144" s="572"/>
      <c r="H144" s="572"/>
      <c r="I144" s="572"/>
      <c r="J144" s="572"/>
      <c r="K144" s="572"/>
      <c r="L144" s="572"/>
      <c r="M144" s="572"/>
      <c r="N144" s="147" t="s">
        <v>439</v>
      </c>
      <c r="O144" s="158">
        <f t="shared" si="29"/>
        <v>0.6</v>
      </c>
      <c r="P144" s="158">
        <f>+O144*C4</f>
        <v>0.06</v>
      </c>
      <c r="Q144" s="158">
        <f>+O144*D4</f>
        <v>0.27</v>
      </c>
      <c r="R144" s="158">
        <f>+O144*E4</f>
        <v>0.15</v>
      </c>
      <c r="S144" s="158">
        <f>+O144*F4</f>
        <v>0.12</v>
      </c>
      <c r="T144" s="595" t="s">
        <v>486</v>
      </c>
      <c r="U144" s="146" t="s">
        <v>202</v>
      </c>
      <c r="V144" s="591" t="s">
        <v>88</v>
      </c>
      <c r="W144" s="613">
        <v>0.82</v>
      </c>
      <c r="X144" s="613">
        <v>0.9</v>
      </c>
      <c r="Y144" s="613">
        <v>0.9</v>
      </c>
      <c r="Z144" s="613">
        <v>0.9</v>
      </c>
      <c r="AA144" s="613">
        <v>0.9</v>
      </c>
      <c r="AB144" s="613">
        <v>0.9</v>
      </c>
      <c r="AC144" s="6"/>
      <c r="AD144" s="202"/>
      <c r="AE144" s="202"/>
      <c r="AF144" s="202"/>
      <c r="AG144" s="202"/>
      <c r="AH144" s="202"/>
      <c r="AI144" s="147" t="s">
        <v>319</v>
      </c>
      <c r="AJ144" s="451">
        <v>0.11</v>
      </c>
      <c r="AK144" s="451">
        <f>+AJ144*C4</f>
        <v>1.1000000000000001E-2</v>
      </c>
      <c r="AL144" s="451">
        <f>+AJ144*D4</f>
        <v>4.9500000000000002E-2</v>
      </c>
      <c r="AM144" s="451">
        <f>+AJ144*E4</f>
        <v>2.75E-2</v>
      </c>
      <c r="AN144" s="451">
        <f>+AJ144*F4</f>
        <v>2.2000000000000002E-2</v>
      </c>
      <c r="AO144" s="25" t="s">
        <v>382</v>
      </c>
      <c r="AP144" s="25" t="s">
        <v>202</v>
      </c>
      <c r="AQ144" s="25" t="s">
        <v>88</v>
      </c>
      <c r="AR144" s="25">
        <v>0.82</v>
      </c>
      <c r="AS144" s="8">
        <v>0.9</v>
      </c>
      <c r="AT144" s="8">
        <v>1</v>
      </c>
      <c r="AU144" s="8">
        <v>1</v>
      </c>
      <c r="AV144" s="8">
        <v>1</v>
      </c>
      <c r="AW144" s="8">
        <v>1</v>
      </c>
      <c r="AX144" s="8">
        <v>0.9</v>
      </c>
      <c r="AY144" s="195">
        <v>0</v>
      </c>
      <c r="AZ144" s="195">
        <v>0</v>
      </c>
      <c r="BA144" s="195">
        <v>0</v>
      </c>
      <c r="BB144" s="195">
        <v>0</v>
      </c>
      <c r="BC144" s="195">
        <f t="shared" si="26"/>
        <v>0</v>
      </c>
      <c r="BD144" s="146" t="s">
        <v>236</v>
      </c>
      <c r="BE144" s="146" t="s">
        <v>237</v>
      </c>
    </row>
    <row r="145" spans="1:57" ht="45">
      <c r="A145" s="571"/>
      <c r="B145" s="572"/>
      <c r="C145" s="572"/>
      <c r="D145" s="572"/>
      <c r="E145" s="572"/>
      <c r="F145" s="572"/>
      <c r="G145" s="572"/>
      <c r="H145" s="572"/>
      <c r="I145" s="572"/>
      <c r="J145" s="572"/>
      <c r="K145" s="572"/>
      <c r="L145" s="572"/>
      <c r="M145" s="572"/>
      <c r="N145" s="595" t="s">
        <v>440</v>
      </c>
      <c r="O145" s="158">
        <f t="shared" si="29"/>
        <v>0.6</v>
      </c>
      <c r="P145" s="158">
        <f>+O145*C4</f>
        <v>0.06</v>
      </c>
      <c r="Q145" s="158">
        <f>+O145*D4</f>
        <v>0.27</v>
      </c>
      <c r="R145" s="158">
        <f>+O145*E4</f>
        <v>0.15</v>
      </c>
      <c r="S145" s="158">
        <f>+O145*F4</f>
        <v>0.12</v>
      </c>
      <c r="T145" s="147" t="s">
        <v>487</v>
      </c>
      <c r="U145" s="146" t="s">
        <v>203</v>
      </c>
      <c r="V145" s="591" t="s">
        <v>88</v>
      </c>
      <c r="W145" s="366">
        <v>1</v>
      </c>
      <c r="X145" s="366">
        <v>1</v>
      </c>
      <c r="Y145" s="366">
        <v>1</v>
      </c>
      <c r="Z145" s="366">
        <v>1</v>
      </c>
      <c r="AA145" s="366">
        <v>1</v>
      </c>
      <c r="AB145" s="366">
        <v>1</v>
      </c>
      <c r="AC145" s="6"/>
      <c r="AD145" s="202"/>
      <c r="AE145" s="202"/>
      <c r="AF145" s="202"/>
      <c r="AG145" s="202"/>
      <c r="AH145" s="202"/>
      <c r="AI145" s="147" t="s">
        <v>320</v>
      </c>
      <c r="AJ145" s="451">
        <v>0.11</v>
      </c>
      <c r="AK145" s="451">
        <f>+AJ145*C4</f>
        <v>1.1000000000000001E-2</v>
      </c>
      <c r="AL145" s="451">
        <f>+AJ145*D4</f>
        <v>4.9500000000000002E-2</v>
      </c>
      <c r="AM145" s="451">
        <f>+AJ145*E4</f>
        <v>2.75E-2</v>
      </c>
      <c r="AN145" s="451">
        <f>+AJ145*F4</f>
        <v>2.2000000000000002E-2</v>
      </c>
      <c r="AO145" s="25" t="s">
        <v>383</v>
      </c>
      <c r="AP145" s="25" t="s">
        <v>202</v>
      </c>
      <c r="AQ145" s="25" t="s">
        <v>88</v>
      </c>
      <c r="AR145" s="25">
        <v>1</v>
      </c>
      <c r="AS145" s="8">
        <v>1</v>
      </c>
      <c r="AT145" s="8">
        <v>1</v>
      </c>
      <c r="AU145" s="8">
        <v>1</v>
      </c>
      <c r="AV145" s="8">
        <v>1</v>
      </c>
      <c r="AW145" s="8">
        <v>1</v>
      </c>
      <c r="AX145" s="8">
        <v>1</v>
      </c>
      <c r="AY145" s="195">
        <v>0</v>
      </c>
      <c r="AZ145" s="195">
        <v>0</v>
      </c>
      <c r="BA145" s="195">
        <v>0</v>
      </c>
      <c r="BB145" s="195">
        <v>0</v>
      </c>
      <c r="BC145" s="195">
        <f t="shared" si="26"/>
        <v>0</v>
      </c>
      <c r="BD145" s="146" t="s">
        <v>236</v>
      </c>
      <c r="BE145" s="146" t="s">
        <v>237</v>
      </c>
    </row>
    <row r="146" spans="1:57" ht="67.5" customHeight="1">
      <c r="A146" s="571"/>
      <c r="B146" s="572"/>
      <c r="C146" s="572"/>
      <c r="D146" s="572"/>
      <c r="E146" s="572"/>
      <c r="F146" s="572"/>
      <c r="G146" s="572"/>
      <c r="H146" s="572"/>
      <c r="I146" s="572"/>
      <c r="J146" s="572"/>
      <c r="K146" s="572"/>
      <c r="L146" s="572"/>
      <c r="M146" s="572"/>
      <c r="N146" s="194" t="s">
        <v>441</v>
      </c>
      <c r="O146" s="158">
        <f t="shared" si="29"/>
        <v>0.6</v>
      </c>
      <c r="P146" s="158">
        <f>+O146*C4</f>
        <v>0.06</v>
      </c>
      <c r="Q146" s="158">
        <f>+O146*D4</f>
        <v>0.27</v>
      </c>
      <c r="R146" s="158">
        <f>+O146*E4</f>
        <v>0.15</v>
      </c>
      <c r="S146" s="158">
        <f>+O146*F4</f>
        <v>0.12</v>
      </c>
      <c r="T146" s="194" t="s">
        <v>488</v>
      </c>
      <c r="U146" s="194" t="s">
        <v>202</v>
      </c>
      <c r="V146" s="591" t="s">
        <v>88</v>
      </c>
      <c r="W146" s="298">
        <v>0.47</v>
      </c>
      <c r="X146" s="298">
        <v>0.8</v>
      </c>
      <c r="Y146" s="298">
        <v>0.5</v>
      </c>
      <c r="Z146" s="298">
        <v>0.66</v>
      </c>
      <c r="AA146" s="298">
        <v>0.75</v>
      </c>
      <c r="AB146" s="298">
        <v>0.8</v>
      </c>
      <c r="AC146" s="6"/>
      <c r="AD146" s="202"/>
      <c r="AE146" s="202"/>
      <c r="AF146" s="202"/>
      <c r="AG146" s="202"/>
      <c r="AH146" s="202"/>
      <c r="AI146" s="147" t="s">
        <v>321</v>
      </c>
      <c r="AJ146" s="451">
        <v>0.11</v>
      </c>
      <c r="AK146" s="451">
        <f>+AJ146*C4</f>
        <v>1.1000000000000001E-2</v>
      </c>
      <c r="AL146" s="451">
        <f>+AJ146*D4</f>
        <v>4.9500000000000002E-2</v>
      </c>
      <c r="AM146" s="451">
        <f>+AJ146*E4</f>
        <v>2.75E-2</v>
      </c>
      <c r="AN146" s="451">
        <f>+AJ146*F4</f>
        <v>2.2000000000000002E-2</v>
      </c>
      <c r="AO146" s="25" t="s">
        <v>384</v>
      </c>
      <c r="AP146" s="25" t="s">
        <v>202</v>
      </c>
      <c r="AQ146" s="25" t="s">
        <v>88</v>
      </c>
      <c r="AR146" s="25">
        <v>0.54</v>
      </c>
      <c r="AS146" s="8">
        <v>0.7</v>
      </c>
      <c r="AT146" s="8">
        <v>0.7</v>
      </c>
      <c r="AU146" s="8">
        <v>0.7</v>
      </c>
      <c r="AV146" s="8">
        <v>0.7</v>
      </c>
      <c r="AW146" s="8">
        <v>0.7</v>
      </c>
      <c r="AX146" s="8">
        <v>0.7</v>
      </c>
      <c r="AY146" s="195">
        <v>0</v>
      </c>
      <c r="AZ146" s="195">
        <v>0</v>
      </c>
      <c r="BA146" s="195">
        <v>0</v>
      </c>
      <c r="BB146" s="195">
        <v>0</v>
      </c>
      <c r="BC146" s="195">
        <f t="shared" si="26"/>
        <v>0</v>
      </c>
      <c r="BD146" s="146" t="s">
        <v>236</v>
      </c>
      <c r="BE146" s="146" t="s">
        <v>237</v>
      </c>
    </row>
    <row r="147" spans="1:57" ht="22.5">
      <c r="A147" s="571"/>
      <c r="B147" s="572"/>
      <c r="C147" s="572"/>
      <c r="D147" s="572"/>
      <c r="E147" s="572"/>
      <c r="F147" s="572"/>
      <c r="G147" s="572"/>
      <c r="H147" s="572"/>
      <c r="I147" s="572"/>
      <c r="J147" s="572"/>
      <c r="K147" s="572"/>
      <c r="L147" s="572"/>
      <c r="M147" s="572"/>
      <c r="N147" s="7"/>
      <c r="O147" s="7"/>
      <c r="P147" s="614"/>
      <c r="Q147" s="614"/>
      <c r="R147" s="614"/>
      <c r="S147" s="614"/>
      <c r="T147" s="7"/>
      <c r="U147" s="7"/>
      <c r="V147" s="593"/>
      <c r="W147" s="7"/>
      <c r="X147" s="7"/>
      <c r="Y147" s="7"/>
      <c r="Z147" s="7"/>
      <c r="AA147" s="7"/>
      <c r="AB147" s="7"/>
      <c r="AC147" s="6"/>
      <c r="AD147" s="202"/>
      <c r="AE147" s="202"/>
      <c r="AF147" s="202"/>
      <c r="AG147" s="202"/>
      <c r="AH147" s="202"/>
      <c r="AI147" s="147" t="s">
        <v>322</v>
      </c>
      <c r="AJ147" s="451">
        <v>0.11</v>
      </c>
      <c r="AK147" s="451">
        <f>+AJ147*C4</f>
        <v>1.1000000000000001E-2</v>
      </c>
      <c r="AL147" s="451">
        <f>+AJ147*D4</f>
        <v>4.9500000000000002E-2</v>
      </c>
      <c r="AM147" s="451">
        <f>+AJ147*E4</f>
        <v>2.75E-2</v>
      </c>
      <c r="AN147" s="451">
        <f>+AJ147*F4</f>
        <v>2.2000000000000002E-2</v>
      </c>
      <c r="AO147" s="25" t="s">
        <v>385</v>
      </c>
      <c r="AP147" s="25" t="s">
        <v>202</v>
      </c>
      <c r="AQ147" s="25" t="s">
        <v>88</v>
      </c>
      <c r="AR147" s="25">
        <v>0.71</v>
      </c>
      <c r="AS147" s="8">
        <v>0.8</v>
      </c>
      <c r="AT147" s="8">
        <v>0.8</v>
      </c>
      <c r="AU147" s="8">
        <v>0.8</v>
      </c>
      <c r="AV147" s="8">
        <v>0.8</v>
      </c>
      <c r="AW147" s="8">
        <v>0.8</v>
      </c>
      <c r="AX147" s="8">
        <v>0.8</v>
      </c>
      <c r="AY147" s="195">
        <v>0</v>
      </c>
      <c r="AZ147" s="195">
        <v>0</v>
      </c>
      <c r="BA147" s="195">
        <v>0</v>
      </c>
      <c r="BB147" s="195">
        <v>0</v>
      </c>
      <c r="BC147" s="195">
        <f t="shared" si="26"/>
        <v>0</v>
      </c>
      <c r="BD147" s="146" t="s">
        <v>236</v>
      </c>
      <c r="BE147" s="146" t="s">
        <v>237</v>
      </c>
    </row>
    <row r="148" spans="1:57" ht="45">
      <c r="A148" s="571"/>
      <c r="B148" s="572"/>
      <c r="C148" s="572"/>
      <c r="D148" s="572"/>
      <c r="E148" s="572"/>
      <c r="F148" s="572"/>
      <c r="G148" s="572"/>
      <c r="H148" s="572"/>
      <c r="I148" s="572"/>
      <c r="J148" s="572"/>
      <c r="K148" s="572"/>
      <c r="L148" s="572"/>
      <c r="M148" s="572"/>
      <c r="N148" s="595" t="s">
        <v>442</v>
      </c>
      <c r="O148" s="158">
        <f t="shared" ref="O148:O155" si="30">+(0.06*100)/10</f>
        <v>0.6</v>
      </c>
      <c r="P148" s="158">
        <f>+O148*C7</f>
        <v>0.48</v>
      </c>
      <c r="Q148" s="158">
        <f>+O148*D4</f>
        <v>0.27</v>
      </c>
      <c r="R148" s="158">
        <f>+O148*E7</f>
        <v>1.2</v>
      </c>
      <c r="S148" s="158">
        <f>+O148*F4</f>
        <v>0.12</v>
      </c>
      <c r="T148" s="147" t="s">
        <v>489</v>
      </c>
      <c r="U148" s="146" t="s">
        <v>202</v>
      </c>
      <c r="V148" s="591" t="s">
        <v>88</v>
      </c>
      <c r="W148" s="613">
        <v>0.75</v>
      </c>
      <c r="X148" s="366">
        <v>0.85</v>
      </c>
      <c r="Y148" s="366">
        <v>0.75</v>
      </c>
      <c r="Z148" s="366">
        <v>0.81</v>
      </c>
      <c r="AA148" s="366">
        <v>0.83</v>
      </c>
      <c r="AB148" s="366">
        <v>0.85</v>
      </c>
      <c r="AC148" s="6"/>
      <c r="AD148" s="202"/>
      <c r="AE148" s="202"/>
      <c r="AF148" s="202"/>
      <c r="AG148" s="202"/>
      <c r="AH148" s="202"/>
      <c r="AI148" s="147" t="s">
        <v>323</v>
      </c>
      <c r="AJ148" s="457">
        <v>0.11</v>
      </c>
      <c r="AK148" s="457">
        <f>+AJ148*C4</f>
        <v>1.1000000000000001E-2</v>
      </c>
      <c r="AL148" s="457">
        <f>+AJ148*D4</f>
        <v>4.9500000000000002E-2</v>
      </c>
      <c r="AM148" s="457">
        <f>+AJ148*E4</f>
        <v>2.75E-2</v>
      </c>
      <c r="AN148" s="457">
        <f>+AJ148*F4</f>
        <v>2.2000000000000002E-2</v>
      </c>
      <c r="AO148" s="25" t="s">
        <v>386</v>
      </c>
      <c r="AP148" s="25" t="s">
        <v>202</v>
      </c>
      <c r="AQ148" s="25" t="s">
        <v>88</v>
      </c>
      <c r="AR148" s="25">
        <v>0.75</v>
      </c>
      <c r="AS148" s="8">
        <v>0.85</v>
      </c>
      <c r="AT148" s="8">
        <v>0.85</v>
      </c>
      <c r="AU148" s="8">
        <v>0.85</v>
      </c>
      <c r="AV148" s="8">
        <v>0.85</v>
      </c>
      <c r="AW148" s="8">
        <v>0.85</v>
      </c>
      <c r="AX148" s="8">
        <v>0.85</v>
      </c>
      <c r="AY148" s="195">
        <v>0</v>
      </c>
      <c r="AZ148" s="195">
        <v>0</v>
      </c>
      <c r="BA148" s="195">
        <v>0</v>
      </c>
      <c r="BB148" s="195">
        <v>0</v>
      </c>
      <c r="BC148" s="195">
        <f t="shared" si="26"/>
        <v>0</v>
      </c>
      <c r="BD148" s="146" t="s">
        <v>236</v>
      </c>
      <c r="BE148" s="146" t="s">
        <v>237</v>
      </c>
    </row>
    <row r="149" spans="1:57" ht="33.75" customHeight="1">
      <c r="A149" s="571"/>
      <c r="B149" s="572"/>
      <c r="C149" s="572"/>
      <c r="D149" s="572"/>
      <c r="E149" s="572"/>
      <c r="F149" s="572"/>
      <c r="G149" s="572"/>
      <c r="H149" s="572"/>
      <c r="I149" s="572"/>
      <c r="J149" s="572"/>
      <c r="K149" s="572"/>
      <c r="L149" s="572"/>
      <c r="M149" s="572"/>
      <c r="N149" s="595" t="s">
        <v>443</v>
      </c>
      <c r="O149" s="158">
        <f t="shared" si="30"/>
        <v>0.6</v>
      </c>
      <c r="P149" s="158">
        <f>+O149*C4</f>
        <v>0.06</v>
      </c>
      <c r="Q149" s="158">
        <f>+O149*D4</f>
        <v>0.27</v>
      </c>
      <c r="R149" s="158">
        <f>+O149*E4</f>
        <v>0.15</v>
      </c>
      <c r="S149" s="158">
        <f>+O149*F4</f>
        <v>0.12</v>
      </c>
      <c r="T149" s="147" t="s">
        <v>490</v>
      </c>
      <c r="U149" s="146" t="s">
        <v>203</v>
      </c>
      <c r="V149" s="147" t="s">
        <v>400</v>
      </c>
      <c r="W149" s="613" t="s">
        <v>518</v>
      </c>
      <c r="X149" s="147" t="s">
        <v>518</v>
      </c>
      <c r="Y149" s="147">
        <v>5.6</v>
      </c>
      <c r="Z149" s="147">
        <v>5.6</v>
      </c>
      <c r="AA149" s="147">
        <v>5.6</v>
      </c>
      <c r="AB149" s="147">
        <v>5.6</v>
      </c>
      <c r="AC149" s="6"/>
      <c r="AD149" s="202"/>
      <c r="AE149" s="202"/>
      <c r="AF149" s="202"/>
      <c r="AG149" s="202"/>
      <c r="AH149" s="202"/>
      <c r="AI149" s="147" t="s">
        <v>324</v>
      </c>
      <c r="AJ149" s="158">
        <v>0.11</v>
      </c>
      <c r="AK149" s="158">
        <f>+AJ149*C4</f>
        <v>1.1000000000000001E-2</v>
      </c>
      <c r="AL149" s="158">
        <f>+AJ149*D4</f>
        <v>4.9500000000000002E-2</v>
      </c>
      <c r="AM149" s="158">
        <f>+AJ149*E4</f>
        <v>2.75E-2</v>
      </c>
      <c r="AN149" s="158">
        <f>+AJ149*F4</f>
        <v>2.2000000000000002E-2</v>
      </c>
      <c r="AO149" s="455" t="s">
        <v>387</v>
      </c>
      <c r="AP149" s="402" t="s">
        <v>202</v>
      </c>
      <c r="AQ149" s="189" t="s">
        <v>88</v>
      </c>
      <c r="AR149" s="190">
        <v>1</v>
      </c>
      <c r="AS149" s="341">
        <v>1</v>
      </c>
      <c r="AT149" s="341">
        <v>1</v>
      </c>
      <c r="AU149" s="341">
        <v>1</v>
      </c>
      <c r="AV149" s="341">
        <v>1</v>
      </c>
      <c r="AW149" s="341">
        <v>1</v>
      </c>
      <c r="AX149" s="341">
        <v>1</v>
      </c>
      <c r="AY149" s="195">
        <v>0</v>
      </c>
      <c r="AZ149" s="195">
        <v>0</v>
      </c>
      <c r="BA149" s="195">
        <v>0</v>
      </c>
      <c r="BB149" s="195">
        <v>0</v>
      </c>
      <c r="BC149" s="195">
        <f t="shared" si="26"/>
        <v>0</v>
      </c>
      <c r="BD149" s="198" t="s">
        <v>236</v>
      </c>
      <c r="BE149" s="198" t="s">
        <v>237</v>
      </c>
    </row>
    <row r="150" spans="1:57" ht="45">
      <c r="A150" s="571"/>
      <c r="B150" s="572"/>
      <c r="C150" s="572"/>
      <c r="D150" s="572"/>
      <c r="E150" s="572"/>
      <c r="F150" s="572"/>
      <c r="G150" s="572"/>
      <c r="H150" s="572"/>
      <c r="I150" s="572"/>
      <c r="J150" s="572"/>
      <c r="K150" s="572"/>
      <c r="L150" s="572"/>
      <c r="M150" s="572"/>
      <c r="N150" s="608" t="s">
        <v>444</v>
      </c>
      <c r="O150" s="158">
        <f t="shared" si="30"/>
        <v>0.6</v>
      </c>
      <c r="P150" s="158">
        <f>+O150*C4</f>
        <v>0.06</v>
      </c>
      <c r="Q150" s="158">
        <f>+O150*D4</f>
        <v>0.27</v>
      </c>
      <c r="R150" s="158">
        <f>+O150*E4</f>
        <v>0.15</v>
      </c>
      <c r="S150" s="158">
        <f>+O150*F4</f>
        <v>0.12</v>
      </c>
      <c r="T150" s="610" t="s">
        <v>491</v>
      </c>
      <c r="U150" s="615" t="s">
        <v>1454</v>
      </c>
      <c r="V150" s="147" t="s">
        <v>400</v>
      </c>
      <c r="W150" s="615" t="s">
        <v>519</v>
      </c>
      <c r="X150" s="615" t="s">
        <v>539</v>
      </c>
      <c r="Y150" s="616">
        <v>1.1000000000000001</v>
      </c>
      <c r="Z150" s="147">
        <v>0.89</v>
      </c>
      <c r="AA150" s="147">
        <v>0.82</v>
      </c>
      <c r="AB150" s="147">
        <v>0.77</v>
      </c>
      <c r="AC150" s="6"/>
      <c r="AD150" s="202"/>
      <c r="AE150" s="202"/>
      <c r="AF150" s="202"/>
      <c r="AG150" s="202"/>
      <c r="AH150" s="202"/>
      <c r="AI150" s="147"/>
      <c r="AJ150" s="69"/>
      <c r="AK150" s="69"/>
      <c r="AL150" s="69"/>
      <c r="AM150" s="69"/>
      <c r="AN150" s="69"/>
      <c r="AO150" s="456"/>
      <c r="AP150" s="403"/>
      <c r="AQ150" s="3"/>
      <c r="AR150" s="69"/>
      <c r="AS150" s="38"/>
      <c r="AT150" s="38"/>
      <c r="AU150" s="38"/>
      <c r="AV150" s="38"/>
      <c r="AW150" s="38"/>
      <c r="AX150" s="38"/>
      <c r="AY150" s="197"/>
      <c r="AZ150" s="197"/>
      <c r="BA150" s="197"/>
      <c r="BB150" s="197"/>
      <c r="BC150" s="197"/>
      <c r="BD150" s="5"/>
      <c r="BE150" s="5"/>
    </row>
    <row r="151" spans="1:57" ht="33.75">
      <c r="A151" s="571"/>
      <c r="B151" s="572"/>
      <c r="C151" s="572"/>
      <c r="D151" s="572"/>
      <c r="E151" s="572"/>
      <c r="F151" s="572"/>
      <c r="G151" s="572"/>
      <c r="H151" s="572"/>
      <c r="I151" s="572"/>
      <c r="J151" s="572"/>
      <c r="K151" s="572"/>
      <c r="L151" s="572"/>
      <c r="M151" s="572"/>
      <c r="N151" s="593" t="s">
        <v>445</v>
      </c>
      <c r="O151" s="158">
        <f t="shared" si="30"/>
        <v>0.6</v>
      </c>
      <c r="P151" s="158">
        <f>+O151*C4</f>
        <v>0.06</v>
      </c>
      <c r="Q151" s="158">
        <f>+O151*D4</f>
        <v>0.27</v>
      </c>
      <c r="R151" s="158">
        <f>+O151*E4</f>
        <v>0.15</v>
      </c>
      <c r="S151" s="158">
        <f>+O151*F4</f>
        <v>0.12</v>
      </c>
      <c r="T151" s="7" t="s">
        <v>492</v>
      </c>
      <c r="U151" s="617" t="s">
        <v>202</v>
      </c>
      <c r="V151" s="147" t="s">
        <v>400</v>
      </c>
      <c r="W151" s="617" t="s">
        <v>520</v>
      </c>
      <c r="X151" s="617" t="s">
        <v>540</v>
      </c>
      <c r="Y151" s="618">
        <v>0.01</v>
      </c>
      <c r="Z151" s="618">
        <v>3.5000000000000003E-2</v>
      </c>
      <c r="AA151" s="618">
        <v>4.4999999999999998E-2</v>
      </c>
      <c r="AB151" s="618">
        <v>5.1999999999999998E-2</v>
      </c>
      <c r="AC151" s="6"/>
      <c r="AD151" s="202"/>
      <c r="AE151" s="202"/>
      <c r="AF151" s="202"/>
      <c r="AG151" s="202"/>
      <c r="AH151" s="202"/>
      <c r="AI151" s="147" t="s">
        <v>325</v>
      </c>
      <c r="AJ151" s="454">
        <v>0.11</v>
      </c>
      <c r="AK151" s="454">
        <f>+AJ151*C4</f>
        <v>1.1000000000000001E-2</v>
      </c>
      <c r="AL151" s="454">
        <f>+AJ151*D4</f>
        <v>4.9500000000000002E-2</v>
      </c>
      <c r="AM151" s="454">
        <f>+AJ151*E4</f>
        <v>2.75E-2</v>
      </c>
      <c r="AN151" s="454">
        <f>+AJ151*F4</f>
        <v>2.2000000000000002E-2</v>
      </c>
      <c r="AO151" s="25" t="s">
        <v>388</v>
      </c>
      <c r="AP151" s="25" t="s">
        <v>202</v>
      </c>
      <c r="AQ151" s="25" t="s">
        <v>88</v>
      </c>
      <c r="AR151" s="25">
        <v>1</v>
      </c>
      <c r="AS151" s="8">
        <v>1</v>
      </c>
      <c r="AT151" s="8">
        <v>0.2857142857142857</v>
      </c>
      <c r="AU151" s="8">
        <v>0.5714285714285714</v>
      </c>
      <c r="AV151" s="8">
        <v>0.8571428571428571</v>
      </c>
      <c r="AW151" s="8">
        <v>1</v>
      </c>
      <c r="AX151" s="8">
        <v>1</v>
      </c>
      <c r="AY151" s="195">
        <v>0</v>
      </c>
      <c r="AZ151" s="195">
        <v>0</v>
      </c>
      <c r="BA151" s="195">
        <v>0</v>
      </c>
      <c r="BB151" s="195">
        <v>0</v>
      </c>
      <c r="BC151" s="195">
        <f t="shared" si="26"/>
        <v>0</v>
      </c>
      <c r="BD151" s="146" t="s">
        <v>236</v>
      </c>
      <c r="BE151" s="146" t="s">
        <v>237</v>
      </c>
    </row>
    <row r="152" spans="1:57" ht="45">
      <c r="A152" s="571"/>
      <c r="B152" s="572"/>
      <c r="C152" s="572"/>
      <c r="D152" s="572"/>
      <c r="E152" s="572"/>
      <c r="F152" s="572"/>
      <c r="G152" s="572"/>
      <c r="H152" s="572"/>
      <c r="I152" s="572"/>
      <c r="J152" s="572"/>
      <c r="K152" s="572"/>
      <c r="L152" s="572"/>
      <c r="M152" s="572"/>
      <c r="N152" s="595" t="s">
        <v>446</v>
      </c>
      <c r="O152" s="158">
        <f t="shared" si="30"/>
        <v>0.6</v>
      </c>
      <c r="P152" s="158">
        <f>+O152*C4</f>
        <v>0.06</v>
      </c>
      <c r="Q152" s="158">
        <f>+O152*D4</f>
        <v>0.27</v>
      </c>
      <c r="R152" s="158">
        <f>+O152*E4</f>
        <v>0.15</v>
      </c>
      <c r="S152" s="158">
        <f>+O152*F4</f>
        <v>0.12</v>
      </c>
      <c r="T152" s="595" t="s">
        <v>493</v>
      </c>
      <c r="U152" s="146" t="s">
        <v>1454</v>
      </c>
      <c r="V152" s="147" t="s">
        <v>400</v>
      </c>
      <c r="W152" s="147" t="s">
        <v>521</v>
      </c>
      <c r="X152" s="147" t="s">
        <v>521</v>
      </c>
      <c r="Y152" s="616">
        <v>0.48</v>
      </c>
      <c r="Z152" s="616">
        <v>0.48</v>
      </c>
      <c r="AA152" s="616">
        <v>0.48</v>
      </c>
      <c r="AB152" s="616">
        <v>0.48</v>
      </c>
      <c r="AC152" s="6"/>
      <c r="AD152" s="202"/>
      <c r="AE152" s="202"/>
      <c r="AF152" s="202"/>
      <c r="AG152" s="202"/>
      <c r="AH152" s="202"/>
      <c r="AI152" s="147" t="s">
        <v>326</v>
      </c>
      <c r="AJ152" s="451">
        <v>0.11</v>
      </c>
      <c r="AK152" s="454">
        <f>+AJ152*C4</f>
        <v>1.1000000000000001E-2</v>
      </c>
      <c r="AL152" s="451">
        <f>+AJ152*D4</f>
        <v>4.9500000000000002E-2</v>
      </c>
      <c r="AM152" s="451">
        <f>+AJ152*E4</f>
        <v>2.75E-2</v>
      </c>
      <c r="AN152" s="451">
        <f>+AJ152*F4</f>
        <v>2.2000000000000002E-2</v>
      </c>
      <c r="AO152" s="25" t="s">
        <v>389</v>
      </c>
      <c r="AP152" s="25" t="s">
        <v>202</v>
      </c>
      <c r="AQ152" s="25" t="s">
        <v>88</v>
      </c>
      <c r="AR152" s="25">
        <v>1</v>
      </c>
      <c r="AS152" s="8">
        <v>1</v>
      </c>
      <c r="AT152" s="8">
        <v>1</v>
      </c>
      <c r="AU152" s="8">
        <v>1</v>
      </c>
      <c r="AV152" s="8">
        <v>1</v>
      </c>
      <c r="AW152" s="8">
        <v>1</v>
      </c>
      <c r="AX152" s="8">
        <v>1</v>
      </c>
      <c r="AY152" s="195">
        <v>0</v>
      </c>
      <c r="AZ152" s="195">
        <v>0</v>
      </c>
      <c r="BA152" s="195">
        <v>0</v>
      </c>
      <c r="BB152" s="195">
        <v>0</v>
      </c>
      <c r="BC152" s="195">
        <f t="shared" si="26"/>
        <v>0</v>
      </c>
      <c r="BD152" s="146" t="s">
        <v>236</v>
      </c>
      <c r="BE152" s="146" t="s">
        <v>237</v>
      </c>
    </row>
    <row r="153" spans="1:57" ht="45">
      <c r="A153" s="571"/>
      <c r="B153" s="572"/>
      <c r="C153" s="572"/>
      <c r="D153" s="572"/>
      <c r="E153" s="572"/>
      <c r="F153" s="572"/>
      <c r="G153" s="572"/>
      <c r="H153" s="572"/>
      <c r="I153" s="572"/>
      <c r="J153" s="572"/>
      <c r="K153" s="572"/>
      <c r="L153" s="572"/>
      <c r="M153" s="572"/>
      <c r="N153" s="595" t="s">
        <v>447</v>
      </c>
      <c r="O153" s="158">
        <f t="shared" si="30"/>
        <v>0.6</v>
      </c>
      <c r="P153" s="158">
        <f>+O153*C4</f>
        <v>0.06</v>
      </c>
      <c r="Q153" s="158">
        <f>+O153*D4</f>
        <v>0.27</v>
      </c>
      <c r="R153" s="158">
        <f>+O153*E4</f>
        <v>0.15</v>
      </c>
      <c r="S153" s="158">
        <f>+O153*F4</f>
        <v>0.12</v>
      </c>
      <c r="T153" s="595" t="s">
        <v>494</v>
      </c>
      <c r="U153" s="146" t="s">
        <v>202</v>
      </c>
      <c r="V153" s="147" t="s">
        <v>400</v>
      </c>
      <c r="W153" s="611" t="s">
        <v>221</v>
      </c>
      <c r="X153" s="619">
        <v>1</v>
      </c>
      <c r="Y153" s="619">
        <v>1</v>
      </c>
      <c r="Z153" s="619">
        <v>1</v>
      </c>
      <c r="AA153" s="619">
        <v>1</v>
      </c>
      <c r="AB153" s="619">
        <v>1</v>
      </c>
      <c r="AC153" s="6"/>
      <c r="AD153" s="202"/>
      <c r="AE153" s="202"/>
      <c r="AF153" s="202"/>
      <c r="AG153" s="202"/>
      <c r="AH153" s="202"/>
      <c r="AI153" s="147" t="s">
        <v>327</v>
      </c>
      <c r="AJ153" s="451">
        <v>0.11</v>
      </c>
      <c r="AK153" s="454">
        <f>+AJ153*C4</f>
        <v>1.1000000000000001E-2</v>
      </c>
      <c r="AL153" s="451">
        <f>+AJ153*D4</f>
        <v>4.9500000000000002E-2</v>
      </c>
      <c r="AM153" s="451">
        <f>+AJ153*E4</f>
        <v>2.75E-2</v>
      </c>
      <c r="AN153" s="451">
        <f>+AJ153*F4</f>
        <v>2.2000000000000002E-2</v>
      </c>
      <c r="AO153" s="25" t="s">
        <v>390</v>
      </c>
      <c r="AP153" s="25" t="s">
        <v>202</v>
      </c>
      <c r="AQ153" s="25" t="s">
        <v>88</v>
      </c>
      <c r="AR153" s="188">
        <v>0</v>
      </c>
      <c r="AS153" s="8">
        <v>1</v>
      </c>
      <c r="AT153" s="8">
        <v>1</v>
      </c>
      <c r="AU153" s="8">
        <v>1</v>
      </c>
      <c r="AV153" s="8">
        <v>1</v>
      </c>
      <c r="AW153" s="8">
        <v>1</v>
      </c>
      <c r="AX153" s="8">
        <v>1</v>
      </c>
      <c r="AY153" s="195">
        <v>0</v>
      </c>
      <c r="AZ153" s="195">
        <v>0</v>
      </c>
      <c r="BA153" s="195">
        <v>0</v>
      </c>
      <c r="BB153" s="195">
        <v>0</v>
      </c>
      <c r="BC153" s="195">
        <f t="shared" si="26"/>
        <v>0</v>
      </c>
      <c r="BD153" s="146" t="s">
        <v>236</v>
      </c>
      <c r="BE153" s="146" t="s">
        <v>237</v>
      </c>
    </row>
    <row r="154" spans="1:57" ht="22.5">
      <c r="A154" s="571"/>
      <c r="B154" s="572"/>
      <c r="C154" s="572"/>
      <c r="D154" s="572"/>
      <c r="E154" s="572"/>
      <c r="F154" s="572"/>
      <c r="G154" s="572"/>
      <c r="H154" s="572"/>
      <c r="I154" s="572"/>
      <c r="J154" s="572"/>
      <c r="K154" s="572"/>
      <c r="L154" s="572"/>
      <c r="M154" s="572"/>
      <c r="N154" s="608" t="s">
        <v>448</v>
      </c>
      <c r="O154" s="158">
        <f t="shared" si="30"/>
        <v>0.6</v>
      </c>
      <c r="P154" s="158">
        <f>+O154*C4</f>
        <v>0.06</v>
      </c>
      <c r="Q154" s="158">
        <f>+O154*D4</f>
        <v>0.27</v>
      </c>
      <c r="R154" s="158">
        <f>+O154*E4</f>
        <v>0.15</v>
      </c>
      <c r="S154" s="158">
        <f>+O154*F4</f>
        <v>0.12</v>
      </c>
      <c r="T154" s="608" t="s">
        <v>495</v>
      </c>
      <c r="U154" s="620" t="s">
        <v>203</v>
      </c>
      <c r="V154" s="147" t="s">
        <v>400</v>
      </c>
      <c r="W154" s="621" t="s">
        <v>522</v>
      </c>
      <c r="X154" s="621" t="s">
        <v>522</v>
      </c>
      <c r="Y154" s="620">
        <v>0</v>
      </c>
      <c r="Z154" s="620">
        <v>0</v>
      </c>
      <c r="AA154" s="620">
        <v>0</v>
      </c>
      <c r="AB154" s="620">
        <v>0</v>
      </c>
      <c r="AC154" s="6"/>
      <c r="AD154" s="202"/>
      <c r="AE154" s="202"/>
      <c r="AF154" s="202"/>
      <c r="AG154" s="202"/>
      <c r="AH154" s="202"/>
      <c r="AI154" s="147" t="s">
        <v>328</v>
      </c>
      <c r="AJ154" s="451">
        <v>0.12</v>
      </c>
      <c r="AK154" s="454">
        <f>+AJ154*C4</f>
        <v>1.2E-2</v>
      </c>
      <c r="AL154" s="451">
        <f>+AJ154*D4</f>
        <v>5.3999999999999999E-2</v>
      </c>
      <c r="AM154" s="451">
        <f>+AJ154*E4</f>
        <v>0.03</v>
      </c>
      <c r="AN154" s="451">
        <f>+AJ154*F4</f>
        <v>2.4E-2</v>
      </c>
      <c r="AO154" s="25" t="s">
        <v>391</v>
      </c>
      <c r="AP154" s="25" t="s">
        <v>202</v>
      </c>
      <c r="AQ154" s="25" t="s">
        <v>88</v>
      </c>
      <c r="AR154" s="188">
        <v>0</v>
      </c>
      <c r="AS154" s="8">
        <v>1</v>
      </c>
      <c r="AT154" s="8">
        <v>1</v>
      </c>
      <c r="AU154" s="8">
        <v>1</v>
      </c>
      <c r="AV154" s="8">
        <v>1</v>
      </c>
      <c r="AW154" s="8">
        <v>1</v>
      </c>
      <c r="AX154" s="8">
        <v>1</v>
      </c>
      <c r="AY154" s="195">
        <v>0</v>
      </c>
      <c r="AZ154" s="195">
        <v>0</v>
      </c>
      <c r="BA154" s="195">
        <v>0</v>
      </c>
      <c r="BB154" s="195">
        <v>0</v>
      </c>
      <c r="BC154" s="195">
        <f t="shared" si="26"/>
        <v>0</v>
      </c>
      <c r="BD154" s="146" t="s">
        <v>236</v>
      </c>
      <c r="BE154" s="146" t="s">
        <v>237</v>
      </c>
    </row>
    <row r="155" spans="1:57" ht="33.75">
      <c r="A155" s="571"/>
      <c r="B155" s="572"/>
      <c r="C155" s="572"/>
      <c r="D155" s="572"/>
      <c r="E155" s="572"/>
      <c r="F155" s="572"/>
      <c r="G155" s="572"/>
      <c r="H155" s="572"/>
      <c r="I155" s="572"/>
      <c r="J155" s="572"/>
      <c r="K155" s="572"/>
      <c r="L155" s="572"/>
      <c r="M155" s="572"/>
      <c r="N155" s="593" t="s">
        <v>449</v>
      </c>
      <c r="O155" s="158">
        <f t="shared" si="30"/>
        <v>0.6</v>
      </c>
      <c r="P155" s="158">
        <f>+O155*C4</f>
        <v>0.06</v>
      </c>
      <c r="Q155" s="158">
        <f>+O155*D4</f>
        <v>0.27</v>
      </c>
      <c r="R155" s="158">
        <f>+O155*E4</f>
        <v>0.15</v>
      </c>
      <c r="S155" s="158">
        <f>+O155*F4</f>
        <v>0.12</v>
      </c>
      <c r="T155" s="593" t="s">
        <v>496</v>
      </c>
      <c r="U155" s="622" t="s">
        <v>203</v>
      </c>
      <c r="V155" s="147" t="s">
        <v>400</v>
      </c>
      <c r="W155" s="623" t="s">
        <v>523</v>
      </c>
      <c r="X155" s="623" t="s">
        <v>523</v>
      </c>
      <c r="Y155" s="620">
        <v>0</v>
      </c>
      <c r="Z155" s="620">
        <v>0</v>
      </c>
      <c r="AA155" s="620">
        <v>0</v>
      </c>
      <c r="AB155" s="620">
        <v>0</v>
      </c>
      <c r="AC155" s="6"/>
      <c r="AD155" s="202"/>
      <c r="AE155" s="202"/>
      <c r="AF155" s="202"/>
      <c r="AG155" s="202"/>
      <c r="AH155" s="202">
        <v>2.36</v>
      </c>
      <c r="AI155" s="147" t="s">
        <v>329</v>
      </c>
      <c r="AJ155" s="458">
        <v>0.47</v>
      </c>
      <c r="AK155" s="458">
        <f>+AJ155*C4</f>
        <v>4.7E-2</v>
      </c>
      <c r="AL155" s="458">
        <f>+AJ155*D4</f>
        <v>0.21149999999999999</v>
      </c>
      <c r="AM155" s="458">
        <f>+AJ155*E4</f>
        <v>0.11749999999999999</v>
      </c>
      <c r="AN155" s="458">
        <f>+AJ155*F4</f>
        <v>9.4E-2</v>
      </c>
      <c r="AO155" s="189" t="s">
        <v>392</v>
      </c>
      <c r="AP155" s="190" t="s">
        <v>202</v>
      </c>
      <c r="AQ155" s="189" t="s">
        <v>88</v>
      </c>
      <c r="AR155" s="190">
        <v>1</v>
      </c>
      <c r="AS155" s="341">
        <v>1</v>
      </c>
      <c r="AT155" s="341">
        <v>1</v>
      </c>
      <c r="AU155" s="341">
        <v>1</v>
      </c>
      <c r="AV155" s="341">
        <v>1</v>
      </c>
      <c r="AW155" s="341">
        <v>1</v>
      </c>
      <c r="AX155" s="341">
        <v>1</v>
      </c>
      <c r="AY155" s="195">
        <v>300000000</v>
      </c>
      <c r="AZ155" s="195">
        <v>300000000</v>
      </c>
      <c r="BA155" s="195">
        <v>300000000</v>
      </c>
      <c r="BB155" s="195">
        <v>300000000</v>
      </c>
      <c r="BC155" s="195">
        <f t="shared" si="26"/>
        <v>1200000000</v>
      </c>
      <c r="BD155" s="198" t="s">
        <v>236</v>
      </c>
      <c r="BE155" s="198" t="s">
        <v>237</v>
      </c>
    </row>
    <row r="156" spans="1:57" ht="33.75">
      <c r="A156" s="571"/>
      <c r="B156" s="572"/>
      <c r="C156" s="572"/>
      <c r="D156" s="572"/>
      <c r="E156" s="572"/>
      <c r="F156" s="572"/>
      <c r="G156" s="572"/>
      <c r="H156" s="572"/>
      <c r="I156" s="572"/>
      <c r="J156" s="572"/>
      <c r="K156" s="572"/>
      <c r="L156" s="572"/>
      <c r="M156" s="572"/>
      <c r="N156" s="595" t="s">
        <v>450</v>
      </c>
      <c r="O156" s="158">
        <f t="shared" ref="O156:O161" si="31">+(0.06*100)/10</f>
        <v>0.6</v>
      </c>
      <c r="P156" s="158">
        <f>+O156*C4</f>
        <v>0.06</v>
      </c>
      <c r="Q156" s="158">
        <f>+O156*D4</f>
        <v>0.27</v>
      </c>
      <c r="R156" s="158">
        <f>+O156*E4</f>
        <v>0.15</v>
      </c>
      <c r="S156" s="158">
        <f>+O156*F4</f>
        <v>0.12</v>
      </c>
      <c r="T156" s="595" t="s">
        <v>497</v>
      </c>
      <c r="U156" s="146" t="s">
        <v>203</v>
      </c>
      <c r="V156" s="147" t="s">
        <v>400</v>
      </c>
      <c r="W156" s="624" t="s">
        <v>524</v>
      </c>
      <c r="X156" s="147" t="s">
        <v>524</v>
      </c>
      <c r="Y156" s="620">
        <v>0</v>
      </c>
      <c r="Z156" s="620">
        <v>0</v>
      </c>
      <c r="AA156" s="620">
        <v>0</v>
      </c>
      <c r="AB156" s="620">
        <v>0</v>
      </c>
      <c r="AC156" s="6"/>
      <c r="AD156" s="202"/>
      <c r="AE156" s="202"/>
      <c r="AF156" s="202"/>
      <c r="AG156" s="202"/>
      <c r="AH156" s="202"/>
      <c r="AI156" s="147"/>
      <c r="AJ156" s="459"/>
      <c r="AK156" s="459"/>
      <c r="AL156" s="459"/>
      <c r="AM156" s="459"/>
      <c r="AN156" s="459"/>
      <c r="AO156" s="3"/>
      <c r="AP156" s="69"/>
      <c r="AQ156" s="3"/>
      <c r="AR156" s="69"/>
      <c r="AS156" s="38"/>
      <c r="AT156" s="38"/>
      <c r="AU156" s="38"/>
      <c r="AV156" s="38"/>
      <c r="AW156" s="38"/>
      <c r="AX156" s="38"/>
      <c r="AY156" s="197"/>
      <c r="AZ156" s="197"/>
      <c r="BA156" s="197"/>
      <c r="BB156" s="197"/>
      <c r="BC156" s="197"/>
      <c r="BD156" s="193"/>
      <c r="BE156" s="193"/>
    </row>
    <row r="157" spans="1:57" ht="33.75">
      <c r="A157" s="571"/>
      <c r="B157" s="572"/>
      <c r="C157" s="572"/>
      <c r="D157" s="572"/>
      <c r="E157" s="572"/>
      <c r="F157" s="572"/>
      <c r="G157" s="572"/>
      <c r="H157" s="572"/>
      <c r="I157" s="572"/>
      <c r="J157" s="572"/>
      <c r="K157" s="572"/>
      <c r="L157" s="572"/>
      <c r="M157" s="572"/>
      <c r="N157" s="595" t="s">
        <v>451</v>
      </c>
      <c r="O157" s="158">
        <f t="shared" si="31"/>
        <v>0.6</v>
      </c>
      <c r="P157" s="158">
        <f>+O157*C4</f>
        <v>0.06</v>
      </c>
      <c r="Q157" s="158">
        <f>+O157*D4</f>
        <v>0.27</v>
      </c>
      <c r="R157" s="158">
        <f>+O157*E4</f>
        <v>0.15</v>
      </c>
      <c r="S157" s="158">
        <f>+O157*F4</f>
        <v>0.12</v>
      </c>
      <c r="T157" s="624" t="s">
        <v>498</v>
      </c>
      <c r="U157" s="146" t="s">
        <v>203</v>
      </c>
      <c r="V157" s="147" t="s">
        <v>88</v>
      </c>
      <c r="W157" s="366">
        <v>0.8</v>
      </c>
      <c r="X157" s="366">
        <v>0.8</v>
      </c>
      <c r="Y157" s="366">
        <v>0.8</v>
      </c>
      <c r="Z157" s="366">
        <v>0.8</v>
      </c>
      <c r="AA157" s="366">
        <v>0.8</v>
      </c>
      <c r="AB157" s="366">
        <v>0.8</v>
      </c>
      <c r="AC157" s="6"/>
      <c r="AD157" s="202"/>
      <c r="AE157" s="202"/>
      <c r="AF157" s="202"/>
      <c r="AG157" s="202"/>
      <c r="AH157" s="202"/>
      <c r="AI157" s="147" t="s">
        <v>330</v>
      </c>
      <c r="AJ157" s="451">
        <v>0.48</v>
      </c>
      <c r="AK157" s="451">
        <f>+AJ157*C4</f>
        <v>4.8000000000000001E-2</v>
      </c>
      <c r="AL157" s="451">
        <f>+AJ157*D4</f>
        <v>0.216</v>
      </c>
      <c r="AM157" s="451">
        <f>+AJ157*E4</f>
        <v>0.12</v>
      </c>
      <c r="AN157" s="451">
        <f>+AJ157*F4</f>
        <v>9.6000000000000002E-2</v>
      </c>
      <c r="AO157" s="25" t="s">
        <v>393</v>
      </c>
      <c r="AP157" s="25" t="s">
        <v>202</v>
      </c>
      <c r="AQ157" s="25"/>
      <c r="AR157" s="451">
        <v>29297</v>
      </c>
      <c r="AS157" s="451">
        <v>31711</v>
      </c>
      <c r="AT157" s="451">
        <v>29882</v>
      </c>
      <c r="AU157" s="451">
        <v>30480</v>
      </c>
      <c r="AV157" s="451">
        <v>31090</v>
      </c>
      <c r="AW157" s="451">
        <v>31711</v>
      </c>
      <c r="AX157" s="451">
        <v>31711</v>
      </c>
      <c r="AY157" s="195">
        <v>0</v>
      </c>
      <c r="AZ157" s="195">
        <v>0</v>
      </c>
      <c r="BA157" s="195">
        <v>0</v>
      </c>
      <c r="BB157" s="195">
        <v>0</v>
      </c>
      <c r="BC157" s="195">
        <f t="shared" si="26"/>
        <v>0</v>
      </c>
      <c r="BD157" s="146" t="s">
        <v>236</v>
      </c>
      <c r="BE157" s="146" t="s">
        <v>237</v>
      </c>
    </row>
    <row r="158" spans="1:57" ht="33.75">
      <c r="A158" s="571"/>
      <c r="B158" s="572"/>
      <c r="C158" s="572"/>
      <c r="D158" s="572"/>
      <c r="E158" s="572"/>
      <c r="F158" s="572"/>
      <c r="G158" s="572"/>
      <c r="H158" s="572"/>
      <c r="I158" s="572"/>
      <c r="J158" s="572"/>
      <c r="K158" s="572"/>
      <c r="L158" s="572"/>
      <c r="M158" s="572"/>
      <c r="N158" s="595" t="s">
        <v>452</v>
      </c>
      <c r="O158" s="158">
        <f t="shared" si="31"/>
        <v>0.6</v>
      </c>
      <c r="P158" s="158">
        <f>+O158*C4</f>
        <v>0.06</v>
      </c>
      <c r="Q158" s="158">
        <f>+O158*D4</f>
        <v>0.27</v>
      </c>
      <c r="R158" s="158">
        <f>+O158*E4</f>
        <v>0.15</v>
      </c>
      <c r="S158" s="158">
        <f>+O158*F4</f>
        <v>0.12</v>
      </c>
      <c r="T158" s="595" t="s">
        <v>499</v>
      </c>
      <c r="U158" s="146" t="s">
        <v>203</v>
      </c>
      <c r="V158" s="147" t="s">
        <v>88</v>
      </c>
      <c r="W158" s="625">
        <v>1</v>
      </c>
      <c r="X158" s="626">
        <v>1</v>
      </c>
      <c r="Y158" s="626">
        <v>1</v>
      </c>
      <c r="Z158" s="626">
        <v>1</v>
      </c>
      <c r="AA158" s="626">
        <v>1</v>
      </c>
      <c r="AB158" s="626">
        <v>1</v>
      </c>
      <c r="AC158" s="6"/>
      <c r="AD158" s="202"/>
      <c r="AE158" s="202"/>
      <c r="AF158" s="202"/>
      <c r="AG158" s="202"/>
      <c r="AH158" s="202"/>
      <c r="AI158" s="147" t="s">
        <v>331</v>
      </c>
      <c r="AJ158" s="451">
        <v>0.47</v>
      </c>
      <c r="AK158" s="451">
        <f>+AJ158*C4</f>
        <v>4.7E-2</v>
      </c>
      <c r="AL158" s="451">
        <f>+AJ158*D4</f>
        <v>0.21149999999999999</v>
      </c>
      <c r="AM158" s="451">
        <f>+AJ158*E4</f>
        <v>0.11749999999999999</v>
      </c>
      <c r="AN158" s="451">
        <f>+AJ158*F4</f>
        <v>9.4E-2</v>
      </c>
      <c r="AO158" s="25" t="s">
        <v>394</v>
      </c>
      <c r="AP158" s="25" t="s">
        <v>202</v>
      </c>
      <c r="AQ158" s="25" t="s">
        <v>88</v>
      </c>
      <c r="AR158" s="25">
        <v>1</v>
      </c>
      <c r="AS158" s="8">
        <v>1</v>
      </c>
      <c r="AT158" s="8">
        <v>1</v>
      </c>
      <c r="AU158" s="8">
        <v>1</v>
      </c>
      <c r="AV158" s="8">
        <v>1</v>
      </c>
      <c r="AW158" s="8">
        <v>1</v>
      </c>
      <c r="AX158" s="8">
        <v>1</v>
      </c>
      <c r="AY158" s="195">
        <v>0</v>
      </c>
      <c r="AZ158" s="195">
        <v>0</v>
      </c>
      <c r="BA158" s="195">
        <v>0</v>
      </c>
      <c r="BB158" s="195">
        <v>0</v>
      </c>
      <c r="BC158" s="195">
        <f t="shared" si="26"/>
        <v>0</v>
      </c>
      <c r="BD158" s="146" t="s">
        <v>236</v>
      </c>
      <c r="BE158" s="146" t="s">
        <v>237</v>
      </c>
    </row>
    <row r="159" spans="1:57" ht="33.75">
      <c r="A159" s="571"/>
      <c r="B159" s="572"/>
      <c r="C159" s="572"/>
      <c r="D159" s="572"/>
      <c r="E159" s="572"/>
      <c r="F159" s="572"/>
      <c r="G159" s="572"/>
      <c r="H159" s="572"/>
      <c r="I159" s="572"/>
      <c r="J159" s="572"/>
      <c r="K159" s="572"/>
      <c r="L159" s="572"/>
      <c r="M159" s="572"/>
      <c r="N159" s="595" t="s">
        <v>453</v>
      </c>
      <c r="O159" s="158">
        <f t="shared" si="31"/>
        <v>0.6</v>
      </c>
      <c r="P159" s="158">
        <f>+O159*C4</f>
        <v>0.06</v>
      </c>
      <c r="Q159" s="158">
        <f>+O159*D4</f>
        <v>0.27</v>
      </c>
      <c r="R159" s="158">
        <f>+O159*E4</f>
        <v>0.15</v>
      </c>
      <c r="S159" s="158">
        <f>+O159*F4</f>
        <v>0.12</v>
      </c>
      <c r="T159" s="595" t="s">
        <v>500</v>
      </c>
      <c r="U159" s="146" t="s">
        <v>202</v>
      </c>
      <c r="V159" s="147" t="s">
        <v>88</v>
      </c>
      <c r="W159" s="613" t="s">
        <v>525</v>
      </c>
      <c r="X159" s="613" t="s">
        <v>541</v>
      </c>
      <c r="Y159" s="613">
        <v>0.6</v>
      </c>
      <c r="Z159" s="613">
        <v>0.7</v>
      </c>
      <c r="AA159" s="613">
        <v>0.75</v>
      </c>
      <c r="AB159" s="613">
        <v>0.8</v>
      </c>
      <c r="AC159" s="6"/>
      <c r="AD159" s="202"/>
      <c r="AE159" s="202"/>
      <c r="AF159" s="202"/>
      <c r="AG159" s="202"/>
      <c r="AH159" s="202"/>
      <c r="AI159" s="147" t="s">
        <v>332</v>
      </c>
      <c r="AJ159" s="451">
        <v>0.47</v>
      </c>
      <c r="AK159" s="451">
        <f>+AJ159*C4</f>
        <v>4.7E-2</v>
      </c>
      <c r="AL159" s="451">
        <f>+AJ159*D4</f>
        <v>0.21149999999999999</v>
      </c>
      <c r="AM159" s="451">
        <f>+AJ159*E4</f>
        <v>0.11749999999999999</v>
      </c>
      <c r="AN159" s="451">
        <f>+AJ159*F4</f>
        <v>9.4E-2</v>
      </c>
      <c r="AO159" s="25" t="s">
        <v>395</v>
      </c>
      <c r="AP159" s="25" t="s">
        <v>202</v>
      </c>
      <c r="AQ159" s="25" t="s">
        <v>87</v>
      </c>
      <c r="AR159" s="451">
        <v>17373</v>
      </c>
      <c r="AS159" s="451">
        <v>25600</v>
      </c>
      <c r="AT159" s="451">
        <v>25600</v>
      </c>
      <c r="AU159" s="451">
        <v>25600</v>
      </c>
      <c r="AV159" s="451">
        <v>25600</v>
      </c>
      <c r="AW159" s="451">
        <v>25600</v>
      </c>
      <c r="AX159" s="451">
        <v>25600</v>
      </c>
      <c r="AY159" s="195">
        <v>0</v>
      </c>
      <c r="AZ159" s="195">
        <v>0</v>
      </c>
      <c r="BA159" s="195">
        <v>0</v>
      </c>
      <c r="BB159" s="195">
        <v>0</v>
      </c>
      <c r="BC159" s="195">
        <f t="shared" si="26"/>
        <v>0</v>
      </c>
      <c r="BD159" s="146" t="s">
        <v>236</v>
      </c>
      <c r="BE159" s="146" t="s">
        <v>237</v>
      </c>
    </row>
    <row r="160" spans="1:57" ht="33.75">
      <c r="A160" s="571"/>
      <c r="B160" s="572"/>
      <c r="C160" s="572"/>
      <c r="D160" s="572"/>
      <c r="E160" s="572"/>
      <c r="F160" s="572"/>
      <c r="G160" s="572"/>
      <c r="H160" s="572"/>
      <c r="I160" s="572"/>
      <c r="J160" s="572"/>
      <c r="K160" s="572"/>
      <c r="L160" s="572"/>
      <c r="M160" s="572"/>
      <c r="N160" s="595" t="s">
        <v>454</v>
      </c>
      <c r="O160" s="158">
        <f t="shared" si="31"/>
        <v>0.6</v>
      </c>
      <c r="P160" s="158">
        <f>+O160*C4</f>
        <v>0.06</v>
      </c>
      <c r="Q160" s="158">
        <f>+O160*D4</f>
        <v>0.27</v>
      </c>
      <c r="R160" s="158">
        <f>+O160*E4</f>
        <v>0.15</v>
      </c>
      <c r="S160" s="158">
        <f>+O160*F4</f>
        <v>0.12</v>
      </c>
      <c r="T160" s="146" t="s">
        <v>501</v>
      </c>
      <c r="U160" s="146" t="s">
        <v>203</v>
      </c>
      <c r="V160" s="146" t="s">
        <v>400</v>
      </c>
      <c r="W160" s="146" t="s">
        <v>526</v>
      </c>
      <c r="X160" s="146" t="s">
        <v>526</v>
      </c>
      <c r="Y160" s="146">
        <v>0</v>
      </c>
      <c r="Z160" s="146">
        <v>0</v>
      </c>
      <c r="AA160" s="146">
        <v>0</v>
      </c>
      <c r="AB160" s="146">
        <v>0</v>
      </c>
      <c r="AC160" s="6"/>
      <c r="AD160" s="202"/>
      <c r="AE160" s="202"/>
      <c r="AF160" s="202"/>
      <c r="AG160" s="202"/>
      <c r="AH160" s="202"/>
      <c r="AI160" s="147" t="s">
        <v>333</v>
      </c>
      <c r="AJ160" s="451">
        <v>0.47</v>
      </c>
      <c r="AK160" s="451">
        <f>+AJ160*C4</f>
        <v>4.7E-2</v>
      </c>
      <c r="AL160" s="451">
        <f>+AJ160*D4</f>
        <v>0.21149999999999999</v>
      </c>
      <c r="AM160" s="451">
        <f>+AJ160*E4</f>
        <v>0.11749999999999999</v>
      </c>
      <c r="AN160" s="451">
        <f>+AJ160*F4</f>
        <v>9.4E-2</v>
      </c>
      <c r="AO160" s="25" t="s">
        <v>396</v>
      </c>
      <c r="AP160" s="25" t="s">
        <v>202</v>
      </c>
      <c r="AQ160" s="25" t="s">
        <v>88</v>
      </c>
      <c r="AR160" s="25">
        <v>1</v>
      </c>
      <c r="AS160" s="366">
        <v>1</v>
      </c>
      <c r="AT160" s="366">
        <v>1</v>
      </c>
      <c r="AU160" s="366">
        <v>1</v>
      </c>
      <c r="AV160" s="366">
        <v>1</v>
      </c>
      <c r="AW160" s="366">
        <v>1</v>
      </c>
      <c r="AX160" s="366">
        <v>1</v>
      </c>
      <c r="AY160" s="195">
        <v>0</v>
      </c>
      <c r="AZ160" s="195">
        <v>0</v>
      </c>
      <c r="BA160" s="195">
        <v>0</v>
      </c>
      <c r="BB160" s="195">
        <v>0</v>
      </c>
      <c r="BC160" s="195">
        <f t="shared" si="26"/>
        <v>0</v>
      </c>
      <c r="BD160" s="146" t="s">
        <v>236</v>
      </c>
      <c r="BE160" s="146" t="s">
        <v>237</v>
      </c>
    </row>
    <row r="161" spans="1:57" ht="146.25" customHeight="1">
      <c r="A161" s="571"/>
      <c r="B161" s="572"/>
      <c r="C161" s="572"/>
      <c r="D161" s="572"/>
      <c r="E161" s="572"/>
      <c r="F161" s="572"/>
      <c r="G161" s="572"/>
      <c r="H161" s="572"/>
      <c r="I161" s="572"/>
      <c r="J161" s="572"/>
      <c r="K161" s="572"/>
      <c r="L161" s="572"/>
      <c r="M161" s="572"/>
      <c r="N161" s="627" t="s">
        <v>455</v>
      </c>
      <c r="O161" s="158">
        <f t="shared" si="31"/>
        <v>0.6</v>
      </c>
      <c r="P161" s="158">
        <f>+O161*C4</f>
        <v>0.06</v>
      </c>
      <c r="Q161" s="158">
        <f>+O161*D4</f>
        <v>0.27</v>
      </c>
      <c r="R161" s="158">
        <f>+O161*E4</f>
        <v>0.15</v>
      </c>
      <c r="S161" s="158">
        <f>+O161*F4</f>
        <v>0.12</v>
      </c>
      <c r="T161" s="627" t="s">
        <v>502</v>
      </c>
      <c r="U161" s="628" t="s">
        <v>203</v>
      </c>
      <c r="V161" s="194" t="s">
        <v>88</v>
      </c>
      <c r="W161" s="629">
        <v>0.95</v>
      </c>
      <c r="X161" s="628">
        <v>0.95</v>
      </c>
      <c r="Y161" s="628">
        <v>0.95</v>
      </c>
      <c r="Z161" s="628">
        <v>0.95</v>
      </c>
      <c r="AA161" s="628">
        <v>0.95</v>
      </c>
      <c r="AB161" s="628">
        <v>0.95</v>
      </c>
      <c r="AC161" s="6"/>
      <c r="AD161" s="202"/>
      <c r="AE161" s="202"/>
      <c r="AF161" s="202"/>
      <c r="AG161" s="202"/>
      <c r="AH161" s="202"/>
      <c r="AI161" s="147" t="s">
        <v>334</v>
      </c>
      <c r="AJ161" s="451">
        <v>0.18</v>
      </c>
      <c r="AK161" s="451">
        <f>+AJ161*C4</f>
        <v>1.7999999999999999E-2</v>
      </c>
      <c r="AL161" s="451">
        <f>+AJ161*D4</f>
        <v>8.1000000000000003E-2</v>
      </c>
      <c r="AM161" s="451">
        <f>+AJ161*E4</f>
        <v>4.4999999999999998E-2</v>
      </c>
      <c r="AN161" s="451">
        <f>+AJ161*F4</f>
        <v>3.5999999999999997E-2</v>
      </c>
      <c r="AO161" s="25" t="s">
        <v>397</v>
      </c>
      <c r="AP161" s="25" t="s">
        <v>202</v>
      </c>
      <c r="AQ161" s="25" t="s">
        <v>88</v>
      </c>
      <c r="AR161" s="25" t="s">
        <v>343</v>
      </c>
      <c r="AS161" s="8" t="s">
        <v>415</v>
      </c>
      <c r="AT161" s="8" t="s">
        <v>343</v>
      </c>
      <c r="AU161" s="366" t="s">
        <v>415</v>
      </c>
      <c r="AV161" s="366" t="s">
        <v>415</v>
      </c>
      <c r="AW161" s="366" t="s">
        <v>415</v>
      </c>
      <c r="AX161" s="8" t="s">
        <v>415</v>
      </c>
      <c r="AY161" s="195">
        <v>127740066</v>
      </c>
      <c r="AZ161" s="195">
        <v>0</v>
      </c>
      <c r="BA161" s="195">
        <v>80000000</v>
      </c>
      <c r="BB161" s="195">
        <v>50000000</v>
      </c>
      <c r="BC161" s="195">
        <f t="shared" si="26"/>
        <v>257740066</v>
      </c>
      <c r="BD161" s="146" t="s">
        <v>236</v>
      </c>
      <c r="BE161" s="146" t="s">
        <v>237</v>
      </c>
    </row>
    <row r="162" spans="1:57" ht="56.25" customHeight="1">
      <c r="A162" s="571"/>
      <c r="B162" s="572"/>
      <c r="C162" s="572"/>
      <c r="D162" s="572"/>
      <c r="E162" s="572"/>
      <c r="F162" s="572"/>
      <c r="G162" s="572"/>
      <c r="H162" s="572"/>
      <c r="I162" s="572"/>
      <c r="J162" s="572"/>
      <c r="K162" s="572"/>
      <c r="L162" s="572"/>
      <c r="M162" s="572"/>
      <c r="N162" s="630"/>
      <c r="O162" s="630"/>
      <c r="P162" s="631"/>
      <c r="Q162" s="631"/>
      <c r="R162" s="631"/>
      <c r="S162" s="631"/>
      <c r="T162" s="630"/>
      <c r="U162" s="630"/>
      <c r="V162" s="7"/>
      <c r="W162" s="630"/>
      <c r="X162" s="630"/>
      <c r="Y162" s="630"/>
      <c r="Z162" s="630"/>
      <c r="AA162" s="630"/>
      <c r="AB162" s="630"/>
      <c r="AC162" s="6"/>
      <c r="AD162" s="202"/>
      <c r="AE162" s="202"/>
      <c r="AF162" s="202"/>
      <c r="AG162" s="202"/>
      <c r="AH162" s="202"/>
      <c r="AI162" s="147" t="s">
        <v>335</v>
      </c>
      <c r="AJ162" s="451">
        <v>0.18</v>
      </c>
      <c r="AK162" s="451">
        <f>+AJ162*C4</f>
        <v>1.7999999999999999E-2</v>
      </c>
      <c r="AL162" s="451">
        <f>+AJ162*D4</f>
        <v>8.1000000000000003E-2</v>
      </c>
      <c r="AM162" s="451">
        <f>+AJ162*E4</f>
        <v>4.4999999999999998E-2</v>
      </c>
      <c r="AN162" s="451">
        <f>+AJ162*F4</f>
        <v>3.5999999999999997E-2</v>
      </c>
      <c r="AO162" s="25" t="s">
        <v>398</v>
      </c>
      <c r="AP162" s="25" t="s">
        <v>202</v>
      </c>
      <c r="AQ162" s="25" t="s">
        <v>88</v>
      </c>
      <c r="AR162" s="25" t="s">
        <v>344</v>
      </c>
      <c r="AS162" s="8">
        <v>1</v>
      </c>
      <c r="AT162" s="8" t="s">
        <v>344</v>
      </c>
      <c r="AU162" s="366">
        <v>1</v>
      </c>
      <c r="AV162" s="366">
        <v>1</v>
      </c>
      <c r="AW162" s="366">
        <v>1</v>
      </c>
      <c r="AX162" s="8">
        <v>1</v>
      </c>
      <c r="AY162" s="195"/>
      <c r="AZ162" s="195">
        <v>0</v>
      </c>
      <c r="BA162" s="195">
        <v>0</v>
      </c>
      <c r="BB162" s="195">
        <v>0</v>
      </c>
      <c r="BC162" s="195">
        <f t="shared" si="26"/>
        <v>0</v>
      </c>
      <c r="BD162" s="146" t="s">
        <v>236</v>
      </c>
      <c r="BE162" s="146" t="s">
        <v>237</v>
      </c>
    </row>
    <row r="163" spans="1:57" ht="45">
      <c r="A163" s="571"/>
      <c r="B163" s="572"/>
      <c r="C163" s="572"/>
      <c r="D163" s="572"/>
      <c r="E163" s="572"/>
      <c r="F163" s="572"/>
      <c r="G163" s="572"/>
      <c r="H163" s="572"/>
      <c r="I163" s="572"/>
      <c r="J163" s="572"/>
      <c r="K163" s="572"/>
      <c r="L163" s="572"/>
      <c r="M163" s="572"/>
      <c r="N163" s="146" t="s">
        <v>456</v>
      </c>
      <c r="O163" s="158">
        <f>+(0.06*100)/10</f>
        <v>0.6</v>
      </c>
      <c r="P163" s="188">
        <f>+O163*C4</f>
        <v>0.06</v>
      </c>
      <c r="Q163" s="188">
        <f>+O163*D4</f>
        <v>0.27</v>
      </c>
      <c r="R163" s="188">
        <f>+O163*E4</f>
        <v>0.15</v>
      </c>
      <c r="S163" s="188">
        <f>+O163*F4</f>
        <v>0.12</v>
      </c>
      <c r="T163" s="146" t="s">
        <v>503</v>
      </c>
      <c r="U163" s="146" t="s">
        <v>202</v>
      </c>
      <c r="V163" s="146" t="s">
        <v>87</v>
      </c>
      <c r="W163" s="146">
        <v>0</v>
      </c>
      <c r="X163" s="146">
        <v>7</v>
      </c>
      <c r="Y163" s="146">
        <v>7</v>
      </c>
      <c r="Z163" s="146">
        <v>7</v>
      </c>
      <c r="AA163" s="146">
        <v>7</v>
      </c>
      <c r="AB163" s="146">
        <v>7</v>
      </c>
      <c r="AC163" s="7"/>
      <c r="AD163" s="203"/>
      <c r="AE163" s="203"/>
      <c r="AF163" s="203"/>
      <c r="AG163" s="203"/>
      <c r="AH163" s="203"/>
      <c r="AI163" s="147" t="s">
        <v>336</v>
      </c>
      <c r="AJ163" s="451">
        <f>+(1.594*100)/2.5</f>
        <v>63.760000000000005</v>
      </c>
      <c r="AK163" s="451">
        <f>+AJ163*C4</f>
        <v>6.3760000000000012</v>
      </c>
      <c r="AL163" s="451">
        <f>+AJ163*D4</f>
        <v>28.692000000000004</v>
      </c>
      <c r="AM163" s="451">
        <f>+AJ163*E4</f>
        <v>15.940000000000001</v>
      </c>
      <c r="AN163" s="451">
        <f>+AJ163*F4</f>
        <v>12.752000000000002</v>
      </c>
      <c r="AO163" s="25" t="s">
        <v>399</v>
      </c>
      <c r="AP163" s="25" t="s">
        <v>202</v>
      </c>
      <c r="AQ163" s="25" t="s">
        <v>87</v>
      </c>
      <c r="AR163" s="25" t="s">
        <v>221</v>
      </c>
      <c r="AS163" s="451">
        <v>6000</v>
      </c>
      <c r="AT163" s="451">
        <v>768</v>
      </c>
      <c r="AU163" s="451">
        <v>2512</v>
      </c>
      <c r="AV163" s="451">
        <v>4256</v>
      </c>
      <c r="AW163" s="451">
        <v>6000</v>
      </c>
      <c r="AX163" s="451">
        <v>6000</v>
      </c>
      <c r="AY163" s="195">
        <v>3750000000</v>
      </c>
      <c r="AZ163" s="195">
        <v>8750000000</v>
      </c>
      <c r="BA163" s="195">
        <v>8750000000</v>
      </c>
      <c r="BB163" s="195">
        <v>8750000000</v>
      </c>
      <c r="BC163" s="195">
        <f t="shared" si="26"/>
        <v>30000000000</v>
      </c>
      <c r="BD163" s="146" t="s">
        <v>236</v>
      </c>
      <c r="BE163" s="146" t="s">
        <v>237</v>
      </c>
    </row>
    <row r="164" spans="1:57">
      <c r="A164" s="571"/>
      <c r="B164" s="572"/>
      <c r="C164" s="572"/>
      <c r="D164" s="572"/>
      <c r="E164" s="572"/>
      <c r="F164" s="572"/>
      <c r="G164" s="572"/>
      <c r="H164" s="572"/>
      <c r="I164" s="572"/>
      <c r="J164" s="572"/>
      <c r="K164" s="572"/>
      <c r="L164" s="572"/>
      <c r="M164" s="572"/>
      <c r="N164" s="191"/>
      <c r="O164" s="191"/>
      <c r="P164" s="191"/>
      <c r="Q164" s="191"/>
      <c r="R164" s="191"/>
      <c r="S164" s="191"/>
      <c r="T164" s="191"/>
      <c r="U164" s="55"/>
      <c r="V164" s="55"/>
      <c r="W164" s="191"/>
      <c r="X164" s="191"/>
      <c r="Y164" s="191"/>
      <c r="Z164" s="191"/>
      <c r="AA164" s="191"/>
      <c r="AB164" s="191"/>
      <c r="AC164" s="349" t="s">
        <v>1453</v>
      </c>
      <c r="AD164" s="419">
        <f>+AD104</f>
        <v>25</v>
      </c>
      <c r="AE164" s="211"/>
      <c r="AF164" s="211"/>
      <c r="AG164" s="211"/>
      <c r="AH164" s="211"/>
      <c r="AI164" s="109"/>
      <c r="AJ164" s="421">
        <f>SUM(AJ104:AJ163)</f>
        <v>99.999999999999986</v>
      </c>
      <c r="AK164" s="421"/>
      <c r="AL164" s="421"/>
      <c r="AM164" s="421"/>
      <c r="AN164" s="421"/>
      <c r="AO164" s="110"/>
      <c r="AP164" s="110"/>
      <c r="AQ164" s="110"/>
      <c r="AR164" s="110"/>
      <c r="AS164" s="110"/>
      <c r="AT164" s="110"/>
      <c r="AU164" s="110"/>
      <c r="AV164" s="110"/>
      <c r="AW164" s="110"/>
      <c r="AX164" s="110"/>
      <c r="AY164" s="181"/>
      <c r="AZ164" s="181"/>
      <c r="BA164" s="181"/>
      <c r="BB164" s="181"/>
      <c r="BC164" s="181"/>
      <c r="BD164" s="55"/>
      <c r="BE164" s="55"/>
    </row>
    <row r="165" spans="1:57" ht="101.25" customHeight="1">
      <c r="A165" s="571"/>
      <c r="B165" s="572"/>
      <c r="C165" s="572"/>
      <c r="D165" s="572"/>
      <c r="E165" s="572"/>
      <c r="F165" s="572"/>
      <c r="G165" s="572"/>
      <c r="H165" s="572"/>
      <c r="I165" s="572"/>
      <c r="J165" s="572"/>
      <c r="K165" s="572"/>
      <c r="L165" s="572"/>
      <c r="M165" s="572"/>
      <c r="N165" s="157" t="s">
        <v>543</v>
      </c>
      <c r="O165" s="404">
        <f>+(0.25*100)/10</f>
        <v>2.5</v>
      </c>
      <c r="P165" s="404">
        <f>+O165*C4</f>
        <v>0.25</v>
      </c>
      <c r="Q165" s="158">
        <f>+O165*D4</f>
        <v>1.125</v>
      </c>
      <c r="R165" s="158">
        <f>+O165*E4</f>
        <v>0.625</v>
      </c>
      <c r="S165" s="158">
        <f>+O165*F4</f>
        <v>0.5</v>
      </c>
      <c r="T165" s="157" t="s">
        <v>548</v>
      </c>
      <c r="U165" s="198" t="s">
        <v>202</v>
      </c>
      <c r="V165" s="157" t="s">
        <v>87</v>
      </c>
      <c r="W165" s="198" t="s">
        <v>221</v>
      </c>
      <c r="X165" s="198">
        <v>7</v>
      </c>
      <c r="Y165" s="198">
        <v>7</v>
      </c>
      <c r="Z165" s="198">
        <v>7</v>
      </c>
      <c r="AA165" s="198">
        <v>7</v>
      </c>
      <c r="AB165" s="198">
        <v>7</v>
      </c>
      <c r="AC165" s="157" t="s">
        <v>553</v>
      </c>
      <c r="AD165" s="404">
        <f>+(1.25*100)/10</f>
        <v>12.5</v>
      </c>
      <c r="AE165" s="404">
        <f>+AD165*C4</f>
        <v>1.25</v>
      </c>
      <c r="AF165" s="404">
        <f>+AD165*D4</f>
        <v>5.625</v>
      </c>
      <c r="AG165" s="404">
        <f>+AD165*E4</f>
        <v>3.125</v>
      </c>
      <c r="AH165" s="404">
        <f>+AD165*F4</f>
        <v>2.5</v>
      </c>
      <c r="AI165" s="632" t="s">
        <v>554</v>
      </c>
      <c r="AJ165" s="633">
        <v>3.68</v>
      </c>
      <c r="AK165" s="633">
        <f>+AJ165*C4</f>
        <v>0.36800000000000005</v>
      </c>
      <c r="AL165" s="633">
        <f>+AJ165*D4</f>
        <v>1.6560000000000001</v>
      </c>
      <c r="AM165" s="633">
        <f>+AJ165*E4</f>
        <v>0.92</v>
      </c>
      <c r="AN165" s="633">
        <f>+AJ165*F4</f>
        <v>0.7360000000000001</v>
      </c>
      <c r="AO165" s="632" t="s">
        <v>564</v>
      </c>
      <c r="AP165" s="632" t="s">
        <v>202</v>
      </c>
      <c r="AQ165" s="632" t="s">
        <v>88</v>
      </c>
      <c r="AR165" s="366">
        <v>0.5</v>
      </c>
      <c r="AS165" s="366">
        <v>1</v>
      </c>
      <c r="AT165" s="632" t="s">
        <v>574</v>
      </c>
      <c r="AU165" s="632" t="s">
        <v>575</v>
      </c>
      <c r="AV165" s="632" t="s">
        <v>576</v>
      </c>
      <c r="AW165" s="632" t="s">
        <v>577</v>
      </c>
      <c r="AX165" s="634">
        <v>0.5</v>
      </c>
      <c r="AY165" s="635">
        <v>0</v>
      </c>
      <c r="AZ165" s="636">
        <v>0</v>
      </c>
      <c r="BA165" s="635">
        <v>0</v>
      </c>
      <c r="BB165" s="635">
        <v>0</v>
      </c>
      <c r="BC165" s="636">
        <f>SUM(AY165:BB165)</f>
        <v>0</v>
      </c>
      <c r="BD165" s="146" t="s">
        <v>236</v>
      </c>
      <c r="BE165" s="146" t="s">
        <v>237</v>
      </c>
    </row>
    <row r="166" spans="1:57" ht="45">
      <c r="A166" s="571"/>
      <c r="B166" s="572"/>
      <c r="C166" s="572"/>
      <c r="D166" s="572"/>
      <c r="E166" s="572"/>
      <c r="F166" s="572"/>
      <c r="G166" s="572"/>
      <c r="H166" s="572"/>
      <c r="I166" s="572"/>
      <c r="J166" s="572"/>
      <c r="K166" s="572"/>
      <c r="L166" s="572"/>
      <c r="M166" s="572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375"/>
      <c r="AE166" s="4"/>
      <c r="AF166" s="4"/>
      <c r="AG166" s="4"/>
      <c r="AH166" s="4"/>
      <c r="AI166" s="632" t="s">
        <v>555</v>
      </c>
      <c r="AJ166" s="633">
        <v>3.68</v>
      </c>
      <c r="AK166" s="633">
        <f>+AJ166*C4</f>
        <v>0.36800000000000005</v>
      </c>
      <c r="AL166" s="633">
        <f>+AJ166*D4</f>
        <v>1.6560000000000001</v>
      </c>
      <c r="AM166" s="633">
        <f>+AJ166*E4</f>
        <v>0.92</v>
      </c>
      <c r="AN166" s="633">
        <f>+AJ166*F4</f>
        <v>0.7360000000000001</v>
      </c>
      <c r="AO166" s="632" t="s">
        <v>565</v>
      </c>
      <c r="AP166" s="632" t="s">
        <v>202</v>
      </c>
      <c r="AQ166" s="632" t="s">
        <v>88</v>
      </c>
      <c r="AR166" s="632" t="s">
        <v>221</v>
      </c>
      <c r="AS166" s="366">
        <v>1</v>
      </c>
      <c r="AT166" s="366">
        <v>1</v>
      </c>
      <c r="AU166" s="366">
        <v>1</v>
      </c>
      <c r="AV166" s="366">
        <v>1</v>
      </c>
      <c r="AW166" s="366">
        <v>1</v>
      </c>
      <c r="AX166" s="366">
        <v>1</v>
      </c>
      <c r="AY166" s="637">
        <v>0</v>
      </c>
      <c r="AZ166" s="638">
        <v>0</v>
      </c>
      <c r="BA166" s="637">
        <v>0</v>
      </c>
      <c r="BB166" s="637">
        <v>0</v>
      </c>
      <c r="BC166" s="636">
        <f t="shared" ref="BC166:BC173" si="32">SUM(AY166:BB166)</f>
        <v>0</v>
      </c>
      <c r="BD166" s="146" t="s">
        <v>236</v>
      </c>
      <c r="BE166" s="146" t="s">
        <v>237</v>
      </c>
    </row>
    <row r="167" spans="1:57" ht="33.75">
      <c r="A167" s="571"/>
      <c r="B167" s="572"/>
      <c r="C167" s="572"/>
      <c r="D167" s="572"/>
      <c r="E167" s="572"/>
      <c r="F167" s="572"/>
      <c r="G167" s="572"/>
      <c r="H167" s="572"/>
      <c r="I167" s="572"/>
      <c r="J167" s="572"/>
      <c r="K167" s="572"/>
      <c r="L167" s="572"/>
      <c r="M167" s="572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4"/>
      <c r="AD167" s="4"/>
      <c r="AE167" s="4"/>
      <c r="AF167" s="4"/>
      <c r="AG167" s="4"/>
      <c r="AH167" s="4"/>
      <c r="AI167" s="632" t="s">
        <v>556</v>
      </c>
      <c r="AJ167" s="633">
        <v>3.68</v>
      </c>
      <c r="AK167" s="633">
        <f>+AJ167*C4</f>
        <v>0.36800000000000005</v>
      </c>
      <c r="AL167" s="633">
        <f>+AJ167*D4</f>
        <v>1.6560000000000001</v>
      </c>
      <c r="AM167" s="633">
        <f>+AJ167*E4</f>
        <v>0.92</v>
      </c>
      <c r="AN167" s="633">
        <f>+AJ167*F4</f>
        <v>0.7360000000000001</v>
      </c>
      <c r="AO167" s="632" t="s">
        <v>566</v>
      </c>
      <c r="AP167" s="632" t="s">
        <v>202</v>
      </c>
      <c r="AQ167" s="632" t="s">
        <v>88</v>
      </c>
      <c r="AR167" s="632" t="s">
        <v>221</v>
      </c>
      <c r="AS167" s="366">
        <v>1</v>
      </c>
      <c r="AT167" s="366">
        <v>1</v>
      </c>
      <c r="AU167" s="632" t="s">
        <v>1519</v>
      </c>
      <c r="AV167" s="632" t="s">
        <v>1520</v>
      </c>
      <c r="AW167" s="632" t="s">
        <v>1521</v>
      </c>
      <c r="AX167" s="366">
        <v>1</v>
      </c>
      <c r="AY167" s="635">
        <v>0</v>
      </c>
      <c r="AZ167" s="636">
        <v>0</v>
      </c>
      <c r="BA167" s="635">
        <v>0</v>
      </c>
      <c r="BB167" s="635">
        <v>0</v>
      </c>
      <c r="BC167" s="636">
        <f t="shared" si="32"/>
        <v>0</v>
      </c>
      <c r="BD167" s="146" t="s">
        <v>236</v>
      </c>
      <c r="BE167" s="146" t="s">
        <v>237</v>
      </c>
    </row>
    <row r="168" spans="1:57" ht="67.5">
      <c r="A168" s="571"/>
      <c r="B168" s="572"/>
      <c r="C168" s="572"/>
      <c r="D168" s="572"/>
      <c r="E168" s="572"/>
      <c r="F168" s="572"/>
      <c r="G168" s="572"/>
      <c r="H168" s="572"/>
      <c r="I168" s="572"/>
      <c r="J168" s="572"/>
      <c r="K168" s="572"/>
      <c r="L168" s="572"/>
      <c r="M168" s="572"/>
      <c r="N168" s="268" t="s">
        <v>544</v>
      </c>
      <c r="O168" s="415">
        <f>+(0.25*100)/10</f>
        <v>2.5</v>
      </c>
      <c r="P168" s="415">
        <f>+O168*C4</f>
        <v>0.25</v>
      </c>
      <c r="Q168" s="415">
        <f>+O168*D4</f>
        <v>1.125</v>
      </c>
      <c r="R168" s="415">
        <f>+O168*E4</f>
        <v>0.625</v>
      </c>
      <c r="S168" s="415">
        <f>+O168*F4</f>
        <v>0.5</v>
      </c>
      <c r="T168" s="146" t="s">
        <v>549</v>
      </c>
      <c r="U168" s="146" t="s">
        <v>202</v>
      </c>
      <c r="V168" s="146" t="s">
        <v>88</v>
      </c>
      <c r="W168" s="639" t="s">
        <v>221</v>
      </c>
      <c r="X168" s="640">
        <v>1</v>
      </c>
      <c r="Y168" s="640">
        <v>1</v>
      </c>
      <c r="Z168" s="640">
        <v>1</v>
      </c>
      <c r="AA168" s="640">
        <v>1</v>
      </c>
      <c r="AB168" s="640">
        <v>1</v>
      </c>
      <c r="AC168" s="4"/>
      <c r="AD168" s="4"/>
      <c r="AE168" s="4"/>
      <c r="AF168" s="4"/>
      <c r="AG168" s="4"/>
      <c r="AH168" s="4"/>
      <c r="AI168" s="632" t="s">
        <v>557</v>
      </c>
      <c r="AJ168" s="633">
        <v>3.66</v>
      </c>
      <c r="AK168" s="633">
        <f>+AJ168*C4</f>
        <v>0.36600000000000005</v>
      </c>
      <c r="AL168" s="633">
        <f>+AJ168*D4</f>
        <v>1.647</v>
      </c>
      <c r="AM168" s="633">
        <f>+AJ168*E4</f>
        <v>0.91500000000000004</v>
      </c>
      <c r="AN168" s="633">
        <f>+AJ168*F4</f>
        <v>0.7320000000000001</v>
      </c>
      <c r="AO168" s="632" t="s">
        <v>567</v>
      </c>
      <c r="AP168" s="632" t="s">
        <v>202</v>
      </c>
      <c r="AQ168" s="632" t="s">
        <v>88</v>
      </c>
      <c r="AR168" s="632" t="s">
        <v>221</v>
      </c>
      <c r="AS168" s="366">
        <v>1</v>
      </c>
      <c r="AT168" s="366">
        <v>1</v>
      </c>
      <c r="AU168" s="366">
        <v>1</v>
      </c>
      <c r="AV168" s="366">
        <v>1</v>
      </c>
      <c r="AW168" s="366">
        <v>1</v>
      </c>
      <c r="AX168" s="366">
        <v>1</v>
      </c>
      <c r="AY168" s="635">
        <v>0</v>
      </c>
      <c r="AZ168" s="636">
        <v>0</v>
      </c>
      <c r="BA168" s="635">
        <v>0</v>
      </c>
      <c r="BB168" s="635">
        <v>0</v>
      </c>
      <c r="BC168" s="636">
        <f t="shared" si="32"/>
        <v>0</v>
      </c>
      <c r="BD168" s="146" t="s">
        <v>236</v>
      </c>
      <c r="BE168" s="146" t="s">
        <v>237</v>
      </c>
    </row>
    <row r="169" spans="1:57" ht="67.5">
      <c r="A169" s="571"/>
      <c r="B169" s="572"/>
      <c r="C169" s="572"/>
      <c r="D169" s="572"/>
      <c r="E169" s="572"/>
      <c r="F169" s="572"/>
      <c r="G169" s="572"/>
      <c r="H169" s="572"/>
      <c r="I169" s="572"/>
      <c r="J169" s="572"/>
      <c r="K169" s="572"/>
      <c r="L169" s="572"/>
      <c r="M169" s="572"/>
      <c r="N169" s="267" t="s">
        <v>545</v>
      </c>
      <c r="O169" s="415">
        <f>+(0.25*100)/10</f>
        <v>2.5</v>
      </c>
      <c r="P169" s="415">
        <f>+O169*C4</f>
        <v>0.25</v>
      </c>
      <c r="Q169" s="415">
        <f>+O169*D4</f>
        <v>1.125</v>
      </c>
      <c r="R169" s="415">
        <f>+O169*E4</f>
        <v>0.625</v>
      </c>
      <c r="S169" s="415">
        <f>+O169*F4</f>
        <v>0.5</v>
      </c>
      <c r="T169" s="267" t="s">
        <v>550</v>
      </c>
      <c r="U169" s="268" t="s">
        <v>202</v>
      </c>
      <c r="V169" s="267" t="s">
        <v>88</v>
      </c>
      <c r="W169" s="268" t="s">
        <v>221</v>
      </c>
      <c r="X169" s="640">
        <v>1</v>
      </c>
      <c r="Y169" s="640">
        <v>1</v>
      </c>
      <c r="Z169" s="640">
        <v>1</v>
      </c>
      <c r="AA169" s="640">
        <v>1</v>
      </c>
      <c r="AB169" s="640">
        <v>1</v>
      </c>
      <c r="AC169" s="4"/>
      <c r="AD169" s="4"/>
      <c r="AE169" s="4"/>
      <c r="AF169" s="4"/>
      <c r="AG169" s="4"/>
      <c r="AH169" s="4"/>
      <c r="AI169" s="632" t="s">
        <v>558</v>
      </c>
      <c r="AJ169" s="633">
        <v>3.66</v>
      </c>
      <c r="AK169" s="633">
        <f>+AJ169*C4</f>
        <v>0.36600000000000005</v>
      </c>
      <c r="AL169" s="633">
        <f>+AJ169*D4</f>
        <v>1.647</v>
      </c>
      <c r="AM169" s="633">
        <f>+AJ169*E4</f>
        <v>0.91500000000000004</v>
      </c>
      <c r="AN169" s="633">
        <f>+AJ169*F4</f>
        <v>0.7320000000000001</v>
      </c>
      <c r="AO169" s="632" t="s">
        <v>568</v>
      </c>
      <c r="AP169" s="632" t="s">
        <v>202</v>
      </c>
      <c r="AQ169" s="632" t="s">
        <v>88</v>
      </c>
      <c r="AR169" s="632" t="s">
        <v>221</v>
      </c>
      <c r="AS169" s="366">
        <v>1</v>
      </c>
      <c r="AT169" s="366">
        <v>1</v>
      </c>
      <c r="AU169" s="632" t="s">
        <v>1522</v>
      </c>
      <c r="AV169" s="632" t="s">
        <v>1522</v>
      </c>
      <c r="AW169" s="632" t="s">
        <v>1522</v>
      </c>
      <c r="AX169" s="366">
        <v>1</v>
      </c>
      <c r="AY169" s="635">
        <v>0</v>
      </c>
      <c r="AZ169" s="636">
        <v>0</v>
      </c>
      <c r="BA169" s="635">
        <v>0</v>
      </c>
      <c r="BB169" s="635">
        <v>0</v>
      </c>
      <c r="BC169" s="636">
        <f t="shared" si="32"/>
        <v>0</v>
      </c>
      <c r="BD169" s="146" t="s">
        <v>236</v>
      </c>
      <c r="BE169" s="146" t="s">
        <v>237</v>
      </c>
    </row>
    <row r="170" spans="1:57" ht="56.25">
      <c r="A170" s="571"/>
      <c r="B170" s="572"/>
      <c r="C170" s="572"/>
      <c r="D170" s="572"/>
      <c r="E170" s="572"/>
      <c r="F170" s="572"/>
      <c r="G170" s="572"/>
      <c r="H170" s="572"/>
      <c r="I170" s="572"/>
      <c r="J170" s="572"/>
      <c r="K170" s="572"/>
      <c r="L170" s="572"/>
      <c r="M170" s="572"/>
      <c r="N170" s="267" t="s">
        <v>546</v>
      </c>
      <c r="O170" s="415">
        <f>+(0.25*100)/10</f>
        <v>2.5</v>
      </c>
      <c r="P170" s="415">
        <f>+O170*C4</f>
        <v>0.25</v>
      </c>
      <c r="Q170" s="415">
        <f>+O170*D4</f>
        <v>1.125</v>
      </c>
      <c r="R170" s="415">
        <f>+O170*E4</f>
        <v>0.625</v>
      </c>
      <c r="S170" s="415">
        <f>+O170*F4</f>
        <v>0.5</v>
      </c>
      <c r="T170" s="267" t="s">
        <v>551</v>
      </c>
      <c r="U170" s="268" t="s">
        <v>202</v>
      </c>
      <c r="V170" s="267" t="s">
        <v>88</v>
      </c>
      <c r="W170" s="268" t="s">
        <v>221</v>
      </c>
      <c r="X170" s="640">
        <v>1</v>
      </c>
      <c r="Y170" s="640">
        <v>1</v>
      </c>
      <c r="Z170" s="640">
        <v>1</v>
      </c>
      <c r="AA170" s="640">
        <v>1</v>
      </c>
      <c r="AB170" s="640">
        <v>1</v>
      </c>
      <c r="AC170" s="4"/>
      <c r="AD170" s="4"/>
      <c r="AE170" s="4"/>
      <c r="AF170" s="4"/>
      <c r="AG170" s="4"/>
      <c r="AH170" s="4"/>
      <c r="AI170" s="632" t="s">
        <v>559</v>
      </c>
      <c r="AJ170" s="633">
        <v>3.66</v>
      </c>
      <c r="AK170" s="633">
        <f>+AJ170*C4</f>
        <v>0.36600000000000005</v>
      </c>
      <c r="AL170" s="633">
        <f>+AJ170*D4</f>
        <v>1.647</v>
      </c>
      <c r="AM170" s="633">
        <v>1.65</v>
      </c>
      <c r="AN170" s="633">
        <v>0</v>
      </c>
      <c r="AO170" s="632" t="s">
        <v>569</v>
      </c>
      <c r="AP170" s="632" t="s">
        <v>202</v>
      </c>
      <c r="AQ170" s="632" t="s">
        <v>87</v>
      </c>
      <c r="AR170" s="632" t="s">
        <v>221</v>
      </c>
      <c r="AS170" s="632">
        <v>7</v>
      </c>
      <c r="AT170" s="632">
        <v>1</v>
      </c>
      <c r="AU170" s="632">
        <v>1</v>
      </c>
      <c r="AV170" s="632">
        <v>3</v>
      </c>
      <c r="AW170" s="632">
        <v>2</v>
      </c>
      <c r="AX170" s="632">
        <v>7</v>
      </c>
      <c r="AY170" s="641">
        <v>0</v>
      </c>
      <c r="AZ170" s="636">
        <v>0</v>
      </c>
      <c r="BA170" s="635">
        <v>0</v>
      </c>
      <c r="BB170" s="635">
        <v>0</v>
      </c>
      <c r="BC170" s="636">
        <f t="shared" si="32"/>
        <v>0</v>
      </c>
      <c r="BD170" s="146" t="s">
        <v>236</v>
      </c>
      <c r="BE170" s="146" t="s">
        <v>237</v>
      </c>
    </row>
    <row r="171" spans="1:57" ht="56.25" customHeight="1">
      <c r="A171" s="571"/>
      <c r="B171" s="572"/>
      <c r="C171" s="572"/>
      <c r="D171" s="572"/>
      <c r="E171" s="572"/>
      <c r="F171" s="572"/>
      <c r="G171" s="572"/>
      <c r="H171" s="572"/>
      <c r="I171" s="572"/>
      <c r="J171" s="572"/>
      <c r="K171" s="572"/>
      <c r="L171" s="572"/>
      <c r="M171" s="572"/>
      <c r="N171" s="157" t="s">
        <v>547</v>
      </c>
      <c r="O171" s="158">
        <f>+(0.25*100)/10</f>
        <v>2.5</v>
      </c>
      <c r="P171" s="158">
        <f>+O171*C4</f>
        <v>0.25</v>
      </c>
      <c r="Q171" s="158">
        <f>+O171*D4</f>
        <v>1.125</v>
      </c>
      <c r="R171" s="158">
        <f>+O171*E4</f>
        <v>0.625</v>
      </c>
      <c r="S171" s="158">
        <f>+O171*F4</f>
        <v>0.5</v>
      </c>
      <c r="T171" s="157" t="s">
        <v>552</v>
      </c>
      <c r="U171" s="198" t="s">
        <v>202</v>
      </c>
      <c r="V171" s="198" t="s">
        <v>88</v>
      </c>
      <c r="W171" s="198" t="s">
        <v>221</v>
      </c>
      <c r="X171" s="298">
        <v>1</v>
      </c>
      <c r="Y171" s="298">
        <v>1</v>
      </c>
      <c r="Z171" s="298">
        <v>1</v>
      </c>
      <c r="AA171" s="298">
        <v>1</v>
      </c>
      <c r="AB171" s="298">
        <v>1</v>
      </c>
      <c r="AC171" s="4"/>
      <c r="AD171" s="4"/>
      <c r="AE171" s="4"/>
      <c r="AF171" s="4"/>
      <c r="AG171" s="4"/>
      <c r="AH171" s="4"/>
      <c r="AI171" s="632" t="s">
        <v>560</v>
      </c>
      <c r="AJ171" s="633">
        <v>3.66</v>
      </c>
      <c r="AK171" s="633">
        <f>+AJ171*C4</f>
        <v>0.36600000000000005</v>
      </c>
      <c r="AL171" s="633">
        <f>+AJ171*D4</f>
        <v>1.647</v>
      </c>
      <c r="AM171" s="633">
        <v>1.65</v>
      </c>
      <c r="AN171" s="633">
        <v>0</v>
      </c>
      <c r="AO171" s="632" t="s">
        <v>570</v>
      </c>
      <c r="AP171" s="632" t="s">
        <v>202</v>
      </c>
      <c r="AQ171" s="632" t="s">
        <v>87</v>
      </c>
      <c r="AR171" s="632" t="s">
        <v>221</v>
      </c>
      <c r="AS171" s="632">
        <v>7</v>
      </c>
      <c r="AT171" s="632">
        <v>1</v>
      </c>
      <c r="AU171" s="632">
        <v>2</v>
      </c>
      <c r="AV171" s="632">
        <v>4</v>
      </c>
      <c r="AW171" s="632">
        <v>0</v>
      </c>
      <c r="AX171" s="632">
        <v>7</v>
      </c>
      <c r="AY171" s="635">
        <v>0</v>
      </c>
      <c r="AZ171" s="636">
        <v>0</v>
      </c>
      <c r="BA171" s="635">
        <v>0</v>
      </c>
      <c r="BB171" s="635">
        <v>0</v>
      </c>
      <c r="BC171" s="636">
        <f t="shared" si="32"/>
        <v>0</v>
      </c>
      <c r="BD171" s="146" t="s">
        <v>236</v>
      </c>
      <c r="BE171" s="146" t="s">
        <v>237</v>
      </c>
    </row>
    <row r="172" spans="1:57" ht="45">
      <c r="A172" s="571"/>
      <c r="B172" s="572"/>
      <c r="C172" s="572"/>
      <c r="D172" s="572"/>
      <c r="E172" s="572"/>
      <c r="F172" s="572"/>
      <c r="G172" s="572"/>
      <c r="H172" s="572"/>
      <c r="I172" s="572"/>
      <c r="J172" s="572"/>
      <c r="K172" s="572"/>
      <c r="L172" s="572"/>
      <c r="M172" s="572"/>
      <c r="N172" s="4"/>
      <c r="O172" s="376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632" t="s">
        <v>561</v>
      </c>
      <c r="AJ172" s="633">
        <v>3.66</v>
      </c>
      <c r="AK172" s="633">
        <f>+AJ172*C4</f>
        <v>0.36600000000000005</v>
      </c>
      <c r="AL172" s="633">
        <f>+AJ172*D4</f>
        <v>1.647</v>
      </c>
      <c r="AM172" s="633">
        <f>+AJ172*E4</f>
        <v>0.91500000000000004</v>
      </c>
      <c r="AN172" s="633">
        <f>+AJ172*F4</f>
        <v>0.7320000000000001</v>
      </c>
      <c r="AO172" s="632" t="s">
        <v>571</v>
      </c>
      <c r="AP172" s="632" t="s">
        <v>202</v>
      </c>
      <c r="AQ172" s="632" t="s">
        <v>88</v>
      </c>
      <c r="AR172" s="632" t="s">
        <v>221</v>
      </c>
      <c r="AS172" s="366">
        <v>1</v>
      </c>
      <c r="AT172" s="366">
        <v>1</v>
      </c>
      <c r="AU172" s="366">
        <v>0.54</v>
      </c>
      <c r="AV172" s="366">
        <v>0.46</v>
      </c>
      <c r="AW172" s="366">
        <v>0</v>
      </c>
      <c r="AX172" s="366">
        <v>1</v>
      </c>
      <c r="AY172" s="642">
        <v>0</v>
      </c>
      <c r="AZ172" s="401">
        <v>0</v>
      </c>
      <c r="BA172" s="642">
        <v>0</v>
      </c>
      <c r="BB172" s="642">
        <v>0</v>
      </c>
      <c r="BC172" s="636">
        <f t="shared" si="32"/>
        <v>0</v>
      </c>
      <c r="BD172" s="146" t="s">
        <v>236</v>
      </c>
      <c r="BE172" s="146" t="s">
        <v>237</v>
      </c>
    </row>
    <row r="173" spans="1:57" ht="33.75">
      <c r="A173" s="571"/>
      <c r="B173" s="572"/>
      <c r="C173" s="572"/>
      <c r="D173" s="572"/>
      <c r="E173" s="572"/>
      <c r="F173" s="572"/>
      <c r="G173" s="572"/>
      <c r="H173" s="572"/>
      <c r="I173" s="572"/>
      <c r="J173" s="572"/>
      <c r="K173" s="572"/>
      <c r="L173" s="572"/>
      <c r="M173" s="572"/>
      <c r="N173" s="4"/>
      <c r="O173" s="376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632" t="s">
        <v>562</v>
      </c>
      <c r="AJ173" s="633">
        <v>3.66</v>
      </c>
      <c r="AK173" s="633">
        <f>+AJ173*C4</f>
        <v>0.36600000000000005</v>
      </c>
      <c r="AL173" s="633">
        <f>+AJ173*D4</f>
        <v>1.647</v>
      </c>
      <c r="AM173" s="633">
        <f>+AJ173*E4</f>
        <v>0.91500000000000004</v>
      </c>
      <c r="AN173" s="633">
        <f>+AJ173*F4</f>
        <v>0.7320000000000001</v>
      </c>
      <c r="AO173" s="632" t="s">
        <v>572</v>
      </c>
      <c r="AP173" s="632" t="s">
        <v>202</v>
      </c>
      <c r="AQ173" s="632" t="s">
        <v>88</v>
      </c>
      <c r="AR173" s="632" t="s">
        <v>221</v>
      </c>
      <c r="AS173" s="366">
        <v>0.5</v>
      </c>
      <c r="AT173" s="632" t="s">
        <v>578</v>
      </c>
      <c r="AU173" s="632" t="s">
        <v>1523</v>
      </c>
      <c r="AV173" s="632" t="s">
        <v>1524</v>
      </c>
      <c r="AW173" s="632" t="s">
        <v>1523</v>
      </c>
      <c r="AX173" s="632" t="s">
        <v>579</v>
      </c>
      <c r="AY173" s="642">
        <v>0</v>
      </c>
      <c r="AZ173" s="642">
        <v>0</v>
      </c>
      <c r="BA173" s="642">
        <v>0</v>
      </c>
      <c r="BB173" s="642">
        <v>0</v>
      </c>
      <c r="BC173" s="636">
        <f t="shared" si="32"/>
        <v>0</v>
      </c>
      <c r="BD173" s="146" t="s">
        <v>236</v>
      </c>
      <c r="BE173" s="146" t="s">
        <v>237</v>
      </c>
    </row>
    <row r="174" spans="1:57" ht="45">
      <c r="A174" s="571"/>
      <c r="B174" s="572"/>
      <c r="C174" s="572"/>
      <c r="D174" s="572"/>
      <c r="E174" s="572"/>
      <c r="F174" s="572"/>
      <c r="G174" s="572"/>
      <c r="H174" s="572"/>
      <c r="I174" s="572"/>
      <c r="J174" s="572"/>
      <c r="K174" s="572"/>
      <c r="L174" s="572"/>
      <c r="M174" s="572"/>
      <c r="N174" s="5"/>
      <c r="O174" s="377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632" t="s">
        <v>563</v>
      </c>
      <c r="AJ174" s="633">
        <f>+(0.67*100)/1</f>
        <v>67</v>
      </c>
      <c r="AK174" s="633">
        <v>0</v>
      </c>
      <c r="AL174" s="633">
        <v>67</v>
      </c>
      <c r="AM174" s="633">
        <v>0</v>
      </c>
      <c r="AN174" s="633">
        <v>0</v>
      </c>
      <c r="AO174" s="632" t="s">
        <v>573</v>
      </c>
      <c r="AP174" s="632" t="s">
        <v>202</v>
      </c>
      <c r="AQ174" s="632" t="s">
        <v>87</v>
      </c>
      <c r="AR174" s="632">
        <v>0</v>
      </c>
      <c r="AS174" s="632">
        <v>1</v>
      </c>
      <c r="AT174" s="632">
        <v>0</v>
      </c>
      <c r="AU174" s="632" t="s">
        <v>83</v>
      </c>
      <c r="AV174" s="632">
        <v>0</v>
      </c>
      <c r="AW174" s="632">
        <v>0</v>
      </c>
      <c r="AX174" s="632">
        <v>1</v>
      </c>
      <c r="AY174" s="642">
        <v>150000000</v>
      </c>
      <c r="AZ174" s="642">
        <v>150000000</v>
      </c>
      <c r="BA174" s="642">
        <v>150000000</v>
      </c>
      <c r="BB174" s="642">
        <v>150000000</v>
      </c>
      <c r="BC174" s="636">
        <f>SUM(AY174:BB174)</f>
        <v>600000000</v>
      </c>
      <c r="BD174" s="146" t="s">
        <v>236</v>
      </c>
      <c r="BE174" s="146" t="s">
        <v>237</v>
      </c>
    </row>
    <row r="175" spans="1:57">
      <c r="A175" s="571"/>
      <c r="B175" s="572"/>
      <c r="C175" s="572"/>
      <c r="D175" s="572"/>
      <c r="E175" s="572"/>
      <c r="F175" s="572"/>
      <c r="G175" s="572"/>
      <c r="H175" s="572"/>
      <c r="I175" s="572"/>
      <c r="J175" s="572"/>
      <c r="K175" s="572"/>
      <c r="L175" s="572"/>
      <c r="M175" s="572"/>
      <c r="N175" s="205"/>
      <c r="O175" s="186"/>
      <c r="P175" s="205"/>
      <c r="Q175" s="205"/>
      <c r="R175" s="205"/>
      <c r="S175" s="205"/>
      <c r="T175" s="205"/>
      <c r="U175" s="205"/>
      <c r="V175" s="205"/>
      <c r="W175" s="205"/>
      <c r="X175" s="205"/>
      <c r="Y175" s="205"/>
      <c r="Z175" s="205"/>
      <c r="AA175" s="205"/>
      <c r="AB175" s="205"/>
      <c r="AC175" s="349" t="s">
        <v>1453</v>
      </c>
      <c r="AD175" s="420">
        <f>+AD165</f>
        <v>12.5</v>
      </c>
      <c r="AE175" s="186"/>
      <c r="AF175" s="186"/>
      <c r="AG175" s="186"/>
      <c r="AH175" s="186"/>
      <c r="AI175" s="205"/>
      <c r="AJ175" s="420">
        <f>SUM(AJ165:AJ174)</f>
        <v>100</v>
      </c>
      <c r="AK175" s="420"/>
      <c r="AL175" s="420"/>
      <c r="AM175" s="420"/>
      <c r="AN175" s="420"/>
      <c r="AO175" s="186"/>
      <c r="AP175" s="205"/>
      <c r="AQ175" s="205"/>
      <c r="AR175" s="205"/>
      <c r="AS175" s="205"/>
      <c r="AT175" s="205"/>
      <c r="AU175" s="205"/>
      <c r="AV175" s="205"/>
      <c r="AW175" s="205"/>
      <c r="AX175" s="205"/>
      <c r="AY175" s="206">
        <f>SUM(AY165:AY174)</f>
        <v>150000000</v>
      </c>
      <c r="AZ175" s="206">
        <f t="shared" ref="AZ175:BC175" si="33">SUM(AZ165:AZ174)</f>
        <v>150000000</v>
      </c>
      <c r="BA175" s="206">
        <f t="shared" si="33"/>
        <v>150000000</v>
      </c>
      <c r="BB175" s="206">
        <f t="shared" si="33"/>
        <v>150000000</v>
      </c>
      <c r="BC175" s="206">
        <f t="shared" si="33"/>
        <v>600000000</v>
      </c>
      <c r="BD175" s="205"/>
      <c r="BE175" s="205"/>
    </row>
    <row r="176" spans="1:57" ht="33.75" customHeight="1">
      <c r="A176" s="571"/>
      <c r="B176" s="572"/>
      <c r="C176" s="572"/>
      <c r="D176" s="572"/>
      <c r="E176" s="572"/>
      <c r="F176" s="572"/>
      <c r="G176" s="572"/>
      <c r="H176" s="572"/>
      <c r="I176" s="572"/>
      <c r="J176" s="572"/>
      <c r="K176" s="572"/>
      <c r="L176" s="572"/>
      <c r="M176" s="572"/>
      <c r="N176" s="157" t="s">
        <v>580</v>
      </c>
      <c r="O176" s="404">
        <f>+(1*100)/10</f>
        <v>10</v>
      </c>
      <c r="P176" s="158">
        <f>+O176*C4</f>
        <v>1</v>
      </c>
      <c r="Q176" s="158">
        <f>+O176*D4</f>
        <v>4.5</v>
      </c>
      <c r="R176" s="158">
        <f>+O176*E4</f>
        <v>2.5</v>
      </c>
      <c r="S176" s="158">
        <f>+O176*F4</f>
        <v>2</v>
      </c>
      <c r="T176" s="157" t="s">
        <v>582</v>
      </c>
      <c r="U176" s="198" t="s">
        <v>202</v>
      </c>
      <c r="V176" s="157" t="s">
        <v>88</v>
      </c>
      <c r="W176" s="198" t="s">
        <v>221</v>
      </c>
      <c r="X176" s="298">
        <v>1</v>
      </c>
      <c r="Y176" s="298">
        <v>1</v>
      </c>
      <c r="Z176" s="298">
        <v>1</v>
      </c>
      <c r="AA176" s="298">
        <v>1</v>
      </c>
      <c r="AB176" s="298">
        <v>1</v>
      </c>
      <c r="AC176" s="157" t="s">
        <v>584</v>
      </c>
      <c r="AD176" s="404">
        <f>+(1*100)/10</f>
        <v>10</v>
      </c>
      <c r="AE176" s="404">
        <f>+AD176*C4</f>
        <v>1</v>
      </c>
      <c r="AF176" s="404">
        <f>+AD176*D4</f>
        <v>4.5</v>
      </c>
      <c r="AG176" s="404">
        <f>+AD176*E4</f>
        <v>2.5</v>
      </c>
      <c r="AH176" s="404">
        <f>+AD176*F4</f>
        <v>2</v>
      </c>
      <c r="AI176" s="198" t="s">
        <v>586</v>
      </c>
      <c r="AJ176" s="457">
        <v>50</v>
      </c>
      <c r="AK176" s="457">
        <v>50</v>
      </c>
      <c r="AL176" s="457">
        <v>0</v>
      </c>
      <c r="AM176" s="457">
        <v>0</v>
      </c>
      <c r="AN176" s="457">
        <v>0</v>
      </c>
      <c r="AO176" s="192" t="s">
        <v>590</v>
      </c>
      <c r="AP176" s="198" t="s">
        <v>202</v>
      </c>
      <c r="AQ176" s="198" t="s">
        <v>87</v>
      </c>
      <c r="AR176" s="198" t="s">
        <v>221</v>
      </c>
      <c r="AS176" s="198">
        <v>1</v>
      </c>
      <c r="AT176" s="198">
        <v>1</v>
      </c>
      <c r="AU176" s="198">
        <v>0</v>
      </c>
      <c r="AV176" s="198">
        <v>0</v>
      </c>
      <c r="AW176" s="198">
        <v>0</v>
      </c>
      <c r="AX176" s="198">
        <v>1</v>
      </c>
      <c r="AY176" s="642">
        <v>80000000</v>
      </c>
      <c r="AZ176" s="642">
        <v>84800000</v>
      </c>
      <c r="BA176" s="642">
        <v>89888000</v>
      </c>
      <c r="BB176" s="642">
        <v>95281280</v>
      </c>
      <c r="BC176" s="643">
        <f>SUM(AY176:BB176)</f>
        <v>349969280</v>
      </c>
      <c r="BD176" s="146" t="s">
        <v>236</v>
      </c>
      <c r="BE176" s="146" t="s">
        <v>237</v>
      </c>
    </row>
    <row r="177" spans="1:57" ht="45">
      <c r="A177" s="571"/>
      <c r="B177" s="572"/>
      <c r="C177" s="572"/>
      <c r="D177" s="572"/>
      <c r="E177" s="572"/>
      <c r="F177" s="572"/>
      <c r="G177" s="572"/>
      <c r="H177" s="572"/>
      <c r="I177" s="572"/>
      <c r="J177" s="572"/>
      <c r="K177" s="572"/>
      <c r="L177" s="572"/>
      <c r="M177" s="572"/>
      <c r="N177" s="5"/>
      <c r="O177" s="5"/>
      <c r="P177" s="614"/>
      <c r="Q177" s="614"/>
      <c r="R177" s="614"/>
      <c r="S177" s="614"/>
      <c r="T177" s="5"/>
      <c r="U177" s="5"/>
      <c r="V177" s="5"/>
      <c r="W177" s="193"/>
      <c r="X177" s="193"/>
      <c r="Y177" s="5"/>
      <c r="Z177" s="5"/>
      <c r="AA177" s="5"/>
      <c r="AB177" s="5"/>
      <c r="AC177" s="5"/>
      <c r="AD177" s="376"/>
      <c r="AE177" s="193"/>
      <c r="AF177" s="193"/>
      <c r="AG177" s="193"/>
      <c r="AH177" s="193"/>
      <c r="AI177" s="198" t="s">
        <v>587</v>
      </c>
      <c r="AJ177" s="457">
        <v>50</v>
      </c>
      <c r="AK177" s="457">
        <f>+AJ177*C4</f>
        <v>5</v>
      </c>
      <c r="AL177" s="457">
        <f>+AJ177*D4</f>
        <v>22.5</v>
      </c>
      <c r="AM177" s="457">
        <f>+AJ177*E4</f>
        <v>12.5</v>
      </c>
      <c r="AN177" s="457">
        <f>+AJ177*F4</f>
        <v>10</v>
      </c>
      <c r="AO177" s="198" t="s">
        <v>591</v>
      </c>
      <c r="AP177" s="198" t="s">
        <v>202</v>
      </c>
      <c r="AQ177" s="198" t="s">
        <v>87</v>
      </c>
      <c r="AR177" s="198" t="s">
        <v>221</v>
      </c>
      <c r="AS177" s="198">
        <v>7</v>
      </c>
      <c r="AT177" s="198">
        <v>7</v>
      </c>
      <c r="AU177" s="198">
        <v>7</v>
      </c>
      <c r="AV177" s="198">
        <v>7</v>
      </c>
      <c r="AW177" s="198">
        <v>7</v>
      </c>
      <c r="AX177" s="198">
        <v>7</v>
      </c>
      <c r="AY177" s="642">
        <v>0</v>
      </c>
      <c r="AZ177" s="642">
        <v>0</v>
      </c>
      <c r="BA177" s="642">
        <v>0</v>
      </c>
      <c r="BB177" s="642">
        <v>0</v>
      </c>
      <c r="BC177" s="643">
        <f t="shared" ref="BC177:BC180" si="34">SUM(AY177:BB177)</f>
        <v>0</v>
      </c>
      <c r="BD177" s="146" t="s">
        <v>236</v>
      </c>
      <c r="BE177" s="146" t="s">
        <v>237</v>
      </c>
    </row>
    <row r="178" spans="1:57">
      <c r="A178" s="571"/>
      <c r="B178" s="572"/>
      <c r="C178" s="572"/>
      <c r="D178" s="572"/>
      <c r="E178" s="572"/>
      <c r="F178" s="572"/>
      <c r="G178" s="572"/>
      <c r="H178" s="572"/>
      <c r="I178" s="572"/>
      <c r="J178" s="572"/>
      <c r="K178" s="572"/>
      <c r="L178" s="572"/>
      <c r="M178" s="572"/>
      <c r="N178" s="174"/>
      <c r="O178" s="209"/>
      <c r="P178" s="165"/>
      <c r="Q178" s="210"/>
      <c r="R178" s="210"/>
      <c r="S178" s="165"/>
      <c r="T178" s="174"/>
      <c r="U178" s="174"/>
      <c r="V178" s="174"/>
      <c r="W178" s="186"/>
      <c r="X178" s="186"/>
      <c r="Y178" s="174"/>
      <c r="Z178" s="174"/>
      <c r="AA178" s="174"/>
      <c r="AB178" s="174"/>
      <c r="AC178" s="349" t="s">
        <v>1453</v>
      </c>
      <c r="AD178" s="420">
        <f>SUM(AD176:AD177)</f>
        <v>10</v>
      </c>
      <c r="AE178" s="217"/>
      <c r="AF178" s="217"/>
      <c r="AG178" s="217"/>
      <c r="AH178" s="217"/>
      <c r="AI178" s="212"/>
      <c r="AJ178" s="420">
        <f>SUM(AJ176:AJ177)</f>
        <v>100</v>
      </c>
      <c r="AK178" s="420"/>
      <c r="AL178" s="420"/>
      <c r="AM178" s="420"/>
      <c r="AN178" s="420"/>
      <c r="AO178" s="212"/>
      <c r="AP178" s="186"/>
      <c r="AQ178" s="186"/>
      <c r="AR178" s="186"/>
      <c r="AS178" s="186"/>
      <c r="AT178" s="186"/>
      <c r="AU178" s="186"/>
      <c r="AV178" s="186"/>
      <c r="AW178" s="186"/>
      <c r="AX178" s="186"/>
      <c r="AY178" s="213">
        <f>SUM(AY176:AY177)</f>
        <v>80000000</v>
      </c>
      <c r="AZ178" s="213">
        <f t="shared" ref="AZ178:BB178" si="35">SUM(AZ176:AZ177)</f>
        <v>84800000</v>
      </c>
      <c r="BA178" s="213">
        <f t="shared" si="35"/>
        <v>89888000</v>
      </c>
      <c r="BB178" s="213">
        <f t="shared" si="35"/>
        <v>95281280</v>
      </c>
      <c r="BC178" s="213">
        <f t="shared" si="34"/>
        <v>349969280</v>
      </c>
      <c r="BD178" s="186"/>
      <c r="BE178" s="186"/>
    </row>
    <row r="179" spans="1:57" ht="56.25" customHeight="1">
      <c r="A179" s="571"/>
      <c r="B179" s="572"/>
      <c r="C179" s="572"/>
      <c r="D179" s="572"/>
      <c r="E179" s="572"/>
      <c r="F179" s="572"/>
      <c r="G179" s="572"/>
      <c r="H179" s="572"/>
      <c r="I179" s="572"/>
      <c r="J179" s="572"/>
      <c r="K179" s="572"/>
      <c r="L179" s="572"/>
      <c r="M179" s="572"/>
      <c r="N179" s="157" t="s">
        <v>581</v>
      </c>
      <c r="O179" s="404">
        <f>+(1*100)/10</f>
        <v>10</v>
      </c>
      <c r="P179" s="158">
        <f>+O179*C4</f>
        <v>1</v>
      </c>
      <c r="Q179" s="158">
        <f>+O179*D4</f>
        <v>4.5</v>
      </c>
      <c r="R179" s="158">
        <f>+O179*E4</f>
        <v>2.5</v>
      </c>
      <c r="S179" s="158">
        <f>+O179*F4</f>
        <v>2</v>
      </c>
      <c r="T179" s="157" t="s">
        <v>583</v>
      </c>
      <c r="U179" s="198" t="s">
        <v>202</v>
      </c>
      <c r="V179" s="157" t="s">
        <v>88</v>
      </c>
      <c r="W179" s="198" t="s">
        <v>221</v>
      </c>
      <c r="X179" s="298">
        <v>1</v>
      </c>
      <c r="Y179" s="298">
        <v>1</v>
      </c>
      <c r="Z179" s="298">
        <v>1</v>
      </c>
      <c r="AA179" s="298">
        <v>1</v>
      </c>
      <c r="AB179" s="298">
        <v>1</v>
      </c>
      <c r="AC179" s="298" t="s">
        <v>585</v>
      </c>
      <c r="AD179" s="404">
        <f>+(1*100)/10</f>
        <v>10</v>
      </c>
      <c r="AE179" s="404">
        <f>+AD179*C4</f>
        <v>1</v>
      </c>
      <c r="AF179" s="404">
        <f>+AD179*D4</f>
        <v>4.5</v>
      </c>
      <c r="AG179" s="404">
        <f>+AD179*E4</f>
        <v>2.5</v>
      </c>
      <c r="AH179" s="404">
        <f>+AD179*F4</f>
        <v>2</v>
      </c>
      <c r="AI179" s="644" t="s">
        <v>588</v>
      </c>
      <c r="AJ179" s="457">
        <v>50</v>
      </c>
      <c r="AK179" s="457">
        <f>+AJ179*C4</f>
        <v>5</v>
      </c>
      <c r="AL179" s="457">
        <f>+AJ179*D4</f>
        <v>22.5</v>
      </c>
      <c r="AM179" s="457">
        <f>+AJ179*E4</f>
        <v>12.5</v>
      </c>
      <c r="AN179" s="457">
        <f>+AJ179*F4</f>
        <v>10</v>
      </c>
      <c r="AO179" s="644" t="s">
        <v>592</v>
      </c>
      <c r="AP179" s="193" t="s">
        <v>202</v>
      </c>
      <c r="AQ179" s="193" t="s">
        <v>88</v>
      </c>
      <c r="AR179" s="265">
        <v>0.4</v>
      </c>
      <c r="AS179" s="265">
        <v>1</v>
      </c>
      <c r="AT179" s="265">
        <v>0.7</v>
      </c>
      <c r="AU179" s="265">
        <v>0.9</v>
      </c>
      <c r="AV179" s="265">
        <v>1</v>
      </c>
      <c r="AW179" s="265">
        <v>1</v>
      </c>
      <c r="AX179" s="265">
        <v>1</v>
      </c>
      <c r="AY179" s="645">
        <v>2430000000</v>
      </c>
      <c r="AZ179" s="645">
        <v>0</v>
      </c>
      <c r="BA179" s="645">
        <v>0</v>
      </c>
      <c r="BB179" s="645">
        <v>0</v>
      </c>
      <c r="BC179" s="643">
        <f t="shared" si="34"/>
        <v>2430000000</v>
      </c>
      <c r="BD179" s="146" t="s">
        <v>236</v>
      </c>
      <c r="BE179" s="146" t="s">
        <v>237</v>
      </c>
    </row>
    <row r="180" spans="1:57" ht="22.5">
      <c r="A180" s="571"/>
      <c r="B180" s="572"/>
      <c r="C180" s="572"/>
      <c r="D180" s="572"/>
      <c r="E180" s="572"/>
      <c r="F180" s="572"/>
      <c r="G180" s="572"/>
      <c r="H180" s="3"/>
      <c r="I180" s="3"/>
      <c r="J180" s="3"/>
      <c r="K180" s="3"/>
      <c r="L180" s="3"/>
      <c r="M180" s="3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265"/>
      <c r="Y180" s="265"/>
      <c r="Z180" s="265"/>
      <c r="AA180" s="265"/>
      <c r="AB180" s="265"/>
      <c r="AC180" s="265"/>
      <c r="AD180" s="203"/>
      <c r="AE180" s="203"/>
      <c r="AF180" s="203"/>
      <c r="AG180" s="203"/>
      <c r="AH180" s="203"/>
      <c r="AI180" s="644" t="s">
        <v>589</v>
      </c>
      <c r="AJ180" s="457">
        <v>50</v>
      </c>
      <c r="AK180" s="457">
        <f>+AJ180*C4</f>
        <v>5</v>
      </c>
      <c r="AL180" s="457">
        <f>+AJ180*D4</f>
        <v>22.5</v>
      </c>
      <c r="AM180" s="457">
        <f>+AJ180*E4</f>
        <v>12.5</v>
      </c>
      <c r="AN180" s="457">
        <f>+AJ180*F4</f>
        <v>10</v>
      </c>
      <c r="AO180" s="69" t="s">
        <v>593</v>
      </c>
      <c r="AP180" s="69" t="s">
        <v>202</v>
      </c>
      <c r="AQ180" s="69" t="s">
        <v>87</v>
      </c>
      <c r="AR180" s="69" t="s">
        <v>1505</v>
      </c>
      <c r="AS180" s="265" t="s">
        <v>1504</v>
      </c>
      <c r="AT180" s="268">
        <v>1</v>
      </c>
      <c r="AU180" s="268">
        <v>1</v>
      </c>
      <c r="AV180" s="268">
        <v>2</v>
      </c>
      <c r="AW180" s="268">
        <v>2</v>
      </c>
      <c r="AX180" s="646">
        <v>7</v>
      </c>
      <c r="AY180" s="645"/>
      <c r="AZ180" s="645">
        <v>0</v>
      </c>
      <c r="BA180" s="645">
        <v>0</v>
      </c>
      <c r="BB180" s="645">
        <v>0</v>
      </c>
      <c r="BC180" s="647">
        <f t="shared" si="34"/>
        <v>0</v>
      </c>
      <c r="BD180" s="146" t="s">
        <v>236</v>
      </c>
      <c r="BE180" s="146" t="s">
        <v>237</v>
      </c>
    </row>
    <row r="181" spans="1:57">
      <c r="A181" s="571"/>
      <c r="B181" s="572"/>
      <c r="C181" s="572"/>
      <c r="D181" s="572"/>
      <c r="E181" s="572"/>
      <c r="F181" s="572"/>
      <c r="G181" s="572"/>
      <c r="H181" s="222" t="s">
        <v>594</v>
      </c>
      <c r="I181" s="165"/>
      <c r="J181" s="165"/>
      <c r="K181" s="165"/>
      <c r="L181" s="165"/>
      <c r="M181" s="165"/>
      <c r="N181" s="186"/>
      <c r="O181" s="211"/>
      <c r="P181" s="215"/>
      <c r="Q181" s="215"/>
      <c r="R181" s="215"/>
      <c r="S181" s="215"/>
      <c r="T181" s="174"/>
      <c r="U181" s="174"/>
      <c r="V181" s="174"/>
      <c r="W181" s="174"/>
      <c r="X181" s="174"/>
      <c r="Y181" s="174"/>
      <c r="Z181" s="174"/>
      <c r="AA181" s="174"/>
      <c r="AB181" s="174"/>
      <c r="AC181" s="349" t="s">
        <v>1453</v>
      </c>
      <c r="AD181" s="420">
        <f>SUM(AD179:AD180)</f>
        <v>10</v>
      </c>
      <c r="AE181" s="177"/>
      <c r="AF181" s="177"/>
      <c r="AG181" s="177"/>
      <c r="AH181" s="177"/>
      <c r="AI181" s="174"/>
      <c r="AJ181" s="217">
        <f>SUM(AJ179:AJ180)</f>
        <v>100</v>
      </c>
      <c r="AK181" s="217"/>
      <c r="AL181" s="217"/>
      <c r="AM181" s="217"/>
      <c r="AN181" s="217"/>
      <c r="AO181" s="214"/>
      <c r="AP181" s="208"/>
      <c r="AQ181" s="208"/>
      <c r="AR181" s="208"/>
      <c r="AS181" s="208"/>
      <c r="AT181" s="208"/>
      <c r="AU181" s="208"/>
      <c r="AV181" s="208"/>
      <c r="AW181" s="208"/>
      <c r="AX181" s="208"/>
      <c r="AY181" s="216">
        <f>SUM(AY179:AY180)</f>
        <v>2430000000</v>
      </c>
      <c r="AZ181" s="216">
        <f t="shared" ref="AZ181:BC181" si="36">SUM(AZ179:AZ180)</f>
        <v>0</v>
      </c>
      <c r="BA181" s="216">
        <f t="shared" si="36"/>
        <v>0</v>
      </c>
      <c r="BB181" s="216">
        <f t="shared" si="36"/>
        <v>0</v>
      </c>
      <c r="BC181" s="216">
        <f t="shared" si="36"/>
        <v>2430000000</v>
      </c>
      <c r="BD181" s="208"/>
      <c r="BE181" s="208"/>
    </row>
    <row r="182" spans="1:57">
      <c r="A182" s="571"/>
      <c r="B182" s="572"/>
      <c r="C182" s="572"/>
      <c r="D182" s="572"/>
      <c r="E182" s="572"/>
      <c r="F182" s="572"/>
      <c r="G182" s="572"/>
      <c r="H182" s="223" t="s">
        <v>85</v>
      </c>
      <c r="I182" s="378">
        <f>SUM(I86:I181)</f>
        <v>22.727272727272727</v>
      </c>
      <c r="J182" s="219"/>
      <c r="K182" s="219"/>
      <c r="L182" s="219"/>
      <c r="M182" s="219"/>
      <c r="N182" s="218"/>
      <c r="O182" s="384">
        <f>SUM(O86:O181)</f>
        <v>100.20000000000002</v>
      </c>
      <c r="P182" s="220"/>
      <c r="Q182" s="220"/>
      <c r="R182" s="220"/>
      <c r="S182" s="220"/>
      <c r="T182" s="218"/>
      <c r="U182" s="218"/>
      <c r="V182" s="218"/>
      <c r="W182" s="218"/>
      <c r="X182" s="218"/>
      <c r="Y182" s="218"/>
      <c r="Z182" s="218"/>
      <c r="AA182" s="218"/>
      <c r="AB182" s="218"/>
      <c r="AC182" s="218"/>
      <c r="AD182" s="416">
        <f>+AD181+AD178+AD175+AD164+AD103+AD88</f>
        <v>100</v>
      </c>
      <c r="AE182" s="218"/>
      <c r="AF182" s="218"/>
      <c r="AG182" s="218"/>
      <c r="AH182" s="218"/>
      <c r="AI182" s="218"/>
      <c r="AJ182" s="224"/>
      <c r="AK182" s="224"/>
      <c r="AL182" s="224"/>
      <c r="AM182" s="224"/>
      <c r="AN182" s="224"/>
      <c r="AO182" s="224"/>
      <c r="AP182" s="237"/>
      <c r="AQ182" s="224"/>
      <c r="AR182" s="224"/>
      <c r="AS182" s="224"/>
      <c r="AT182" s="224"/>
      <c r="AU182" s="224"/>
      <c r="AV182" s="224"/>
      <c r="AW182" s="224"/>
      <c r="AX182" s="224"/>
      <c r="AY182" s="224">
        <f>+AY181+AY178+AY175+AY164+AY103+AY88</f>
        <v>34651464165</v>
      </c>
      <c r="AZ182" s="224">
        <f>+AZ181+AZ178+AZ175+AZ164+AZ103+AZ88</f>
        <v>14987955000</v>
      </c>
      <c r="BA182" s="224">
        <f>+BA181+BA178+BA175+BA164+BA103+BA88</f>
        <v>11545103100</v>
      </c>
      <c r="BB182" s="224">
        <f>+BB181+BB178+BB175+BB164+BB103+BB88</f>
        <v>8252501622</v>
      </c>
      <c r="BC182" s="224">
        <f>+BC181+BC178+BC175+BC164+BC103+BC88</f>
        <v>69437023887</v>
      </c>
      <c r="BD182" s="221"/>
      <c r="BE182" s="221"/>
    </row>
    <row r="183" spans="1:57" ht="56.25">
      <c r="A183" s="571"/>
      <c r="B183" s="572"/>
      <c r="C183" s="572"/>
      <c r="D183" s="572"/>
      <c r="E183" s="572"/>
      <c r="F183" s="572"/>
      <c r="G183" s="572"/>
      <c r="H183" s="157" t="s">
        <v>595</v>
      </c>
      <c r="I183" s="404">
        <f>+(7*100)/44</f>
        <v>15.909090909090908</v>
      </c>
      <c r="J183" s="158">
        <f>+I183*C4</f>
        <v>1.5909090909090908</v>
      </c>
      <c r="K183" s="158">
        <f>+I183*D4</f>
        <v>7.1590909090909092</v>
      </c>
      <c r="L183" s="158">
        <f>+I183*E4</f>
        <v>3.9772727272727271</v>
      </c>
      <c r="M183" s="158">
        <f>+I183*F4</f>
        <v>3.1818181818181817</v>
      </c>
      <c r="N183" s="157" t="s">
        <v>596</v>
      </c>
      <c r="O183" s="202">
        <f>+(1.25*100)/7</f>
        <v>17.857142857142858</v>
      </c>
      <c r="P183" s="158">
        <f>+O183*C4</f>
        <v>1.7857142857142858</v>
      </c>
      <c r="Q183" s="158">
        <f>+O183*D4</f>
        <v>8.0357142857142865</v>
      </c>
      <c r="R183" s="158">
        <f>+O183*E4</f>
        <v>4.4642857142857144</v>
      </c>
      <c r="S183" s="158">
        <f>+O183*F4</f>
        <v>3.5714285714285716</v>
      </c>
      <c r="T183" s="157" t="s">
        <v>597</v>
      </c>
      <c r="U183" s="198" t="s">
        <v>202</v>
      </c>
      <c r="V183" s="157" t="s">
        <v>88</v>
      </c>
      <c r="W183" s="157" t="s">
        <v>598</v>
      </c>
      <c r="X183" s="157" t="s">
        <v>599</v>
      </c>
      <c r="Y183" s="198">
        <v>3600</v>
      </c>
      <c r="Z183" s="198">
        <v>5000</v>
      </c>
      <c r="AA183" s="198">
        <v>5750</v>
      </c>
      <c r="AB183" s="198">
        <v>6066</v>
      </c>
      <c r="AC183" s="157" t="s">
        <v>600</v>
      </c>
      <c r="AD183" s="404">
        <f>+(1*100)/6.75</f>
        <v>14.814814814814815</v>
      </c>
      <c r="AE183" s="404">
        <f>+AD183*C4</f>
        <v>1.4814814814814816</v>
      </c>
      <c r="AF183" s="404">
        <f>+AD183*D4</f>
        <v>6.666666666666667</v>
      </c>
      <c r="AG183" s="404">
        <f>+AD183*E4</f>
        <v>3.7037037037037037</v>
      </c>
      <c r="AH183" s="404">
        <f>+AD183*F4</f>
        <v>2.9629629629629632</v>
      </c>
      <c r="AI183" s="5" t="s">
        <v>601</v>
      </c>
      <c r="AJ183" s="193">
        <f>+(0.718*100)/1.25</f>
        <v>57.44</v>
      </c>
      <c r="AK183" s="193">
        <f>+AJ183*C4</f>
        <v>5.7439999999999998</v>
      </c>
      <c r="AL183" s="193">
        <v>0</v>
      </c>
      <c r="AM183" s="193">
        <v>40.207999999999998</v>
      </c>
      <c r="AN183" s="193">
        <f>+AJ183*F4</f>
        <v>11.488</v>
      </c>
      <c r="AO183" s="644" t="s">
        <v>604</v>
      </c>
      <c r="AP183" s="193" t="s">
        <v>202</v>
      </c>
      <c r="AQ183" s="193" t="s">
        <v>88</v>
      </c>
      <c r="AR183" s="193" t="s">
        <v>598</v>
      </c>
      <c r="AS183" s="648" t="s">
        <v>599</v>
      </c>
      <c r="AT183" s="648">
        <v>316.5</v>
      </c>
      <c r="AU183" s="648">
        <v>0</v>
      </c>
      <c r="AV183" s="648">
        <v>1520</v>
      </c>
      <c r="AW183" s="648">
        <v>696.3</v>
      </c>
      <c r="AX183" s="648" t="s">
        <v>599</v>
      </c>
      <c r="AY183" s="645">
        <v>500000000</v>
      </c>
      <c r="AZ183" s="645">
        <v>1200000000</v>
      </c>
      <c r="BA183" s="645">
        <v>1200000000</v>
      </c>
      <c r="BB183" s="645">
        <v>1100000000</v>
      </c>
      <c r="BC183" s="649">
        <f>SUM(AY183:BB183)</f>
        <v>4000000000</v>
      </c>
      <c r="BD183" s="193" t="s">
        <v>607</v>
      </c>
      <c r="BE183" s="193" t="s">
        <v>608</v>
      </c>
    </row>
    <row r="184" spans="1:57" ht="22.5">
      <c r="A184" s="571"/>
      <c r="B184" s="572"/>
      <c r="C184" s="572"/>
      <c r="D184" s="572"/>
      <c r="E184" s="572"/>
      <c r="F184" s="572"/>
      <c r="G184" s="572"/>
      <c r="H184" s="4"/>
      <c r="I184" s="375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192"/>
      <c r="V184" s="4"/>
      <c r="W184" s="4"/>
      <c r="X184" s="4"/>
      <c r="Y184" s="4"/>
      <c r="Z184" s="4"/>
      <c r="AA184" s="4"/>
      <c r="AB184" s="4"/>
      <c r="AC184" s="4"/>
      <c r="AD184" s="375"/>
      <c r="AE184" s="4"/>
      <c r="AF184" s="4"/>
      <c r="AG184" s="4"/>
      <c r="AH184" s="4"/>
      <c r="AI184" s="5" t="s">
        <v>602</v>
      </c>
      <c r="AJ184" s="193">
        <f>+(0.323*100)/1.25</f>
        <v>25.840000000000003</v>
      </c>
      <c r="AK184" s="193">
        <f>+AJ184*C4</f>
        <v>2.5840000000000005</v>
      </c>
      <c r="AL184" s="193">
        <f>+AJ184*D4</f>
        <v>11.628000000000002</v>
      </c>
      <c r="AM184" s="193">
        <v>11.628</v>
      </c>
      <c r="AN184" s="193">
        <v>0</v>
      </c>
      <c r="AO184" s="644" t="s">
        <v>605</v>
      </c>
      <c r="AP184" s="193" t="s">
        <v>202</v>
      </c>
      <c r="AQ184" s="193" t="s">
        <v>87</v>
      </c>
      <c r="AR184" s="193">
        <v>3</v>
      </c>
      <c r="AS184" s="648">
        <v>4</v>
      </c>
      <c r="AT184" s="648">
        <v>1.6842105263157894</v>
      </c>
      <c r="AU184" s="648">
        <v>1.4736842105263157</v>
      </c>
      <c r="AV184" s="648">
        <v>0.84210526315789469</v>
      </c>
      <c r="AW184" s="648">
        <v>0</v>
      </c>
      <c r="AX184" s="193">
        <v>4</v>
      </c>
      <c r="AY184" s="645">
        <v>800000000</v>
      </c>
      <c r="AZ184" s="645">
        <v>700000000</v>
      </c>
      <c r="BA184" s="645">
        <v>400000000</v>
      </c>
      <c r="BB184" s="645">
        <v>0</v>
      </c>
      <c r="BC184" s="649">
        <f t="shared" ref="BC184:BC185" si="37">SUM(AY184:BB184)</f>
        <v>1900000000</v>
      </c>
      <c r="BD184" s="193" t="s">
        <v>607</v>
      </c>
      <c r="BE184" s="193" t="s">
        <v>608</v>
      </c>
    </row>
    <row r="185" spans="1:57" ht="22.5">
      <c r="A185" s="571"/>
      <c r="B185" s="572"/>
      <c r="C185" s="572"/>
      <c r="D185" s="572"/>
      <c r="E185" s="572"/>
      <c r="F185" s="572"/>
      <c r="G185" s="572"/>
      <c r="H185" s="4"/>
      <c r="I185" s="4"/>
      <c r="J185" s="4"/>
      <c r="K185" s="4"/>
      <c r="L185" s="4"/>
      <c r="M185" s="4"/>
      <c r="N185" s="5"/>
      <c r="O185" s="5"/>
      <c r="P185" s="5"/>
      <c r="Q185" s="5"/>
      <c r="R185" s="5"/>
      <c r="S185" s="5"/>
      <c r="T185" s="5"/>
      <c r="U185" s="193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 t="s">
        <v>603</v>
      </c>
      <c r="AJ185" s="193">
        <f>+(0.21*100)/1.25</f>
        <v>16.8</v>
      </c>
      <c r="AK185" s="193">
        <f>+AJ185*C4</f>
        <v>1.6800000000000002</v>
      </c>
      <c r="AL185" s="193">
        <f>+AJ185*D4</f>
        <v>7.5600000000000005</v>
      </c>
      <c r="AM185" s="193">
        <v>7.56</v>
      </c>
      <c r="AN185" s="193">
        <v>0</v>
      </c>
      <c r="AO185" s="644" t="s">
        <v>606</v>
      </c>
      <c r="AP185" s="193" t="s">
        <v>202</v>
      </c>
      <c r="AQ185" s="193" t="s">
        <v>87</v>
      </c>
      <c r="AR185" s="193">
        <v>4</v>
      </c>
      <c r="AS185" s="193">
        <v>3</v>
      </c>
      <c r="AT185" s="193">
        <v>1</v>
      </c>
      <c r="AU185" s="648">
        <v>1</v>
      </c>
      <c r="AV185" s="648">
        <v>1</v>
      </c>
      <c r="AW185" s="648">
        <v>0</v>
      </c>
      <c r="AX185" s="193">
        <v>3</v>
      </c>
      <c r="AY185" s="645">
        <v>400000000</v>
      </c>
      <c r="AZ185" s="645">
        <v>400000000</v>
      </c>
      <c r="BA185" s="645">
        <v>400000000</v>
      </c>
      <c r="BB185" s="645">
        <v>0</v>
      </c>
      <c r="BC185" s="649">
        <f t="shared" si="37"/>
        <v>1200000000</v>
      </c>
      <c r="BD185" s="193" t="s">
        <v>607</v>
      </c>
      <c r="BE185" s="193" t="s">
        <v>608</v>
      </c>
    </row>
    <row r="186" spans="1:57">
      <c r="A186" s="571"/>
      <c r="B186" s="572"/>
      <c r="C186" s="572"/>
      <c r="D186" s="572"/>
      <c r="E186" s="572"/>
      <c r="F186" s="572"/>
      <c r="G186" s="572"/>
      <c r="H186" s="4"/>
      <c r="I186" s="4"/>
      <c r="J186" s="4"/>
      <c r="K186" s="4"/>
      <c r="L186" s="4"/>
      <c r="M186" s="4"/>
      <c r="N186" s="225"/>
      <c r="O186" s="226"/>
      <c r="P186" s="227"/>
      <c r="Q186" s="227"/>
      <c r="R186" s="227"/>
      <c r="S186" s="227"/>
      <c r="T186" s="228"/>
      <c r="U186" s="186"/>
      <c r="V186" s="174"/>
      <c r="W186" s="174"/>
      <c r="X186" s="174"/>
      <c r="Y186" s="174"/>
      <c r="Z186" s="174"/>
      <c r="AA186" s="174"/>
      <c r="AB186" s="174"/>
      <c r="AC186" s="349" t="s">
        <v>1453</v>
      </c>
      <c r="AD186" s="420">
        <f>SUM(AD183:AD185)</f>
        <v>14.814814814814815</v>
      </c>
      <c r="AE186" s="381"/>
      <c r="AF186" s="381"/>
      <c r="AG186" s="381"/>
      <c r="AH186" s="381"/>
      <c r="AI186" s="228"/>
      <c r="AJ186" s="437">
        <f>SUM(AJ183:AJ185)</f>
        <v>100.08</v>
      </c>
      <c r="AK186" s="437"/>
      <c r="AL186" s="437"/>
      <c r="AM186" s="437"/>
      <c r="AN186" s="437"/>
      <c r="AO186" s="229"/>
      <c r="AP186" s="228"/>
      <c r="AQ186" s="228"/>
      <c r="AR186" s="228"/>
      <c r="AS186" s="228"/>
      <c r="AT186" s="228"/>
      <c r="AU186" s="228"/>
      <c r="AV186" s="228"/>
      <c r="AW186" s="228"/>
      <c r="AX186" s="228"/>
      <c r="AY186" s="230">
        <f>SUM(AY183:AY185)</f>
        <v>1700000000</v>
      </c>
      <c r="AZ186" s="230">
        <f t="shared" ref="AZ186:BC186" si="38">SUM(AZ183:AZ185)</f>
        <v>2300000000</v>
      </c>
      <c r="BA186" s="230">
        <f t="shared" si="38"/>
        <v>2000000000</v>
      </c>
      <c r="BB186" s="230">
        <f t="shared" si="38"/>
        <v>1100000000</v>
      </c>
      <c r="BC186" s="230">
        <f t="shared" si="38"/>
        <v>7100000000</v>
      </c>
      <c r="BD186" s="228"/>
      <c r="BE186" s="228"/>
    </row>
    <row r="187" spans="1:57" ht="45" customHeight="1">
      <c r="A187" s="571"/>
      <c r="B187" s="572"/>
      <c r="C187" s="572"/>
      <c r="D187" s="572"/>
      <c r="E187" s="572"/>
      <c r="F187" s="572"/>
      <c r="G187" s="572"/>
      <c r="H187" s="4"/>
      <c r="I187" s="4"/>
      <c r="J187" s="4"/>
      <c r="K187" s="4"/>
      <c r="L187" s="4"/>
      <c r="M187" s="4"/>
      <c r="N187" s="157" t="s">
        <v>609</v>
      </c>
      <c r="O187" s="404">
        <f>+(0.33*100)/7</f>
        <v>4.7142857142857144</v>
      </c>
      <c r="P187" s="158">
        <f>+O187*C4</f>
        <v>0.47142857142857147</v>
      </c>
      <c r="Q187" s="158">
        <f>+O187*D4</f>
        <v>2.1214285714285714</v>
      </c>
      <c r="R187" s="158">
        <f>+O187*E4</f>
        <v>1.1785714285714286</v>
      </c>
      <c r="S187" s="158">
        <f>+O187*F4</f>
        <v>0.94285714285714295</v>
      </c>
      <c r="T187" s="267" t="s">
        <v>615</v>
      </c>
      <c r="U187" s="268" t="s">
        <v>202</v>
      </c>
      <c r="V187" s="157" t="s">
        <v>87</v>
      </c>
      <c r="W187" s="198">
        <v>4694</v>
      </c>
      <c r="X187" s="198">
        <v>5006</v>
      </c>
      <c r="Y187" s="198">
        <v>4700</v>
      </c>
      <c r="Z187" s="198">
        <v>4850</v>
      </c>
      <c r="AA187" s="198">
        <v>4930</v>
      </c>
      <c r="AB187" s="198">
        <v>5006</v>
      </c>
      <c r="AC187" s="157" t="s">
        <v>624</v>
      </c>
      <c r="AD187" s="404">
        <f>+(2*100)/6.75</f>
        <v>29.62962962962963</v>
      </c>
      <c r="AE187" s="404">
        <f>+AD187*C4</f>
        <v>2.9629629629629632</v>
      </c>
      <c r="AF187" s="404">
        <f>+AD187*D4</f>
        <v>13.333333333333334</v>
      </c>
      <c r="AG187" s="404">
        <f>+AD187*E4</f>
        <v>7.4074074074074074</v>
      </c>
      <c r="AH187" s="404">
        <f>+AD187*F4</f>
        <v>5.9259259259259265</v>
      </c>
      <c r="AI187" s="5" t="s">
        <v>625</v>
      </c>
      <c r="AJ187" s="457">
        <f>+(0.459*100)/1.3</f>
        <v>35.307692307692307</v>
      </c>
      <c r="AK187" s="457">
        <f>+AJ187*C4</f>
        <v>3.5307692307692307</v>
      </c>
      <c r="AL187" s="457">
        <f>+AJ187*D4</f>
        <v>15.888461538461538</v>
      </c>
      <c r="AM187" s="457">
        <v>15.89</v>
      </c>
      <c r="AN187" s="457">
        <v>0</v>
      </c>
      <c r="AO187" s="157" t="s">
        <v>633</v>
      </c>
      <c r="AP187" s="198" t="s">
        <v>202</v>
      </c>
      <c r="AQ187" s="193" t="s">
        <v>87</v>
      </c>
      <c r="AR187" s="198">
        <v>100</v>
      </c>
      <c r="AS187" s="301">
        <v>154</v>
      </c>
      <c r="AT187" s="301">
        <v>18.580525618295091</v>
      </c>
      <c r="AU187" s="301">
        <v>32</v>
      </c>
      <c r="AV187" s="301">
        <v>3</v>
      </c>
      <c r="AW187" s="301">
        <v>0</v>
      </c>
      <c r="AX187" s="198">
        <v>54</v>
      </c>
      <c r="AY187" s="303">
        <v>19077588107.5</v>
      </c>
      <c r="AZ187" s="303">
        <v>6564185933.5</v>
      </c>
      <c r="BA187" s="303">
        <v>1941660000</v>
      </c>
      <c r="BB187" s="303">
        <v>8618366974</v>
      </c>
      <c r="BC187" s="305">
        <f>SUM(AY187:BB187)</f>
        <v>36201801015</v>
      </c>
      <c r="BD187" s="193" t="s">
        <v>607</v>
      </c>
      <c r="BE187" s="193" t="s">
        <v>608</v>
      </c>
    </row>
    <row r="188" spans="1:57" ht="33.75">
      <c r="A188" s="571"/>
      <c r="B188" s="572"/>
      <c r="C188" s="572"/>
      <c r="D188" s="572"/>
      <c r="E188" s="572"/>
      <c r="F188" s="572"/>
      <c r="G188" s="572"/>
      <c r="H188" s="4"/>
      <c r="I188" s="4"/>
      <c r="J188" s="4"/>
      <c r="K188" s="4"/>
      <c r="L188" s="4"/>
      <c r="M188" s="4"/>
      <c r="N188" s="4"/>
      <c r="O188" s="192"/>
      <c r="P188" s="4"/>
      <c r="Q188" s="4"/>
      <c r="R188" s="4"/>
      <c r="S188" s="4"/>
      <c r="T188" s="267" t="s">
        <v>616</v>
      </c>
      <c r="U188" s="268" t="s">
        <v>202</v>
      </c>
      <c r="V188" s="157" t="s">
        <v>87</v>
      </c>
      <c r="W188" s="198">
        <v>29650</v>
      </c>
      <c r="X188" s="198">
        <v>29725</v>
      </c>
      <c r="Y188" s="198">
        <v>29650</v>
      </c>
      <c r="Z188" s="198">
        <v>29710</v>
      </c>
      <c r="AA188" s="198">
        <v>29720</v>
      </c>
      <c r="AB188" s="198">
        <v>29725</v>
      </c>
      <c r="AC188" s="4"/>
      <c r="AD188" s="376"/>
      <c r="AE188" s="4"/>
      <c r="AF188" s="4"/>
      <c r="AG188" s="4"/>
      <c r="AH188" s="4"/>
      <c r="AI188" s="5" t="s">
        <v>626</v>
      </c>
      <c r="AJ188" s="457">
        <f>+(0.035*100)/1.3</f>
        <v>2.6923076923076925</v>
      </c>
      <c r="AK188" s="457">
        <f>+AJ188*C4</f>
        <v>0.26923076923076927</v>
      </c>
      <c r="AL188" s="457">
        <f>+AJ188*D4</f>
        <v>1.2115384615384617</v>
      </c>
      <c r="AM188" s="457">
        <f>+AJ188*E4</f>
        <v>0.67307692307692313</v>
      </c>
      <c r="AN188" s="457">
        <f>+AJ188*F4</f>
        <v>0.53846153846153855</v>
      </c>
      <c r="AO188" s="157" t="s">
        <v>634</v>
      </c>
      <c r="AP188" s="198" t="s">
        <v>202</v>
      </c>
      <c r="AQ188" s="193" t="s">
        <v>87</v>
      </c>
      <c r="AR188" s="198">
        <v>189</v>
      </c>
      <c r="AS188" s="301">
        <v>471</v>
      </c>
      <c r="AT188" s="301">
        <v>141</v>
      </c>
      <c r="AU188" s="301">
        <v>18</v>
      </c>
      <c r="AV188" s="301">
        <v>62</v>
      </c>
      <c r="AW188" s="301">
        <v>61</v>
      </c>
      <c r="AX188" s="198">
        <v>282</v>
      </c>
      <c r="AY188" s="303">
        <v>2000000000</v>
      </c>
      <c r="AZ188" s="303">
        <v>1000000000</v>
      </c>
      <c r="BA188" s="303">
        <v>1000000000</v>
      </c>
      <c r="BB188" s="303">
        <v>0</v>
      </c>
      <c r="BC188" s="305">
        <f t="shared" ref="BC188:BC196" si="39">SUM(AY188:BB188)</f>
        <v>4000000000</v>
      </c>
      <c r="BD188" s="193" t="s">
        <v>607</v>
      </c>
      <c r="BE188" s="193" t="s">
        <v>608</v>
      </c>
    </row>
    <row r="189" spans="1:57" ht="33.75">
      <c r="A189" s="571"/>
      <c r="B189" s="572"/>
      <c r="C189" s="572"/>
      <c r="D189" s="572"/>
      <c r="E189" s="572"/>
      <c r="F189" s="572"/>
      <c r="G189" s="572"/>
      <c r="H189" s="4"/>
      <c r="I189" s="4"/>
      <c r="J189" s="4"/>
      <c r="K189" s="4"/>
      <c r="L189" s="4"/>
      <c r="M189" s="4"/>
      <c r="N189" s="4"/>
      <c r="O189" s="192"/>
      <c r="P189" s="4"/>
      <c r="Q189" s="4"/>
      <c r="R189" s="4"/>
      <c r="S189" s="4"/>
      <c r="T189" s="267" t="s">
        <v>617</v>
      </c>
      <c r="U189" s="268" t="s">
        <v>202</v>
      </c>
      <c r="V189" s="157" t="s">
        <v>87</v>
      </c>
      <c r="W189" s="198">
        <v>18307</v>
      </c>
      <c r="X189" s="198">
        <v>18513</v>
      </c>
      <c r="Y189" s="198">
        <v>18350</v>
      </c>
      <c r="Z189" s="198">
        <v>18450</v>
      </c>
      <c r="AA189" s="198">
        <v>18500</v>
      </c>
      <c r="AB189" s="198">
        <v>18513</v>
      </c>
      <c r="AC189" s="4"/>
      <c r="AD189" s="4"/>
      <c r="AE189" s="4"/>
      <c r="AF189" s="4"/>
      <c r="AG189" s="4"/>
      <c r="AH189" s="4"/>
      <c r="AI189" s="5" t="s">
        <v>627</v>
      </c>
      <c r="AJ189" s="457">
        <f>+(0.274*100)/1.3</f>
        <v>21.076923076923077</v>
      </c>
      <c r="AK189" s="457">
        <f>+AJ189*C4</f>
        <v>2.1076923076923078</v>
      </c>
      <c r="AL189" s="457">
        <f>+AJ189*D4</f>
        <v>9.4846153846153847</v>
      </c>
      <c r="AM189" s="457">
        <f>+AJ189*E4</f>
        <v>5.2692307692307692</v>
      </c>
      <c r="AN189" s="457">
        <f>+AJ189*F4</f>
        <v>4.2153846153846155</v>
      </c>
      <c r="AO189" s="157" t="s">
        <v>635</v>
      </c>
      <c r="AP189" s="198" t="s">
        <v>202</v>
      </c>
      <c r="AQ189" s="193" t="s">
        <v>87</v>
      </c>
      <c r="AR189" s="198">
        <v>74</v>
      </c>
      <c r="AS189" s="301">
        <v>134</v>
      </c>
      <c r="AT189" s="301">
        <v>18.508109501467956</v>
      </c>
      <c r="AU189" s="301">
        <v>9.2540547507339781</v>
      </c>
      <c r="AV189" s="301">
        <v>21.592794418379281</v>
      </c>
      <c r="AW189" s="301">
        <v>10.645041329418786</v>
      </c>
      <c r="AX189" s="198">
        <v>60</v>
      </c>
      <c r="AY189" s="303">
        <v>9725466557.5499992</v>
      </c>
      <c r="AZ189" s="303">
        <v>3000000000</v>
      </c>
      <c r="BA189" s="303">
        <v>1500000000</v>
      </c>
      <c r="BB189" s="303">
        <v>3500000000</v>
      </c>
      <c r="BC189" s="305">
        <f t="shared" si="39"/>
        <v>17725466557.549999</v>
      </c>
      <c r="BD189" s="193" t="s">
        <v>607</v>
      </c>
      <c r="BE189" s="193" t="s">
        <v>608</v>
      </c>
    </row>
    <row r="190" spans="1:57" ht="33.75">
      <c r="A190" s="571"/>
      <c r="B190" s="572"/>
      <c r="C190" s="572"/>
      <c r="D190" s="572"/>
      <c r="E190" s="572"/>
      <c r="F190" s="572"/>
      <c r="G190" s="572"/>
      <c r="H190" s="4"/>
      <c r="I190" s="4"/>
      <c r="J190" s="4"/>
      <c r="K190" s="4"/>
      <c r="L190" s="4"/>
      <c r="M190" s="4"/>
      <c r="N190" s="4"/>
      <c r="O190" s="192"/>
      <c r="P190" s="4"/>
      <c r="Q190" s="4"/>
      <c r="R190" s="4"/>
      <c r="S190" s="4"/>
      <c r="T190" s="157" t="s">
        <v>618</v>
      </c>
      <c r="U190" s="650" t="s">
        <v>202</v>
      </c>
      <c r="V190" s="353" t="s">
        <v>87</v>
      </c>
      <c r="W190" s="353">
        <v>5914</v>
      </c>
      <c r="X190" s="353">
        <v>5981</v>
      </c>
      <c r="Y190" s="353">
        <v>5920</v>
      </c>
      <c r="Z190" s="353">
        <v>5960</v>
      </c>
      <c r="AA190" s="353">
        <v>5970</v>
      </c>
      <c r="AB190" s="353">
        <v>5981</v>
      </c>
      <c r="AC190" s="4"/>
      <c r="AD190" s="4"/>
      <c r="AE190" s="4"/>
      <c r="AF190" s="4"/>
      <c r="AG190" s="4"/>
      <c r="AH190" s="4"/>
      <c r="AI190" s="5" t="s">
        <v>628</v>
      </c>
      <c r="AJ190" s="457">
        <f>+(0.012*100)/1.3</f>
        <v>0.92307692307692302</v>
      </c>
      <c r="AK190" s="457">
        <f>+AJ190*C4</f>
        <v>9.2307692307692313E-2</v>
      </c>
      <c r="AL190" s="457">
        <f>+AJ190*D4</f>
        <v>0.41538461538461535</v>
      </c>
      <c r="AM190" s="457">
        <v>0.42</v>
      </c>
      <c r="AN190" s="457">
        <v>0</v>
      </c>
      <c r="AO190" s="157" t="s">
        <v>636</v>
      </c>
      <c r="AP190" s="198" t="s">
        <v>202</v>
      </c>
      <c r="AQ190" s="193" t="s">
        <v>87</v>
      </c>
      <c r="AR190" s="198">
        <v>6000</v>
      </c>
      <c r="AS190" s="301">
        <v>8000</v>
      </c>
      <c r="AT190" s="301">
        <v>740.74074074074076</v>
      </c>
      <c r="AU190" s="301">
        <v>320</v>
      </c>
      <c r="AV190" s="301">
        <v>630</v>
      </c>
      <c r="AW190" s="301">
        <v>309</v>
      </c>
      <c r="AX190" s="198">
        <v>2000</v>
      </c>
      <c r="AY190" s="303">
        <v>540000000</v>
      </c>
      <c r="AZ190" s="303">
        <v>200000000</v>
      </c>
      <c r="BA190" s="303">
        <v>240000000</v>
      </c>
      <c r="BB190" s="303">
        <v>100000000</v>
      </c>
      <c r="BC190" s="305">
        <f t="shared" si="39"/>
        <v>1080000000</v>
      </c>
      <c r="BD190" s="193" t="s">
        <v>607</v>
      </c>
      <c r="BE190" s="193" t="s">
        <v>608</v>
      </c>
    </row>
    <row r="191" spans="1:57" ht="22.5">
      <c r="A191" s="571"/>
      <c r="B191" s="572"/>
      <c r="C191" s="572"/>
      <c r="D191" s="572"/>
      <c r="E191" s="572"/>
      <c r="F191" s="572"/>
      <c r="G191" s="572"/>
      <c r="H191" s="4"/>
      <c r="I191" s="4"/>
      <c r="J191" s="4"/>
      <c r="K191" s="4"/>
      <c r="L191" s="4"/>
      <c r="M191" s="4"/>
      <c r="N191" s="5"/>
      <c r="O191" s="193"/>
      <c r="P191" s="5"/>
      <c r="Q191" s="5"/>
      <c r="R191" s="5"/>
      <c r="S191" s="5"/>
      <c r="T191" s="5"/>
      <c r="U191" s="651"/>
      <c r="V191" s="652"/>
      <c r="W191" s="652"/>
      <c r="X191" s="652"/>
      <c r="Y191" s="652"/>
      <c r="Z191" s="652"/>
      <c r="AA191" s="652"/>
      <c r="AB191" s="652"/>
      <c r="AC191" s="4"/>
      <c r="AD191" s="4"/>
      <c r="AE191" s="4"/>
      <c r="AF191" s="4"/>
      <c r="AG191" s="4"/>
      <c r="AH191" s="4"/>
      <c r="AI191" s="5" t="s">
        <v>629</v>
      </c>
      <c r="AJ191" s="457">
        <f>+(0.05*100)/1.3</f>
        <v>3.8461538461538458</v>
      </c>
      <c r="AK191" s="457">
        <f>+AJ191*C4</f>
        <v>0.38461538461538458</v>
      </c>
      <c r="AL191" s="457">
        <v>0</v>
      </c>
      <c r="AM191" s="457">
        <v>1.73</v>
      </c>
      <c r="AN191" s="457">
        <v>1.73</v>
      </c>
      <c r="AO191" s="157" t="s">
        <v>637</v>
      </c>
      <c r="AP191" s="198" t="s">
        <v>202</v>
      </c>
      <c r="AQ191" s="193" t="s">
        <v>87</v>
      </c>
      <c r="AR191" s="198">
        <v>0</v>
      </c>
      <c r="AS191" s="301">
        <v>2000</v>
      </c>
      <c r="AT191" s="301">
        <v>0</v>
      </c>
      <c r="AU191" s="301">
        <v>0</v>
      </c>
      <c r="AV191" s="301">
        <v>1000</v>
      </c>
      <c r="AW191" s="301">
        <v>1000</v>
      </c>
      <c r="AX191" s="198">
        <v>2000</v>
      </c>
      <c r="AY191" s="303">
        <v>350000000</v>
      </c>
      <c r="AZ191" s="303">
        <v>0</v>
      </c>
      <c r="BA191" s="303">
        <v>200000000</v>
      </c>
      <c r="BB191" s="303">
        <v>150000000</v>
      </c>
      <c r="BC191" s="305">
        <f t="shared" si="39"/>
        <v>700000000</v>
      </c>
      <c r="BD191" s="193" t="s">
        <v>607</v>
      </c>
      <c r="BE191" s="193" t="s">
        <v>608</v>
      </c>
    </row>
    <row r="192" spans="1:57" ht="45">
      <c r="A192" s="571"/>
      <c r="B192" s="572"/>
      <c r="C192" s="572"/>
      <c r="D192" s="572"/>
      <c r="E192" s="572"/>
      <c r="F192" s="572"/>
      <c r="G192" s="572"/>
      <c r="H192" s="4"/>
      <c r="I192" s="4"/>
      <c r="J192" s="4"/>
      <c r="K192" s="4"/>
      <c r="L192" s="4"/>
      <c r="M192" s="4"/>
      <c r="N192" s="157" t="s">
        <v>610</v>
      </c>
      <c r="O192" s="415">
        <f>+(0.33*100)/7</f>
        <v>4.7142857142857144</v>
      </c>
      <c r="P192" s="158">
        <f>+O192*C4</f>
        <v>0.47142857142857147</v>
      </c>
      <c r="Q192" s="158">
        <f>+O192*D4</f>
        <v>2.1214285714285714</v>
      </c>
      <c r="R192" s="158">
        <f>+O192*E4</f>
        <v>1.1785714285714286</v>
      </c>
      <c r="S192" s="158">
        <f>+O192*F4</f>
        <v>0.94285714285714295</v>
      </c>
      <c r="T192" s="267" t="s">
        <v>619</v>
      </c>
      <c r="U192" s="268" t="s">
        <v>1454</v>
      </c>
      <c r="V192" s="157" t="s">
        <v>88</v>
      </c>
      <c r="W192" s="575">
        <v>7.6999999999999999E-2</v>
      </c>
      <c r="X192" s="575">
        <v>5.7000000000000002E-2</v>
      </c>
      <c r="Y192" s="302">
        <v>7.4999999999999997E-2</v>
      </c>
      <c r="Z192" s="302">
        <v>6.5000000000000002E-2</v>
      </c>
      <c r="AA192" s="302">
        <v>0.06</v>
      </c>
      <c r="AB192" s="302">
        <v>5.7000000000000002E-2</v>
      </c>
      <c r="AC192" s="4"/>
      <c r="AD192" s="4"/>
      <c r="AE192" s="4"/>
      <c r="AF192" s="4"/>
      <c r="AG192" s="4"/>
      <c r="AH192" s="4"/>
      <c r="AI192" s="5" t="s">
        <v>630</v>
      </c>
      <c r="AJ192" s="457">
        <f>+(0.202*100)/1.3</f>
        <v>15.53846153846154</v>
      </c>
      <c r="AK192" s="457">
        <f>+AJ192*C4</f>
        <v>1.5538461538461541</v>
      </c>
      <c r="AL192" s="457">
        <f>+AJ192*D4</f>
        <v>6.9923076923076932</v>
      </c>
      <c r="AM192" s="457">
        <f>+AJ192*E4</f>
        <v>3.884615384615385</v>
      </c>
      <c r="AN192" s="457">
        <f>+AJ192*F4</f>
        <v>3.1076923076923082</v>
      </c>
      <c r="AO192" s="157" t="s">
        <v>636</v>
      </c>
      <c r="AP192" s="198" t="s">
        <v>202</v>
      </c>
      <c r="AQ192" s="193" t="s">
        <v>87</v>
      </c>
      <c r="AR192" s="198">
        <v>35000</v>
      </c>
      <c r="AS192" s="301">
        <v>40000</v>
      </c>
      <c r="AT192" s="301">
        <v>10541.660711733601</v>
      </c>
      <c r="AU192" s="301">
        <v>35200</v>
      </c>
      <c r="AV192" s="301">
        <v>35200</v>
      </c>
      <c r="AW192" s="301">
        <v>35200</v>
      </c>
      <c r="AX192" s="198">
        <v>40000</v>
      </c>
      <c r="AY192" s="303">
        <v>7000000000</v>
      </c>
      <c r="AZ192" s="303">
        <v>1844000000</v>
      </c>
      <c r="BA192" s="303">
        <v>1800000000</v>
      </c>
      <c r="BB192" s="303">
        <v>1800000000</v>
      </c>
      <c r="BC192" s="305">
        <f t="shared" si="39"/>
        <v>12444000000</v>
      </c>
      <c r="BD192" s="193" t="s">
        <v>607</v>
      </c>
      <c r="BE192" s="193" t="s">
        <v>608</v>
      </c>
    </row>
    <row r="193" spans="1:57" ht="33.75">
      <c r="A193" s="571"/>
      <c r="B193" s="572"/>
      <c r="C193" s="572"/>
      <c r="D193" s="572"/>
      <c r="E193" s="572"/>
      <c r="F193" s="572"/>
      <c r="G193" s="572"/>
      <c r="H193" s="4"/>
      <c r="I193" s="4"/>
      <c r="J193" s="4"/>
      <c r="K193" s="4"/>
      <c r="L193" s="4"/>
      <c r="M193" s="4"/>
      <c r="N193" s="157" t="s">
        <v>611</v>
      </c>
      <c r="O193" s="415">
        <f>+(0.33*100)/7</f>
        <v>4.7142857142857144</v>
      </c>
      <c r="P193" s="158">
        <f>+O193*C4</f>
        <v>0.47142857142857147</v>
      </c>
      <c r="Q193" s="158">
        <f>+O193*D4</f>
        <v>2.1214285714285714</v>
      </c>
      <c r="R193" s="158">
        <f>+O193*E4</f>
        <v>1.1785714285714286</v>
      </c>
      <c r="S193" s="158">
        <f>+O193*F4</f>
        <v>0.94285714285714295</v>
      </c>
      <c r="T193" s="267" t="s">
        <v>620</v>
      </c>
      <c r="U193" s="268" t="s">
        <v>1454</v>
      </c>
      <c r="V193" s="157" t="s">
        <v>88</v>
      </c>
      <c r="W193" s="575">
        <v>5.4699999999999999E-2</v>
      </c>
      <c r="X193" s="575">
        <v>0.04</v>
      </c>
      <c r="Y193" s="302">
        <v>5.3999999999999999E-2</v>
      </c>
      <c r="Z193" s="302">
        <v>4.4999999999999998E-2</v>
      </c>
      <c r="AA193" s="302">
        <v>4.2000000000000003E-2</v>
      </c>
      <c r="AB193" s="302">
        <v>0.04</v>
      </c>
      <c r="AC193" s="4"/>
      <c r="AD193" s="4"/>
      <c r="AE193" s="4"/>
      <c r="AF193" s="4"/>
      <c r="AG193" s="4"/>
      <c r="AH193" s="4"/>
      <c r="AI193" s="157" t="s">
        <v>631</v>
      </c>
      <c r="AJ193" s="457">
        <f>+(0.195*100)/1.3</f>
        <v>15</v>
      </c>
      <c r="AK193" s="457">
        <f>+AJ193*C4</f>
        <v>1.5</v>
      </c>
      <c r="AL193" s="457">
        <f>+AJ193*D4</f>
        <v>6.75</v>
      </c>
      <c r="AM193" s="457">
        <f>+AJ193*E4</f>
        <v>3.75</v>
      </c>
      <c r="AN193" s="457">
        <f>+AJ193*F4</f>
        <v>3</v>
      </c>
      <c r="AO193" s="157" t="s">
        <v>638</v>
      </c>
      <c r="AP193" s="198" t="s">
        <v>203</v>
      </c>
      <c r="AQ193" s="198" t="s">
        <v>87</v>
      </c>
      <c r="AR193" s="198">
        <v>5231</v>
      </c>
      <c r="AS193" s="301">
        <v>6000</v>
      </c>
      <c r="AT193" s="301">
        <v>6000</v>
      </c>
      <c r="AU193" s="301">
        <v>6000</v>
      </c>
      <c r="AV193" s="301">
        <v>6000</v>
      </c>
      <c r="AW193" s="301">
        <v>6000</v>
      </c>
      <c r="AX193" s="198">
        <v>6000</v>
      </c>
      <c r="AY193" s="303">
        <v>6750000000</v>
      </c>
      <c r="AZ193" s="303">
        <v>1894993001.46</v>
      </c>
      <c r="BA193" s="303">
        <v>1755006998.54</v>
      </c>
      <c r="BB193" s="303">
        <v>1600000000</v>
      </c>
      <c r="BC193" s="305">
        <f t="shared" si="39"/>
        <v>12000000000</v>
      </c>
      <c r="BD193" s="198" t="s">
        <v>607</v>
      </c>
      <c r="BE193" s="198" t="s">
        <v>608</v>
      </c>
    </row>
    <row r="194" spans="1:57" ht="33.75">
      <c r="A194" s="571"/>
      <c r="B194" s="572"/>
      <c r="C194" s="572"/>
      <c r="D194" s="572"/>
      <c r="E194" s="572"/>
      <c r="F194" s="572"/>
      <c r="G194" s="572"/>
      <c r="H194" s="4"/>
      <c r="I194" s="4"/>
      <c r="J194" s="4"/>
      <c r="K194" s="4"/>
      <c r="L194" s="4"/>
      <c r="M194" s="4"/>
      <c r="N194" s="157" t="s">
        <v>612</v>
      </c>
      <c r="O194" s="415">
        <f>+(0.33*100)/7</f>
        <v>4.7142857142857144</v>
      </c>
      <c r="P194" s="158">
        <f>+O194*C4</f>
        <v>0.47142857142857147</v>
      </c>
      <c r="Q194" s="158">
        <f>+P194*D4</f>
        <v>0.21214285714285716</v>
      </c>
      <c r="R194" s="158">
        <f>+Q194*E4</f>
        <v>5.303571428571429E-2</v>
      </c>
      <c r="S194" s="158">
        <f>+R194*F4</f>
        <v>1.0607142857142858E-2</v>
      </c>
      <c r="T194" s="267" t="s">
        <v>621</v>
      </c>
      <c r="U194" s="268" t="s">
        <v>1454</v>
      </c>
      <c r="V194" s="157" t="s">
        <v>88</v>
      </c>
      <c r="W194" s="575">
        <v>0.1</v>
      </c>
      <c r="X194" s="575">
        <v>0.08</v>
      </c>
      <c r="Y194" s="302">
        <v>9.5000000000000001E-2</v>
      </c>
      <c r="Z194" s="302">
        <v>8.5000000000000006E-2</v>
      </c>
      <c r="AA194" s="302">
        <v>8.2000000000000003E-2</v>
      </c>
      <c r="AB194" s="302">
        <v>0.08</v>
      </c>
      <c r="AC194" s="4"/>
      <c r="AD194" s="4"/>
      <c r="AE194" s="4"/>
      <c r="AF194" s="4"/>
      <c r="AG194" s="4"/>
      <c r="AH194" s="4"/>
      <c r="AI194" s="4"/>
      <c r="AJ194" s="587"/>
      <c r="AK194" s="587"/>
      <c r="AL194" s="587"/>
      <c r="AM194" s="587"/>
      <c r="AN194" s="587"/>
      <c r="AO194" s="4"/>
      <c r="AP194" s="192"/>
      <c r="AQ194" s="4"/>
      <c r="AR194" s="192"/>
      <c r="AS194" s="653"/>
      <c r="AT194" s="653"/>
      <c r="AU194" s="653"/>
      <c r="AV194" s="653"/>
      <c r="AW194" s="653"/>
      <c r="AX194" s="192"/>
      <c r="AY194" s="271"/>
      <c r="AZ194" s="271"/>
      <c r="BA194" s="271"/>
      <c r="BB194" s="271"/>
      <c r="BC194" s="654"/>
      <c r="BD194" s="192"/>
      <c r="BE194" s="192"/>
    </row>
    <row r="195" spans="1:57" ht="33.75">
      <c r="A195" s="571"/>
      <c r="B195" s="572"/>
      <c r="C195" s="572"/>
      <c r="D195" s="572"/>
      <c r="E195" s="572"/>
      <c r="F195" s="572"/>
      <c r="G195" s="572"/>
      <c r="H195" s="4"/>
      <c r="I195" s="4"/>
      <c r="J195" s="4"/>
      <c r="K195" s="4"/>
      <c r="L195" s="4"/>
      <c r="M195" s="4"/>
      <c r="N195" s="157" t="s">
        <v>613</v>
      </c>
      <c r="O195" s="415">
        <f>+(0.33*100)/7</f>
        <v>4.7142857142857144</v>
      </c>
      <c r="P195" s="158">
        <f>+O195*C4</f>
        <v>0.47142857142857147</v>
      </c>
      <c r="Q195" s="158">
        <f>+O195*D4</f>
        <v>2.1214285714285714</v>
      </c>
      <c r="R195" s="158">
        <f>+O195*E4</f>
        <v>1.1785714285714286</v>
      </c>
      <c r="S195" s="158">
        <f>+O195*F4</f>
        <v>0.94285714285714295</v>
      </c>
      <c r="T195" s="267" t="s">
        <v>622</v>
      </c>
      <c r="U195" s="268" t="s">
        <v>1454</v>
      </c>
      <c r="V195" s="157" t="s">
        <v>88</v>
      </c>
      <c r="W195" s="655">
        <v>6.54E-2</v>
      </c>
      <c r="X195" s="655">
        <v>0.05</v>
      </c>
      <c r="Y195" s="302">
        <v>6.2E-2</v>
      </c>
      <c r="Z195" s="302">
        <v>5.5E-2</v>
      </c>
      <c r="AA195" s="302">
        <v>5.1999999999999998E-2</v>
      </c>
      <c r="AB195" s="302">
        <v>0.05</v>
      </c>
      <c r="AC195" s="4"/>
      <c r="AD195" s="4"/>
      <c r="AE195" s="4"/>
      <c r="AF195" s="4"/>
      <c r="AG195" s="4"/>
      <c r="AH195" s="4"/>
      <c r="AI195" s="5"/>
      <c r="AJ195" s="590"/>
      <c r="AK195" s="590"/>
      <c r="AL195" s="590"/>
      <c r="AM195" s="590"/>
      <c r="AN195" s="590"/>
      <c r="AO195" s="5"/>
      <c r="AP195" s="193"/>
      <c r="AQ195" s="5"/>
      <c r="AR195" s="193"/>
      <c r="AS195" s="648"/>
      <c r="AT195" s="648"/>
      <c r="AU195" s="648"/>
      <c r="AV195" s="648"/>
      <c r="AW195" s="648"/>
      <c r="AX195" s="193"/>
      <c r="AY195" s="70"/>
      <c r="AZ195" s="70"/>
      <c r="BA195" s="70"/>
      <c r="BB195" s="70"/>
      <c r="BC195" s="266"/>
      <c r="BD195" s="193"/>
      <c r="BE195" s="193"/>
    </row>
    <row r="196" spans="1:57" ht="45">
      <c r="A196" s="571"/>
      <c r="B196" s="572"/>
      <c r="C196" s="572"/>
      <c r="D196" s="572"/>
      <c r="E196" s="572"/>
      <c r="F196" s="572"/>
      <c r="G196" s="572"/>
      <c r="H196" s="4"/>
      <c r="I196" s="4"/>
      <c r="J196" s="4"/>
      <c r="K196" s="4"/>
      <c r="L196" s="4"/>
      <c r="M196" s="4"/>
      <c r="N196" s="157" t="s">
        <v>614</v>
      </c>
      <c r="O196" s="404">
        <f>+(0.33*100)/7</f>
        <v>4.7142857142857144</v>
      </c>
      <c r="P196" s="158">
        <f>+O196*C4</f>
        <v>0.47142857142857147</v>
      </c>
      <c r="Q196" s="158">
        <f>+O196*D4</f>
        <v>2.1214285714285714</v>
      </c>
      <c r="R196" s="158">
        <f>+O196*E4</f>
        <v>1.1785714285714286</v>
      </c>
      <c r="S196" s="158">
        <f>+O196*F4</f>
        <v>0.94285714285714295</v>
      </c>
      <c r="T196" s="267" t="s">
        <v>623</v>
      </c>
      <c r="U196" s="268" t="s">
        <v>1454</v>
      </c>
      <c r="V196" s="157" t="s">
        <v>88</v>
      </c>
      <c r="W196" s="655">
        <v>0.1</v>
      </c>
      <c r="X196" s="655">
        <v>0.08</v>
      </c>
      <c r="Y196" s="302">
        <v>9.8000000000000004E-2</v>
      </c>
      <c r="Z196" s="302">
        <v>8.5000000000000006E-2</v>
      </c>
      <c r="AA196" s="302">
        <v>8.2000000000000003E-2</v>
      </c>
      <c r="AB196" s="302">
        <v>0.08</v>
      </c>
      <c r="AC196" s="5"/>
      <c r="AD196" s="5"/>
      <c r="AE196" s="5"/>
      <c r="AF196" s="5"/>
      <c r="AG196" s="5"/>
      <c r="AH196" s="5"/>
      <c r="AI196" s="5" t="s">
        <v>632</v>
      </c>
      <c r="AJ196" s="457">
        <f>+(0.072*100)/1.3</f>
        <v>5.5384615384615374</v>
      </c>
      <c r="AK196" s="457">
        <f>+AJ196*C4</f>
        <v>0.55384615384615377</v>
      </c>
      <c r="AL196" s="457">
        <f>+AJ196*D4</f>
        <v>2.4923076923076919</v>
      </c>
      <c r="AM196" s="457">
        <f>+AJ196*E4</f>
        <v>1.3846153846153844</v>
      </c>
      <c r="AN196" s="457">
        <f>+AJ196*F4</f>
        <v>1.1076923076923075</v>
      </c>
      <c r="AO196" s="267" t="s">
        <v>639</v>
      </c>
      <c r="AP196" s="268" t="s">
        <v>202</v>
      </c>
      <c r="AQ196" s="193" t="s">
        <v>87</v>
      </c>
      <c r="AR196" s="268">
        <v>560</v>
      </c>
      <c r="AS196" s="656">
        <v>3560</v>
      </c>
      <c r="AT196" s="656">
        <v>1230.7692307692307</v>
      </c>
      <c r="AU196" s="656">
        <v>900</v>
      </c>
      <c r="AV196" s="656">
        <v>435</v>
      </c>
      <c r="AW196" s="656">
        <v>434</v>
      </c>
      <c r="AX196" s="268">
        <v>3000</v>
      </c>
      <c r="AY196" s="272">
        <v>2550000000</v>
      </c>
      <c r="AZ196" s="272">
        <v>800000000</v>
      </c>
      <c r="BA196" s="272">
        <v>600000000</v>
      </c>
      <c r="BB196" s="272">
        <v>600000000</v>
      </c>
      <c r="BC196" s="305">
        <f t="shared" si="39"/>
        <v>4550000000</v>
      </c>
      <c r="BD196" s="193" t="s">
        <v>607</v>
      </c>
      <c r="BE196" s="193" t="s">
        <v>608</v>
      </c>
    </row>
    <row r="197" spans="1:57">
      <c r="A197" s="571"/>
      <c r="B197" s="572"/>
      <c r="C197" s="572"/>
      <c r="D197" s="572"/>
      <c r="E197" s="572"/>
      <c r="F197" s="572"/>
      <c r="G197" s="572"/>
      <c r="H197" s="4"/>
      <c r="I197" s="4"/>
      <c r="J197" s="4"/>
      <c r="K197" s="4"/>
      <c r="L197" s="4"/>
      <c r="M197" s="4"/>
      <c r="N197" s="229"/>
      <c r="O197" s="231"/>
      <c r="P197" s="209"/>
      <c r="Q197" s="209"/>
      <c r="R197" s="209"/>
      <c r="S197" s="20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349" t="s">
        <v>1453</v>
      </c>
      <c r="AD197" s="420">
        <f>SUM(AD187:AD196)</f>
        <v>29.62962962962963</v>
      </c>
      <c r="AE197" s="382"/>
      <c r="AF197" s="382"/>
      <c r="AG197" s="382"/>
      <c r="AH197" s="382"/>
      <c r="AI197" s="228"/>
      <c r="AJ197" s="437">
        <f>SUM(AJ187:AJ196)</f>
        <v>99.92307692307692</v>
      </c>
      <c r="AK197" s="437"/>
      <c r="AL197" s="437"/>
      <c r="AM197" s="437"/>
      <c r="AN197" s="437"/>
      <c r="AO197" s="228"/>
      <c r="AP197" s="228"/>
      <c r="AQ197" s="228"/>
      <c r="AR197" s="228"/>
      <c r="AS197" s="228"/>
      <c r="AT197" s="228"/>
      <c r="AU197" s="228"/>
      <c r="AV197" s="228"/>
      <c r="AW197" s="228"/>
      <c r="AX197" s="228"/>
      <c r="AY197" s="232">
        <f>SUM(AY187:AY196)</f>
        <v>47993054665.050003</v>
      </c>
      <c r="AZ197" s="232">
        <f t="shared" ref="AZ197:BC197" si="40">SUM(AZ187:AZ196)</f>
        <v>15303178934.959999</v>
      </c>
      <c r="BA197" s="232">
        <f t="shared" si="40"/>
        <v>9036666998.5400009</v>
      </c>
      <c r="BB197" s="232">
        <f t="shared" si="40"/>
        <v>16368366974</v>
      </c>
      <c r="BC197" s="232">
        <f t="shared" si="40"/>
        <v>88701267572.550003</v>
      </c>
      <c r="BD197" s="228"/>
      <c r="BE197" s="228"/>
    </row>
    <row r="198" spans="1:57" ht="45" customHeight="1">
      <c r="A198" s="571"/>
      <c r="B198" s="572"/>
      <c r="C198" s="572"/>
      <c r="D198" s="572"/>
      <c r="E198" s="572"/>
      <c r="F198" s="572"/>
      <c r="G198" s="572"/>
      <c r="H198" s="4"/>
      <c r="I198" s="4"/>
      <c r="J198" s="4"/>
      <c r="K198" s="4"/>
      <c r="L198" s="4"/>
      <c r="M198" s="4"/>
      <c r="N198" s="157" t="s">
        <v>640</v>
      </c>
      <c r="O198" s="404">
        <f>+(1*100)/7</f>
        <v>14.285714285714286</v>
      </c>
      <c r="P198" s="158">
        <f>+O198*C4</f>
        <v>1.4285714285714288</v>
      </c>
      <c r="Q198" s="158">
        <f>+O198*D4</f>
        <v>6.4285714285714288</v>
      </c>
      <c r="R198" s="158">
        <f>+O198*E4</f>
        <v>3.5714285714285716</v>
      </c>
      <c r="S198" s="158">
        <f>+O198*F4</f>
        <v>2.8571428571428577</v>
      </c>
      <c r="T198" s="267" t="s">
        <v>642</v>
      </c>
      <c r="U198" s="268" t="s">
        <v>202</v>
      </c>
      <c r="V198" s="267" t="s">
        <v>87</v>
      </c>
      <c r="W198" s="268">
        <v>410</v>
      </c>
      <c r="X198" s="268">
        <v>605</v>
      </c>
      <c r="Y198" s="268">
        <v>420</v>
      </c>
      <c r="Z198" s="268">
        <v>530</v>
      </c>
      <c r="AA198" s="268">
        <v>570</v>
      </c>
      <c r="AB198" s="268">
        <v>605</v>
      </c>
      <c r="AC198" s="4" t="s">
        <v>646</v>
      </c>
      <c r="AD198" s="404">
        <f>+(1.25*100)/6.75</f>
        <v>18.518518518518519</v>
      </c>
      <c r="AE198" s="404">
        <f>+AD198*C4</f>
        <v>1.8518518518518521</v>
      </c>
      <c r="AF198" s="404">
        <f>+AD198*D4</f>
        <v>8.3333333333333339</v>
      </c>
      <c r="AG198" s="404">
        <f>+AD198*E4</f>
        <v>4.6296296296296298</v>
      </c>
      <c r="AH198" s="404">
        <f>+AD198*F4</f>
        <v>3.7037037037037042</v>
      </c>
      <c r="AI198" s="267" t="s">
        <v>647</v>
      </c>
      <c r="AJ198" s="268">
        <f>+(0.182*100)/1.25</f>
        <v>14.559999999999999</v>
      </c>
      <c r="AK198" s="268">
        <f>+AJ198*C4</f>
        <v>1.456</v>
      </c>
      <c r="AL198" s="268">
        <v>0</v>
      </c>
      <c r="AM198" s="268">
        <v>6.5519999999999996</v>
      </c>
      <c r="AN198" s="268">
        <v>6.5519999999999996</v>
      </c>
      <c r="AO198" s="267" t="s">
        <v>658</v>
      </c>
      <c r="AP198" s="268" t="s">
        <v>202</v>
      </c>
      <c r="AQ198" s="268" t="s">
        <v>87</v>
      </c>
      <c r="AR198" s="268">
        <v>0</v>
      </c>
      <c r="AS198" s="268">
        <v>1200</v>
      </c>
      <c r="AT198" s="656">
        <v>560</v>
      </c>
      <c r="AU198" s="656">
        <v>0</v>
      </c>
      <c r="AV198" s="656">
        <v>320</v>
      </c>
      <c r="AW198" s="656">
        <v>320</v>
      </c>
      <c r="AX198" s="268">
        <v>1200</v>
      </c>
      <c r="AY198" s="272">
        <v>700000000</v>
      </c>
      <c r="AZ198" s="272">
        <v>600000000</v>
      </c>
      <c r="BA198" s="272">
        <v>500000000</v>
      </c>
      <c r="BB198" s="272">
        <v>0</v>
      </c>
      <c r="BC198" s="657">
        <f>SUM(AY198:BB198)</f>
        <v>1800000000</v>
      </c>
      <c r="BD198" s="193" t="s">
        <v>607</v>
      </c>
      <c r="BE198" s="193" t="s">
        <v>608</v>
      </c>
    </row>
    <row r="199" spans="1:57" ht="45" customHeight="1">
      <c r="A199" s="571"/>
      <c r="B199" s="572"/>
      <c r="C199" s="572"/>
      <c r="D199" s="572"/>
      <c r="E199" s="572"/>
      <c r="F199" s="572"/>
      <c r="G199" s="572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157" t="s">
        <v>643</v>
      </c>
      <c r="U199" s="192" t="s">
        <v>202</v>
      </c>
      <c r="V199" s="4" t="s">
        <v>87</v>
      </c>
      <c r="W199" s="192">
        <v>358</v>
      </c>
      <c r="X199" s="192">
        <v>565</v>
      </c>
      <c r="Y199" s="192">
        <v>365</v>
      </c>
      <c r="Z199" s="192">
        <v>470</v>
      </c>
      <c r="AA199" s="192">
        <v>530</v>
      </c>
      <c r="AB199" s="192">
        <v>565</v>
      </c>
      <c r="AC199" s="4"/>
      <c r="AD199" s="376"/>
      <c r="AE199" s="4"/>
      <c r="AF199" s="4"/>
      <c r="AG199" s="4"/>
      <c r="AH199" s="4"/>
      <c r="AI199" s="267" t="s">
        <v>648</v>
      </c>
      <c r="AJ199" s="268">
        <f>+(0.165*100)/1.25</f>
        <v>13.2</v>
      </c>
      <c r="AK199" s="268">
        <v>0</v>
      </c>
      <c r="AL199" s="268">
        <f>+AJ199</f>
        <v>13.2</v>
      </c>
      <c r="AM199" s="268">
        <v>0</v>
      </c>
      <c r="AN199" s="268">
        <v>0</v>
      </c>
      <c r="AO199" s="267" t="s">
        <v>659</v>
      </c>
      <c r="AP199" s="268" t="s">
        <v>202</v>
      </c>
      <c r="AQ199" s="268" t="s">
        <v>87</v>
      </c>
      <c r="AR199" s="268">
        <v>0</v>
      </c>
      <c r="AS199" s="268">
        <v>1</v>
      </c>
      <c r="AT199" s="656">
        <v>0.2857142857142857</v>
      </c>
      <c r="AU199" s="656">
        <v>1</v>
      </c>
      <c r="AV199" s="656">
        <v>0.21428571428571427</v>
      </c>
      <c r="AW199" s="656">
        <v>0.21428571428571427</v>
      </c>
      <c r="AX199" s="268">
        <v>1</v>
      </c>
      <c r="AY199" s="272">
        <v>400000000</v>
      </c>
      <c r="AZ199" s="272">
        <v>400000000</v>
      </c>
      <c r="BA199" s="272">
        <v>300000000</v>
      </c>
      <c r="BB199" s="272">
        <v>300000000</v>
      </c>
      <c r="BC199" s="657">
        <f t="shared" ref="BC199:BC208" si="41">SUM(AY199:BB199)</f>
        <v>1400000000</v>
      </c>
      <c r="BD199" s="193" t="s">
        <v>607</v>
      </c>
      <c r="BE199" s="193" t="s">
        <v>608</v>
      </c>
    </row>
    <row r="200" spans="1:57" ht="45">
      <c r="A200" s="571"/>
      <c r="B200" s="572"/>
      <c r="C200" s="572"/>
      <c r="D200" s="572"/>
      <c r="E200" s="572"/>
      <c r="F200" s="572"/>
      <c r="G200" s="572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5"/>
      <c r="U200" s="5"/>
      <c r="V200" s="5"/>
      <c r="W200" s="193"/>
      <c r="X200" s="193"/>
      <c r="Y200" s="5"/>
      <c r="Z200" s="5"/>
      <c r="AA200" s="5"/>
      <c r="AB200" s="5"/>
      <c r="AC200" s="4"/>
      <c r="AD200" s="4"/>
      <c r="AE200" s="4"/>
      <c r="AF200" s="4"/>
      <c r="AG200" s="4"/>
      <c r="AH200" s="4"/>
      <c r="AI200" s="267" t="s">
        <v>649</v>
      </c>
      <c r="AJ200" s="268">
        <f>+(0.137*100)/1.25</f>
        <v>10.96</v>
      </c>
      <c r="AK200" s="454">
        <f>+AJ200*C4</f>
        <v>1.0960000000000001</v>
      </c>
      <c r="AL200" s="454">
        <v>9.86</v>
      </c>
      <c r="AM200" s="454">
        <v>0</v>
      </c>
      <c r="AN200" s="454">
        <v>0</v>
      </c>
      <c r="AO200" s="267" t="s">
        <v>660</v>
      </c>
      <c r="AP200" s="268" t="s">
        <v>202</v>
      </c>
      <c r="AQ200" s="268" t="s">
        <v>87</v>
      </c>
      <c r="AR200" s="268">
        <v>264</v>
      </c>
      <c r="AS200" s="268">
        <v>564</v>
      </c>
      <c r="AT200" s="656">
        <v>80</v>
      </c>
      <c r="AU200" s="656">
        <v>220</v>
      </c>
      <c r="AV200" s="656">
        <v>0</v>
      </c>
      <c r="AW200" s="656">
        <v>0</v>
      </c>
      <c r="AX200" s="268">
        <v>300</v>
      </c>
      <c r="AY200" s="272">
        <v>400000000</v>
      </c>
      <c r="AZ200" s="272">
        <v>400000000</v>
      </c>
      <c r="BA200" s="272">
        <v>350000000</v>
      </c>
      <c r="BB200" s="272">
        <v>350000000</v>
      </c>
      <c r="BC200" s="657">
        <f t="shared" si="41"/>
        <v>1500000000</v>
      </c>
      <c r="BD200" s="193" t="s">
        <v>607</v>
      </c>
      <c r="BE200" s="193" t="s">
        <v>608</v>
      </c>
    </row>
    <row r="201" spans="1:57" ht="45">
      <c r="A201" s="571"/>
      <c r="B201" s="572"/>
      <c r="C201" s="572"/>
      <c r="D201" s="572"/>
      <c r="E201" s="572"/>
      <c r="F201" s="572"/>
      <c r="G201" s="572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 t="s">
        <v>644</v>
      </c>
      <c r="U201" s="192" t="s">
        <v>202</v>
      </c>
      <c r="V201" s="4" t="s">
        <v>87</v>
      </c>
      <c r="W201" s="192">
        <v>300</v>
      </c>
      <c r="X201" s="192">
        <v>350</v>
      </c>
      <c r="Y201" s="192">
        <v>310</v>
      </c>
      <c r="Z201" s="192">
        <v>335</v>
      </c>
      <c r="AA201" s="192">
        <v>345</v>
      </c>
      <c r="AB201" s="192">
        <v>350</v>
      </c>
      <c r="AC201" s="4"/>
      <c r="AD201" s="4"/>
      <c r="AE201" s="4"/>
      <c r="AF201" s="4"/>
      <c r="AG201" s="4"/>
      <c r="AH201" s="4"/>
      <c r="AI201" s="267" t="s">
        <v>650</v>
      </c>
      <c r="AJ201" s="268">
        <f>+(0.135*100)/1.25</f>
        <v>10.8</v>
      </c>
      <c r="AK201" s="454">
        <f>+AJ201*C4</f>
        <v>1.08</v>
      </c>
      <c r="AL201" s="268">
        <f>+AJ201*0.45</f>
        <v>4.8600000000000003</v>
      </c>
      <c r="AM201" s="268">
        <f>+AJ201*0.25</f>
        <v>2.7</v>
      </c>
      <c r="AN201" s="268">
        <f>+AJ201*0.2</f>
        <v>2.16</v>
      </c>
      <c r="AO201" s="267" t="s">
        <v>661</v>
      </c>
      <c r="AP201" s="268" t="s">
        <v>202</v>
      </c>
      <c r="AQ201" s="268" t="s">
        <v>87</v>
      </c>
      <c r="AR201" s="268">
        <v>0</v>
      </c>
      <c r="AS201" s="268">
        <v>1</v>
      </c>
      <c r="AT201" s="656">
        <v>1</v>
      </c>
      <c r="AU201" s="656">
        <v>1</v>
      </c>
      <c r="AV201" s="656">
        <v>1</v>
      </c>
      <c r="AW201" s="656">
        <v>1</v>
      </c>
      <c r="AX201" s="268">
        <v>1</v>
      </c>
      <c r="AY201" s="272">
        <v>400000000</v>
      </c>
      <c r="AZ201" s="272">
        <v>300000000</v>
      </c>
      <c r="BA201" s="272">
        <v>300000000</v>
      </c>
      <c r="BB201" s="272">
        <v>300000000</v>
      </c>
      <c r="BC201" s="657">
        <f t="shared" si="41"/>
        <v>1300000000</v>
      </c>
      <c r="BD201" s="193" t="s">
        <v>607</v>
      </c>
      <c r="BE201" s="193" t="s">
        <v>608</v>
      </c>
    </row>
    <row r="202" spans="1:57" ht="33.75">
      <c r="A202" s="571"/>
      <c r="B202" s="572"/>
      <c r="C202" s="572"/>
      <c r="D202" s="572"/>
      <c r="E202" s="572"/>
      <c r="F202" s="572"/>
      <c r="G202" s="572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192"/>
      <c r="X202" s="192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267" t="s">
        <v>651</v>
      </c>
      <c r="AJ202" s="268">
        <f>+(0.02*100)/1.25</f>
        <v>1.6</v>
      </c>
      <c r="AK202" s="268">
        <v>1.6</v>
      </c>
      <c r="AL202" s="268">
        <v>0</v>
      </c>
      <c r="AM202" s="268">
        <v>0</v>
      </c>
      <c r="AN202" s="268">
        <v>0</v>
      </c>
      <c r="AO202" s="267" t="s">
        <v>662</v>
      </c>
      <c r="AP202" s="268" t="s">
        <v>202</v>
      </c>
      <c r="AQ202" s="268" t="s">
        <v>87</v>
      </c>
      <c r="AR202" s="268">
        <v>0</v>
      </c>
      <c r="AS202" s="268">
        <v>1</v>
      </c>
      <c r="AT202" s="656">
        <v>0.54778512215608222</v>
      </c>
      <c r="AU202" s="656">
        <v>0.28484826352116277</v>
      </c>
      <c r="AV202" s="656">
        <v>0.16736661432275499</v>
      </c>
      <c r="AW202" s="656">
        <v>0</v>
      </c>
      <c r="AX202" s="268">
        <v>1</v>
      </c>
      <c r="AY202" s="272">
        <v>150000000</v>
      </c>
      <c r="AZ202" s="272">
        <v>78000000</v>
      </c>
      <c r="BA202" s="272">
        <v>45860000</v>
      </c>
      <c r="BB202" s="272">
        <v>0</v>
      </c>
      <c r="BC202" s="657">
        <f t="shared" si="41"/>
        <v>273860000</v>
      </c>
      <c r="BD202" s="193" t="s">
        <v>607</v>
      </c>
      <c r="BE202" s="193" t="s">
        <v>608</v>
      </c>
    </row>
    <row r="203" spans="1:57" ht="33.75">
      <c r="A203" s="571"/>
      <c r="B203" s="572"/>
      <c r="C203" s="572"/>
      <c r="D203" s="572"/>
      <c r="E203" s="572"/>
      <c r="F203" s="572"/>
      <c r="G203" s="572"/>
      <c r="H203" s="4"/>
      <c r="I203" s="4"/>
      <c r="J203" s="4"/>
      <c r="K203" s="4"/>
      <c r="L203" s="4"/>
      <c r="M203" s="4"/>
      <c r="N203" s="5"/>
      <c r="O203" s="5"/>
      <c r="P203" s="5"/>
      <c r="Q203" s="5"/>
      <c r="R203" s="5"/>
      <c r="S203" s="5"/>
      <c r="T203" s="5"/>
      <c r="U203" s="5"/>
      <c r="V203" s="5"/>
      <c r="W203" s="193"/>
      <c r="X203" s="193"/>
      <c r="Y203" s="5"/>
      <c r="Z203" s="5"/>
      <c r="AA203" s="5"/>
      <c r="AB203" s="5"/>
      <c r="AC203" s="4"/>
      <c r="AD203" s="4"/>
      <c r="AE203" s="4"/>
      <c r="AF203" s="4"/>
      <c r="AG203" s="4"/>
      <c r="AH203" s="4"/>
      <c r="AI203" s="267" t="s">
        <v>652</v>
      </c>
      <c r="AJ203" s="268">
        <f>+(0.185*100)/1.25</f>
        <v>14.8</v>
      </c>
      <c r="AK203" s="268">
        <f>+AJ203*C4</f>
        <v>1.4800000000000002</v>
      </c>
      <c r="AL203" s="268">
        <v>0</v>
      </c>
      <c r="AM203" s="268">
        <v>6.66</v>
      </c>
      <c r="AN203" s="268">
        <v>6.66</v>
      </c>
      <c r="AO203" s="267" t="s">
        <v>663</v>
      </c>
      <c r="AP203" s="268" t="s">
        <v>202</v>
      </c>
      <c r="AQ203" s="268" t="s">
        <v>87</v>
      </c>
      <c r="AR203" s="268">
        <v>0</v>
      </c>
      <c r="AS203" s="268">
        <v>14</v>
      </c>
      <c r="AT203" s="656">
        <v>3</v>
      </c>
      <c r="AU203" s="656">
        <v>0</v>
      </c>
      <c r="AV203" s="656">
        <v>6</v>
      </c>
      <c r="AW203" s="656">
        <v>6</v>
      </c>
      <c r="AX203" s="268">
        <v>14</v>
      </c>
      <c r="AY203" s="272">
        <v>600000000</v>
      </c>
      <c r="AZ203" s="272">
        <v>400000000</v>
      </c>
      <c r="BA203" s="272">
        <v>400000000</v>
      </c>
      <c r="BB203" s="272">
        <v>400000000</v>
      </c>
      <c r="BC203" s="657">
        <f t="shared" si="41"/>
        <v>1800000000</v>
      </c>
      <c r="BD203" s="193" t="s">
        <v>607</v>
      </c>
      <c r="BE203" s="193" t="s">
        <v>608</v>
      </c>
    </row>
    <row r="204" spans="1:57" ht="83.25" customHeight="1">
      <c r="A204" s="571"/>
      <c r="B204" s="572"/>
      <c r="C204" s="572"/>
      <c r="D204" s="572"/>
      <c r="E204" s="572"/>
      <c r="F204" s="572"/>
      <c r="G204" s="572"/>
      <c r="H204" s="4"/>
      <c r="I204" s="4"/>
      <c r="J204" s="4"/>
      <c r="K204" s="4"/>
      <c r="L204" s="4"/>
      <c r="M204" s="4"/>
      <c r="N204" s="157" t="s">
        <v>641</v>
      </c>
      <c r="O204" s="404">
        <f>+(0.25*100)/7</f>
        <v>3.5714285714285716</v>
      </c>
      <c r="P204" s="158">
        <f>+O204*C4</f>
        <v>0.35714285714285721</v>
      </c>
      <c r="Q204" s="158">
        <f>+O204*D4</f>
        <v>1.6071428571428572</v>
      </c>
      <c r="R204" s="158">
        <f>+O204*E4</f>
        <v>0.8928571428571429</v>
      </c>
      <c r="S204" s="158">
        <f>+O204*F4</f>
        <v>0.71428571428571441</v>
      </c>
      <c r="T204" s="157" t="s">
        <v>645</v>
      </c>
      <c r="U204" s="198" t="s">
        <v>202</v>
      </c>
      <c r="V204" s="157" t="s">
        <v>88</v>
      </c>
      <c r="W204" s="298">
        <v>0.2</v>
      </c>
      <c r="X204" s="298">
        <v>0.4</v>
      </c>
      <c r="Y204" s="298">
        <v>0.25</v>
      </c>
      <c r="Z204" s="298">
        <v>0.35</v>
      </c>
      <c r="AA204" s="298">
        <v>0.37</v>
      </c>
      <c r="AB204" s="298">
        <v>0.4</v>
      </c>
      <c r="AC204" s="4"/>
      <c r="AD204" s="4"/>
      <c r="AE204" s="4"/>
      <c r="AF204" s="4"/>
      <c r="AG204" s="4"/>
      <c r="AH204" s="4"/>
      <c r="AI204" s="267" t="s">
        <v>653</v>
      </c>
      <c r="AJ204" s="268">
        <f>+(0.314*100)/1.25</f>
        <v>25.119999999999997</v>
      </c>
      <c r="AK204" s="268">
        <f>+AJ204*C4</f>
        <v>2.512</v>
      </c>
      <c r="AL204" s="268">
        <f>+AJ204*D4</f>
        <v>11.303999999999998</v>
      </c>
      <c r="AM204" s="268">
        <f>+AJ204*E4</f>
        <v>6.2799999999999994</v>
      </c>
      <c r="AN204" s="268">
        <f>+AJ204*F4</f>
        <v>5.024</v>
      </c>
      <c r="AO204" s="267" t="s">
        <v>664</v>
      </c>
      <c r="AP204" s="268" t="s">
        <v>202</v>
      </c>
      <c r="AQ204" s="268" t="s">
        <v>87</v>
      </c>
      <c r="AR204" s="268">
        <v>7</v>
      </c>
      <c r="AS204" s="268">
        <v>73</v>
      </c>
      <c r="AT204" s="656">
        <v>17.600000000000001</v>
      </c>
      <c r="AU204" s="656">
        <v>17.600000000000001</v>
      </c>
      <c r="AV204" s="656">
        <v>15.4</v>
      </c>
      <c r="AW204" s="656">
        <v>15.4</v>
      </c>
      <c r="AX204" s="268">
        <v>66</v>
      </c>
      <c r="AY204" s="272">
        <v>800000000</v>
      </c>
      <c r="AZ204" s="272">
        <v>800000000</v>
      </c>
      <c r="BA204" s="272">
        <v>700000000</v>
      </c>
      <c r="BB204" s="272">
        <v>700000000</v>
      </c>
      <c r="BC204" s="657">
        <f t="shared" si="41"/>
        <v>3000000000</v>
      </c>
      <c r="BD204" s="193" t="s">
        <v>607</v>
      </c>
      <c r="BE204" s="193" t="s">
        <v>608</v>
      </c>
    </row>
    <row r="205" spans="1:57" ht="22.5">
      <c r="A205" s="571"/>
      <c r="B205" s="572"/>
      <c r="C205" s="572"/>
      <c r="D205" s="572"/>
      <c r="E205" s="572"/>
      <c r="F205" s="572"/>
      <c r="G205" s="572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267" t="s">
        <v>654</v>
      </c>
      <c r="AJ205" s="268">
        <f>+(0.021*100)/1.25</f>
        <v>1.6800000000000002</v>
      </c>
      <c r="AK205" s="268">
        <f>+AJ205*C4</f>
        <v>0.16800000000000004</v>
      </c>
      <c r="AL205" s="268">
        <f>+AJ205*D4</f>
        <v>0.75600000000000012</v>
      </c>
      <c r="AM205" s="268">
        <f>+AJ205*E4</f>
        <v>0.42000000000000004</v>
      </c>
      <c r="AN205" s="268">
        <f>+AJ205*F4</f>
        <v>0.33600000000000008</v>
      </c>
      <c r="AO205" s="267" t="s">
        <v>665</v>
      </c>
      <c r="AP205" s="268" t="s">
        <v>202</v>
      </c>
      <c r="AQ205" s="268" t="s">
        <v>87</v>
      </c>
      <c r="AR205" s="268">
        <v>20</v>
      </c>
      <c r="AS205" s="268">
        <v>304</v>
      </c>
      <c r="AT205" s="656">
        <v>265.85691647185081</v>
      </c>
      <c r="AU205" s="656">
        <v>8</v>
      </c>
      <c r="AV205" s="656">
        <v>5</v>
      </c>
      <c r="AW205" s="656">
        <v>5</v>
      </c>
      <c r="AX205" s="268">
        <v>284</v>
      </c>
      <c r="AY205" s="272">
        <v>512867179.5</v>
      </c>
      <c r="AZ205" s="272">
        <v>15200000</v>
      </c>
      <c r="BA205" s="272">
        <v>9800000</v>
      </c>
      <c r="BB205" s="272">
        <v>10000000</v>
      </c>
      <c r="BC205" s="657">
        <f t="shared" si="41"/>
        <v>547867179.5</v>
      </c>
      <c r="BD205" s="193" t="s">
        <v>607</v>
      </c>
      <c r="BE205" s="193" t="s">
        <v>608</v>
      </c>
    </row>
    <row r="206" spans="1:57" ht="33.75">
      <c r="A206" s="571"/>
      <c r="B206" s="572"/>
      <c r="C206" s="572"/>
      <c r="D206" s="572"/>
      <c r="E206" s="572"/>
      <c r="F206" s="572"/>
      <c r="G206" s="572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267" t="s">
        <v>655</v>
      </c>
      <c r="AJ206" s="268">
        <f>+(0.03*100)/1.25</f>
        <v>2.4</v>
      </c>
      <c r="AK206" s="268">
        <v>0</v>
      </c>
      <c r="AL206" s="268">
        <v>2.4</v>
      </c>
      <c r="AM206" s="268">
        <v>0</v>
      </c>
      <c r="AN206" s="268">
        <v>0</v>
      </c>
      <c r="AO206" s="267" t="s">
        <v>666</v>
      </c>
      <c r="AP206" s="268" t="s">
        <v>202</v>
      </c>
      <c r="AQ206" s="268" t="s">
        <v>87</v>
      </c>
      <c r="AR206" s="268">
        <v>0</v>
      </c>
      <c r="AS206" s="268">
        <v>1</v>
      </c>
      <c r="AT206" s="656">
        <v>0</v>
      </c>
      <c r="AU206" s="656">
        <v>0</v>
      </c>
      <c r="AV206" s="656">
        <v>0</v>
      </c>
      <c r="AW206" s="656">
        <v>0</v>
      </c>
      <c r="AX206" s="268">
        <v>1</v>
      </c>
      <c r="AY206" s="272">
        <v>0</v>
      </c>
      <c r="AZ206" s="272">
        <v>0</v>
      </c>
      <c r="BA206" s="272">
        <v>0</v>
      </c>
      <c r="BB206" s="272">
        <v>0</v>
      </c>
      <c r="BC206" s="657">
        <f t="shared" si="41"/>
        <v>0</v>
      </c>
      <c r="BD206" s="193" t="s">
        <v>607</v>
      </c>
      <c r="BE206" s="193" t="s">
        <v>608</v>
      </c>
    </row>
    <row r="207" spans="1:57" ht="33.75">
      <c r="A207" s="571"/>
      <c r="B207" s="572"/>
      <c r="C207" s="572"/>
      <c r="D207" s="572"/>
      <c r="E207" s="572"/>
      <c r="F207" s="572"/>
      <c r="G207" s="572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267" t="s">
        <v>656</v>
      </c>
      <c r="AJ207" s="268">
        <f>+(0.03*100)/1.25</f>
        <v>2.4</v>
      </c>
      <c r="AK207" s="268">
        <v>0</v>
      </c>
      <c r="AL207" s="268">
        <v>2.4</v>
      </c>
      <c r="AM207" s="268">
        <v>0</v>
      </c>
      <c r="AN207" s="268">
        <v>0</v>
      </c>
      <c r="AO207" s="267" t="s">
        <v>667</v>
      </c>
      <c r="AP207" s="268" t="s">
        <v>202</v>
      </c>
      <c r="AQ207" s="268" t="s">
        <v>87</v>
      </c>
      <c r="AR207" s="268">
        <v>0</v>
      </c>
      <c r="AS207" s="268">
        <v>1</v>
      </c>
      <c r="AT207" s="656">
        <v>0</v>
      </c>
      <c r="AU207" s="656">
        <v>0</v>
      </c>
      <c r="AV207" s="656">
        <v>0</v>
      </c>
      <c r="AW207" s="656">
        <v>0</v>
      </c>
      <c r="AX207" s="268">
        <v>1</v>
      </c>
      <c r="AY207" s="272">
        <v>0</v>
      </c>
      <c r="AZ207" s="272">
        <v>0</v>
      </c>
      <c r="BA207" s="272">
        <v>0</v>
      </c>
      <c r="BB207" s="272">
        <v>0</v>
      </c>
      <c r="BC207" s="657">
        <f t="shared" si="41"/>
        <v>0</v>
      </c>
      <c r="BD207" s="193" t="s">
        <v>607</v>
      </c>
      <c r="BE207" s="193" t="s">
        <v>608</v>
      </c>
    </row>
    <row r="208" spans="1:57" ht="22.5">
      <c r="A208" s="571"/>
      <c r="B208" s="572"/>
      <c r="C208" s="572"/>
      <c r="D208" s="572"/>
      <c r="E208" s="572"/>
      <c r="F208" s="572"/>
      <c r="G208" s="572"/>
      <c r="H208" s="4"/>
      <c r="I208" s="4"/>
      <c r="J208" s="4"/>
      <c r="K208" s="4"/>
      <c r="L208" s="4"/>
      <c r="M208" s="4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267" t="s">
        <v>657</v>
      </c>
      <c r="AJ208" s="268">
        <f>+(0.03*100)/1.25</f>
        <v>2.4</v>
      </c>
      <c r="AK208" s="268">
        <v>0</v>
      </c>
      <c r="AL208" s="268">
        <v>2.4</v>
      </c>
      <c r="AM208" s="268">
        <v>0</v>
      </c>
      <c r="AN208" s="268">
        <v>0</v>
      </c>
      <c r="AO208" s="267" t="s">
        <v>668</v>
      </c>
      <c r="AP208" s="268" t="s">
        <v>202</v>
      </c>
      <c r="AQ208" s="268" t="s">
        <v>87</v>
      </c>
      <c r="AR208" s="268">
        <v>0</v>
      </c>
      <c r="AS208" s="268">
        <v>1</v>
      </c>
      <c r="AT208" s="656">
        <v>0</v>
      </c>
      <c r="AU208" s="656">
        <v>0</v>
      </c>
      <c r="AV208" s="656">
        <v>0</v>
      </c>
      <c r="AW208" s="656">
        <v>0</v>
      </c>
      <c r="AX208" s="268">
        <v>1</v>
      </c>
      <c r="AY208" s="272">
        <v>0</v>
      </c>
      <c r="AZ208" s="272">
        <v>0</v>
      </c>
      <c r="BA208" s="272">
        <v>0</v>
      </c>
      <c r="BB208" s="272">
        <v>0</v>
      </c>
      <c r="BC208" s="657">
        <f t="shared" si="41"/>
        <v>0</v>
      </c>
      <c r="BD208" s="193" t="s">
        <v>607</v>
      </c>
      <c r="BE208" s="193" t="s">
        <v>608</v>
      </c>
    </row>
    <row r="209" spans="1:57">
      <c r="A209" s="571"/>
      <c r="B209" s="572"/>
      <c r="C209" s="572"/>
      <c r="D209" s="572"/>
      <c r="E209" s="572"/>
      <c r="F209" s="572"/>
      <c r="G209" s="572"/>
      <c r="H209" s="4"/>
      <c r="I209" s="4"/>
      <c r="J209" s="4"/>
      <c r="K209" s="4"/>
      <c r="L209" s="4"/>
      <c r="M209" s="4"/>
      <c r="N209" s="126"/>
      <c r="O209" s="174"/>
      <c r="P209" s="204"/>
      <c r="Q209" s="204"/>
      <c r="R209" s="204"/>
      <c r="S209" s="204"/>
      <c r="T209" s="204"/>
      <c r="U209" s="204"/>
      <c r="V209" s="204"/>
      <c r="W209" s="204"/>
      <c r="X209" s="204"/>
      <c r="Y209" s="204"/>
      <c r="Z209" s="204"/>
      <c r="AA209" s="204"/>
      <c r="AB209" s="204"/>
      <c r="AC209" s="349" t="s">
        <v>1453</v>
      </c>
      <c r="AD209" s="419">
        <f>SUM(AD198:AD208)</f>
        <v>18.518518518518519</v>
      </c>
      <c r="AE209" s="233"/>
      <c r="AF209" s="233"/>
      <c r="AG209" s="233"/>
      <c r="AH209" s="233"/>
      <c r="AI209" s="126"/>
      <c r="AJ209" s="437">
        <f>SUM(AJ198:AJ208)</f>
        <v>99.920000000000016</v>
      </c>
      <c r="AK209" s="437"/>
      <c r="AL209" s="437"/>
      <c r="AM209" s="437"/>
      <c r="AN209" s="437"/>
      <c r="AO209" s="174"/>
      <c r="AP209" s="186"/>
      <c r="AQ209" s="174"/>
      <c r="AR209" s="174"/>
      <c r="AS209" s="174"/>
      <c r="AT209" s="174"/>
      <c r="AU209" s="174"/>
      <c r="AV209" s="174"/>
      <c r="AW209" s="174"/>
      <c r="AX209" s="174"/>
      <c r="AY209" s="234">
        <f>SUM(AY198:AY208)</f>
        <v>3962867179.5</v>
      </c>
      <c r="AZ209" s="234">
        <f t="shared" ref="AZ209:BC209" si="42">SUM(AZ198:AZ208)</f>
        <v>2993200000</v>
      </c>
      <c r="BA209" s="234">
        <f t="shared" si="42"/>
        <v>2605660000</v>
      </c>
      <c r="BB209" s="234">
        <f t="shared" si="42"/>
        <v>2060000000</v>
      </c>
      <c r="BC209" s="234">
        <f t="shared" si="42"/>
        <v>11621727179.5</v>
      </c>
      <c r="BD209" s="174"/>
      <c r="BE209" s="174"/>
    </row>
    <row r="210" spans="1:57" ht="78.75">
      <c r="A210" s="571"/>
      <c r="B210" s="572"/>
      <c r="C210" s="572"/>
      <c r="D210" s="572"/>
      <c r="E210" s="572"/>
      <c r="F210" s="572"/>
      <c r="G210" s="572"/>
      <c r="H210" s="4"/>
      <c r="I210" s="4"/>
      <c r="J210" s="4"/>
      <c r="K210" s="4"/>
      <c r="L210" s="4"/>
      <c r="M210" s="4"/>
      <c r="N210" s="158" t="s">
        <v>669</v>
      </c>
      <c r="O210" s="404">
        <f>+(1.25*100)/7</f>
        <v>17.857142857142858</v>
      </c>
      <c r="P210" s="158">
        <f>+O210*C4</f>
        <v>1.7857142857142858</v>
      </c>
      <c r="Q210" s="158">
        <f>+O210*D4</f>
        <v>8.0357142857142865</v>
      </c>
      <c r="R210" s="158">
        <f>+O210*E4</f>
        <v>4.4642857142857144</v>
      </c>
      <c r="S210" s="158">
        <f>+O210*F4</f>
        <v>3.5714285714285716</v>
      </c>
      <c r="T210" s="158" t="s">
        <v>670</v>
      </c>
      <c r="U210" s="158" t="s">
        <v>202</v>
      </c>
      <c r="V210" s="158" t="s">
        <v>87</v>
      </c>
      <c r="W210" s="158">
        <v>33</v>
      </c>
      <c r="X210" s="158" t="s">
        <v>1485</v>
      </c>
      <c r="Y210" s="158">
        <v>34</v>
      </c>
      <c r="Z210" s="158">
        <v>39</v>
      </c>
      <c r="AA210" s="158">
        <v>41</v>
      </c>
      <c r="AB210" s="158">
        <v>43</v>
      </c>
      <c r="AC210" s="158" t="s">
        <v>671</v>
      </c>
      <c r="AD210" s="404">
        <f>+(1.25*100)/6.75</f>
        <v>18.518518518518519</v>
      </c>
      <c r="AE210" s="404">
        <f>+AD210*C4</f>
        <v>1.8518518518518521</v>
      </c>
      <c r="AF210" s="404">
        <f>+AD210*D4</f>
        <v>8.3333333333333339</v>
      </c>
      <c r="AG210" s="404">
        <f>+AD210*E4</f>
        <v>4.6296296296296298</v>
      </c>
      <c r="AH210" s="404">
        <f>+AD210*F4</f>
        <v>3.7037037037037042</v>
      </c>
      <c r="AI210" s="610" t="s">
        <v>672</v>
      </c>
      <c r="AJ210" s="620">
        <f>+(0.06*100)/1.25</f>
        <v>4.8</v>
      </c>
      <c r="AK210" s="620">
        <v>0</v>
      </c>
      <c r="AL210" s="620">
        <v>4.8</v>
      </c>
      <c r="AM210" s="620">
        <v>0</v>
      </c>
      <c r="AN210" s="620">
        <v>0</v>
      </c>
      <c r="AO210" s="610" t="s">
        <v>679</v>
      </c>
      <c r="AP210" s="658" t="s">
        <v>202</v>
      </c>
      <c r="AQ210" s="658" t="s">
        <v>87</v>
      </c>
      <c r="AR210" s="658">
        <v>0</v>
      </c>
      <c r="AS210" s="659">
        <v>1</v>
      </c>
      <c r="AT210" s="659">
        <v>0</v>
      </c>
      <c r="AU210" s="659">
        <v>1</v>
      </c>
      <c r="AV210" s="659">
        <v>0</v>
      </c>
      <c r="AW210" s="659">
        <v>0</v>
      </c>
      <c r="AX210" s="658">
        <v>1</v>
      </c>
      <c r="AY210" s="272">
        <v>0</v>
      </c>
      <c r="AZ210" s="272">
        <v>300000000</v>
      </c>
      <c r="BA210" s="272">
        <v>0</v>
      </c>
      <c r="BB210" s="272">
        <v>0</v>
      </c>
      <c r="BC210" s="272">
        <f>SUM(AY210:BB210)</f>
        <v>300000000</v>
      </c>
      <c r="BD210" s="267" t="s">
        <v>607</v>
      </c>
      <c r="BE210" s="267" t="s">
        <v>608</v>
      </c>
    </row>
    <row r="211" spans="1:57" ht="33.75">
      <c r="A211" s="571"/>
      <c r="B211" s="572"/>
      <c r="C211" s="572"/>
      <c r="D211" s="572"/>
      <c r="E211" s="572"/>
      <c r="F211" s="572"/>
      <c r="G211" s="572"/>
      <c r="H211" s="4"/>
      <c r="I211" s="4"/>
      <c r="J211" s="4"/>
      <c r="K211" s="4"/>
      <c r="L211" s="4"/>
      <c r="M211" s="4"/>
      <c r="N211" s="404"/>
      <c r="O211" s="404"/>
      <c r="P211" s="404"/>
      <c r="Q211" s="404"/>
      <c r="R211" s="404"/>
      <c r="S211" s="404"/>
      <c r="T211" s="404"/>
      <c r="U211" s="404"/>
      <c r="V211" s="404"/>
      <c r="W211" s="404"/>
      <c r="X211" s="404"/>
      <c r="Y211" s="404"/>
      <c r="Z211" s="404"/>
      <c r="AA211" s="404"/>
      <c r="AB211" s="404"/>
      <c r="AC211" s="404"/>
      <c r="AD211" s="376"/>
      <c r="AE211" s="404"/>
      <c r="AF211" s="404"/>
      <c r="AG211" s="404"/>
      <c r="AH211" s="404"/>
      <c r="AI211" s="610" t="s">
        <v>673</v>
      </c>
      <c r="AJ211" s="620">
        <f>+(0.158*100)/1.25</f>
        <v>12.64</v>
      </c>
      <c r="AK211" s="620">
        <v>0</v>
      </c>
      <c r="AL211" s="620">
        <f>+AJ211</f>
        <v>12.64</v>
      </c>
      <c r="AM211" s="620">
        <v>0</v>
      </c>
      <c r="AN211" s="620">
        <v>0</v>
      </c>
      <c r="AO211" s="610" t="s">
        <v>680</v>
      </c>
      <c r="AP211" s="459" t="s">
        <v>202</v>
      </c>
      <c r="AQ211" s="658" t="s">
        <v>87</v>
      </c>
      <c r="AR211" s="459">
        <v>0</v>
      </c>
      <c r="AS211" s="660">
        <v>43</v>
      </c>
      <c r="AT211" s="660">
        <v>0</v>
      </c>
      <c r="AU211" s="659">
        <v>43</v>
      </c>
      <c r="AV211" s="659">
        <v>0</v>
      </c>
      <c r="AW211" s="659">
        <v>0</v>
      </c>
      <c r="AX211" s="459">
        <v>43</v>
      </c>
      <c r="AY211" s="70">
        <v>0</v>
      </c>
      <c r="AZ211" s="70">
        <v>400000000</v>
      </c>
      <c r="BA211" s="70">
        <v>200000000</v>
      </c>
      <c r="BB211" s="272">
        <v>200000000</v>
      </c>
      <c r="BC211" s="272">
        <f t="shared" ref="BC211:BC216" si="43">SUM(AY211:BB211)</f>
        <v>800000000</v>
      </c>
      <c r="BD211" s="267" t="s">
        <v>607</v>
      </c>
      <c r="BE211" s="267" t="s">
        <v>608</v>
      </c>
    </row>
    <row r="212" spans="1:57" ht="33.75">
      <c r="A212" s="571"/>
      <c r="B212" s="572"/>
      <c r="C212" s="572"/>
      <c r="D212" s="572"/>
      <c r="E212" s="572"/>
      <c r="F212" s="572"/>
      <c r="G212" s="572"/>
      <c r="H212" s="4"/>
      <c r="I212" s="4"/>
      <c r="J212" s="4"/>
      <c r="K212" s="4"/>
      <c r="L212" s="4"/>
      <c r="M212" s="4"/>
      <c r="N212" s="404"/>
      <c r="O212" s="404"/>
      <c r="P212" s="404"/>
      <c r="Q212" s="404"/>
      <c r="R212" s="404"/>
      <c r="S212" s="404"/>
      <c r="T212" s="404"/>
      <c r="U212" s="404"/>
      <c r="V212" s="404"/>
      <c r="W212" s="404"/>
      <c r="X212" s="404"/>
      <c r="Y212" s="404"/>
      <c r="Z212" s="404"/>
      <c r="AA212" s="404"/>
      <c r="AB212" s="404"/>
      <c r="AC212" s="404"/>
      <c r="AD212" s="404"/>
      <c r="AE212" s="404"/>
      <c r="AF212" s="404"/>
      <c r="AG212" s="404"/>
      <c r="AH212" s="404"/>
      <c r="AI212" s="610" t="s">
        <v>674</v>
      </c>
      <c r="AJ212" s="620">
        <f>+(0.485*100)/1.25</f>
        <v>38.799999999999997</v>
      </c>
      <c r="AK212" s="620">
        <f>+AJ212*C4</f>
        <v>3.88</v>
      </c>
      <c r="AL212" s="620">
        <f>+AJ212*D4</f>
        <v>17.46</v>
      </c>
      <c r="AM212" s="620">
        <f>+AJ212*E4</f>
        <v>9.6999999999999993</v>
      </c>
      <c r="AN212" s="620">
        <f>+AJ212*F4</f>
        <v>7.76</v>
      </c>
      <c r="AO212" s="147" t="s">
        <v>681</v>
      </c>
      <c r="AP212" s="146" t="s">
        <v>202</v>
      </c>
      <c r="AQ212" s="658" t="s">
        <v>87</v>
      </c>
      <c r="AR212" s="146">
        <v>44</v>
      </c>
      <c r="AS212" s="661">
        <v>66</v>
      </c>
      <c r="AT212" s="661">
        <v>2</v>
      </c>
      <c r="AU212" s="659">
        <v>6</v>
      </c>
      <c r="AV212" s="659">
        <v>7</v>
      </c>
      <c r="AW212" s="659">
        <v>7</v>
      </c>
      <c r="AX212" s="146">
        <v>22</v>
      </c>
      <c r="AY212" s="635">
        <v>600000000</v>
      </c>
      <c r="AZ212" s="635">
        <v>700000000</v>
      </c>
      <c r="BA212" s="635">
        <v>850000000</v>
      </c>
      <c r="BB212" s="635">
        <v>850000000</v>
      </c>
      <c r="BC212" s="272">
        <f t="shared" si="43"/>
        <v>3000000000</v>
      </c>
      <c r="BD212" s="267" t="s">
        <v>607</v>
      </c>
      <c r="BE212" s="267" t="s">
        <v>608</v>
      </c>
    </row>
    <row r="213" spans="1:57" ht="33.75">
      <c r="A213" s="571"/>
      <c r="B213" s="572"/>
      <c r="C213" s="572"/>
      <c r="D213" s="572"/>
      <c r="E213" s="572"/>
      <c r="F213" s="572"/>
      <c r="G213" s="572"/>
      <c r="H213" s="4"/>
      <c r="I213" s="4"/>
      <c r="J213" s="4"/>
      <c r="K213" s="4"/>
      <c r="L213" s="4"/>
      <c r="M213" s="4"/>
      <c r="N213" s="404"/>
      <c r="O213" s="404"/>
      <c r="P213" s="404"/>
      <c r="Q213" s="404"/>
      <c r="R213" s="404"/>
      <c r="S213" s="404"/>
      <c r="T213" s="404"/>
      <c r="U213" s="404"/>
      <c r="V213" s="404"/>
      <c r="W213" s="404"/>
      <c r="X213" s="404"/>
      <c r="Y213" s="404"/>
      <c r="Z213" s="404"/>
      <c r="AA213" s="404"/>
      <c r="AB213" s="404"/>
      <c r="AC213" s="404"/>
      <c r="AD213" s="404"/>
      <c r="AE213" s="404"/>
      <c r="AF213" s="404"/>
      <c r="AG213" s="404"/>
      <c r="AH213" s="404"/>
      <c r="AI213" s="610" t="s">
        <v>675</v>
      </c>
      <c r="AJ213" s="620">
        <f>+(0.12*100)/1.25</f>
        <v>9.6</v>
      </c>
      <c r="AK213" s="620">
        <f>+AJ213*C4</f>
        <v>0.96</v>
      </c>
      <c r="AL213" s="620">
        <v>0</v>
      </c>
      <c r="AM213" s="620">
        <v>4.32</v>
      </c>
      <c r="AN213" s="620">
        <v>4.32</v>
      </c>
      <c r="AO213" s="147" t="s">
        <v>682</v>
      </c>
      <c r="AP213" s="146" t="s">
        <v>202</v>
      </c>
      <c r="AQ213" s="658" t="s">
        <v>87</v>
      </c>
      <c r="AR213" s="147" t="s">
        <v>686</v>
      </c>
      <c r="AS213" s="661" t="s">
        <v>687</v>
      </c>
      <c r="AT213" s="661">
        <v>7</v>
      </c>
      <c r="AU213" s="659">
        <v>0</v>
      </c>
      <c r="AV213" s="659">
        <v>7</v>
      </c>
      <c r="AW213" s="659">
        <v>6</v>
      </c>
      <c r="AX213" s="146" t="s">
        <v>688</v>
      </c>
      <c r="AY213" s="272">
        <v>800000000</v>
      </c>
      <c r="AZ213" s="272">
        <v>500000000</v>
      </c>
      <c r="BA213" s="272">
        <v>0</v>
      </c>
      <c r="BB213" s="272">
        <v>0</v>
      </c>
      <c r="BC213" s="272">
        <f t="shared" si="43"/>
        <v>1300000000</v>
      </c>
      <c r="BD213" s="267" t="s">
        <v>607</v>
      </c>
      <c r="BE213" s="267" t="s">
        <v>608</v>
      </c>
    </row>
    <row r="214" spans="1:57" ht="22.5">
      <c r="A214" s="571"/>
      <c r="B214" s="572"/>
      <c r="C214" s="572"/>
      <c r="D214" s="572"/>
      <c r="E214" s="572"/>
      <c r="F214" s="572"/>
      <c r="G214" s="572"/>
      <c r="H214" s="4"/>
      <c r="I214" s="4"/>
      <c r="J214" s="4"/>
      <c r="K214" s="4"/>
      <c r="L214" s="4"/>
      <c r="M214" s="4"/>
      <c r="N214" s="404"/>
      <c r="O214" s="404"/>
      <c r="P214" s="404"/>
      <c r="Q214" s="404"/>
      <c r="R214" s="404"/>
      <c r="S214" s="404"/>
      <c r="T214" s="404"/>
      <c r="U214" s="404"/>
      <c r="V214" s="404"/>
      <c r="W214" s="404"/>
      <c r="X214" s="404"/>
      <c r="Y214" s="404"/>
      <c r="Z214" s="404"/>
      <c r="AA214" s="404"/>
      <c r="AB214" s="404"/>
      <c r="AC214" s="404"/>
      <c r="AD214" s="404"/>
      <c r="AE214" s="404"/>
      <c r="AF214" s="404"/>
      <c r="AG214" s="404"/>
      <c r="AH214" s="404"/>
      <c r="AI214" s="610" t="s">
        <v>676</v>
      </c>
      <c r="AJ214" s="620">
        <f>+(0.1*100)/1.25</f>
        <v>8</v>
      </c>
      <c r="AK214" s="620">
        <v>0</v>
      </c>
      <c r="AL214" s="620">
        <v>0</v>
      </c>
      <c r="AM214" s="620">
        <v>8</v>
      </c>
      <c r="AN214" s="620">
        <v>0</v>
      </c>
      <c r="AO214" s="662" t="s">
        <v>683</v>
      </c>
      <c r="AP214" s="663" t="s">
        <v>202</v>
      </c>
      <c r="AQ214" s="658" t="s">
        <v>87</v>
      </c>
      <c r="AR214" s="662">
        <v>0</v>
      </c>
      <c r="AS214" s="664">
        <v>1</v>
      </c>
      <c r="AT214" s="664">
        <v>0</v>
      </c>
      <c r="AU214" s="659">
        <v>0</v>
      </c>
      <c r="AV214" s="659">
        <v>1</v>
      </c>
      <c r="AW214" s="659">
        <v>0</v>
      </c>
      <c r="AX214" s="146">
        <v>1</v>
      </c>
      <c r="AY214" s="272">
        <v>0</v>
      </c>
      <c r="AZ214" s="272">
        <v>500000000</v>
      </c>
      <c r="BA214" s="272">
        <v>0</v>
      </c>
      <c r="BB214" s="272">
        <v>0</v>
      </c>
      <c r="BC214" s="272">
        <f t="shared" si="43"/>
        <v>500000000</v>
      </c>
      <c r="BD214" s="267" t="s">
        <v>607</v>
      </c>
      <c r="BE214" s="267" t="s">
        <v>608</v>
      </c>
    </row>
    <row r="215" spans="1:57" ht="22.5">
      <c r="A215" s="571"/>
      <c r="B215" s="572"/>
      <c r="C215" s="572"/>
      <c r="D215" s="572"/>
      <c r="E215" s="572"/>
      <c r="F215" s="572"/>
      <c r="G215" s="572"/>
      <c r="H215" s="4"/>
      <c r="I215" s="4"/>
      <c r="J215" s="4"/>
      <c r="K215" s="4"/>
      <c r="L215" s="4"/>
      <c r="M215" s="4"/>
      <c r="N215" s="404"/>
      <c r="O215" s="404"/>
      <c r="P215" s="404"/>
      <c r="Q215" s="404"/>
      <c r="R215" s="404"/>
      <c r="S215" s="404"/>
      <c r="T215" s="404"/>
      <c r="U215" s="404"/>
      <c r="V215" s="404"/>
      <c r="W215" s="404"/>
      <c r="X215" s="404"/>
      <c r="Y215" s="404"/>
      <c r="Z215" s="404"/>
      <c r="AA215" s="404"/>
      <c r="AB215" s="404"/>
      <c r="AC215" s="404"/>
      <c r="AD215" s="404"/>
      <c r="AE215" s="404"/>
      <c r="AF215" s="404"/>
      <c r="AG215" s="404"/>
      <c r="AH215" s="404"/>
      <c r="AI215" s="610" t="s">
        <v>677</v>
      </c>
      <c r="AJ215" s="620">
        <f>+(0.075*100)/1.25</f>
        <v>6</v>
      </c>
      <c r="AK215" s="620">
        <v>6</v>
      </c>
      <c r="AL215" s="620">
        <v>0</v>
      </c>
      <c r="AM215" s="620">
        <v>0</v>
      </c>
      <c r="AN215" s="620">
        <v>0</v>
      </c>
      <c r="AO215" s="662" t="s">
        <v>684</v>
      </c>
      <c r="AP215" s="662" t="s">
        <v>202</v>
      </c>
      <c r="AQ215" s="658" t="s">
        <v>87</v>
      </c>
      <c r="AR215" s="662">
        <v>33</v>
      </c>
      <c r="AS215" s="665">
        <v>29</v>
      </c>
      <c r="AT215" s="665">
        <v>29</v>
      </c>
      <c r="AU215" s="659">
        <v>0</v>
      </c>
      <c r="AV215" s="659">
        <v>0</v>
      </c>
      <c r="AW215" s="659">
        <v>0</v>
      </c>
      <c r="AX215" s="662">
        <v>29</v>
      </c>
      <c r="AY215" s="637">
        <v>3000000000</v>
      </c>
      <c r="AZ215" s="637">
        <v>0</v>
      </c>
      <c r="BA215" s="637">
        <v>0</v>
      </c>
      <c r="BB215" s="637">
        <v>0</v>
      </c>
      <c r="BC215" s="272">
        <f t="shared" si="43"/>
        <v>3000000000</v>
      </c>
      <c r="BD215" s="267" t="s">
        <v>607</v>
      </c>
      <c r="BE215" s="267" t="s">
        <v>608</v>
      </c>
    </row>
    <row r="216" spans="1:57" ht="33.75">
      <c r="A216" s="571"/>
      <c r="B216" s="572"/>
      <c r="C216" s="572"/>
      <c r="D216" s="572"/>
      <c r="E216" s="572"/>
      <c r="F216" s="572"/>
      <c r="G216" s="572"/>
      <c r="H216" s="4"/>
      <c r="I216" s="4"/>
      <c r="J216" s="4"/>
      <c r="K216" s="4"/>
      <c r="L216" s="4"/>
      <c r="M216" s="4"/>
      <c r="N216" s="404"/>
      <c r="O216" s="404"/>
      <c r="P216" s="404"/>
      <c r="Q216" s="404"/>
      <c r="R216" s="404"/>
      <c r="S216" s="404"/>
      <c r="T216" s="404"/>
      <c r="U216" s="404"/>
      <c r="V216" s="404"/>
      <c r="W216" s="404"/>
      <c r="X216" s="404"/>
      <c r="Y216" s="404"/>
      <c r="Z216" s="404"/>
      <c r="AA216" s="404"/>
      <c r="AB216" s="404"/>
      <c r="AC216" s="404"/>
      <c r="AD216" s="404"/>
      <c r="AE216" s="404"/>
      <c r="AF216" s="404"/>
      <c r="AG216" s="404"/>
      <c r="AH216" s="404"/>
      <c r="AI216" s="610" t="s">
        <v>678</v>
      </c>
      <c r="AJ216" s="620">
        <f>+(0.251*100)/1.25</f>
        <v>20.080000000000002</v>
      </c>
      <c r="AK216" s="620">
        <v>0</v>
      </c>
      <c r="AL216" s="620">
        <v>11.04</v>
      </c>
      <c r="AM216" s="620">
        <f>+AJ216*E4</f>
        <v>5.0200000000000005</v>
      </c>
      <c r="AN216" s="620">
        <f>+AJ216*F4</f>
        <v>4.0160000000000009</v>
      </c>
      <c r="AO216" s="458" t="s">
        <v>685</v>
      </c>
      <c r="AP216" s="458" t="s">
        <v>202</v>
      </c>
      <c r="AQ216" s="458" t="s">
        <v>87</v>
      </c>
      <c r="AR216" s="458">
        <v>0</v>
      </c>
      <c r="AS216" s="666">
        <v>1</v>
      </c>
      <c r="AT216" s="666">
        <v>0.2</v>
      </c>
      <c r="AU216" s="659">
        <v>1</v>
      </c>
      <c r="AV216" s="659">
        <v>1</v>
      </c>
      <c r="AW216" s="659">
        <v>1</v>
      </c>
      <c r="AX216" s="458">
        <v>1</v>
      </c>
      <c r="AY216" s="642">
        <v>600000000</v>
      </c>
      <c r="AZ216" s="642">
        <v>400000000</v>
      </c>
      <c r="BA216" s="642">
        <v>400000000</v>
      </c>
      <c r="BB216" s="642">
        <v>400000000</v>
      </c>
      <c r="BC216" s="303">
        <f t="shared" si="43"/>
        <v>1800000000</v>
      </c>
      <c r="BD216" s="267" t="s">
        <v>607</v>
      </c>
      <c r="BE216" s="267" t="s">
        <v>608</v>
      </c>
    </row>
    <row r="217" spans="1:57">
      <c r="A217" s="571"/>
      <c r="B217" s="572"/>
      <c r="C217" s="572"/>
      <c r="D217" s="572"/>
      <c r="E217" s="572"/>
      <c r="F217" s="572"/>
      <c r="G217" s="572"/>
      <c r="H217" s="4"/>
      <c r="I217" s="4"/>
      <c r="J217" s="4"/>
      <c r="K217" s="4"/>
      <c r="L217" s="4"/>
      <c r="M217" s="4"/>
      <c r="N217" s="228"/>
      <c r="O217" s="228"/>
      <c r="P217" s="228"/>
      <c r="Q217" s="228"/>
      <c r="R217" s="228"/>
      <c r="S217" s="228"/>
      <c r="T217" s="228"/>
      <c r="U217" s="228"/>
      <c r="V217" s="228"/>
      <c r="W217" s="228"/>
      <c r="X217" s="228"/>
      <c r="Y217" s="228"/>
      <c r="Z217" s="228"/>
      <c r="AA217" s="228"/>
      <c r="AB217" s="228"/>
      <c r="AC217" s="349" t="s">
        <v>1453</v>
      </c>
      <c r="AD217" s="420">
        <f>SUM(AD210:AD216)</f>
        <v>18.518518518518519</v>
      </c>
      <c r="AE217" s="236"/>
      <c r="AF217" s="236"/>
      <c r="AG217" s="236"/>
      <c r="AH217" s="236"/>
      <c r="AI217" s="228"/>
      <c r="AJ217" s="438">
        <f>SUM(AJ210:AJ216)</f>
        <v>99.919999999999987</v>
      </c>
      <c r="AK217" s="438"/>
      <c r="AL217" s="438"/>
      <c r="AM217" s="438"/>
      <c r="AN217" s="438"/>
      <c r="AO217" s="228"/>
      <c r="AP217" s="186"/>
      <c r="AQ217" s="228"/>
      <c r="AR217" s="228"/>
      <c r="AS217" s="186"/>
      <c r="AT217" s="186"/>
      <c r="AU217" s="186"/>
      <c r="AV217" s="186"/>
      <c r="AW217" s="186"/>
      <c r="AX217" s="186"/>
      <c r="AY217" s="235">
        <f>SUM(AY210:AY216)</f>
        <v>5000000000</v>
      </c>
      <c r="AZ217" s="235">
        <f t="shared" ref="AZ217:BC217" si="44">SUM(AZ210:AZ216)</f>
        <v>2800000000</v>
      </c>
      <c r="BA217" s="235">
        <f t="shared" si="44"/>
        <v>1450000000</v>
      </c>
      <c r="BB217" s="235">
        <f t="shared" si="44"/>
        <v>1450000000</v>
      </c>
      <c r="BC217" s="235">
        <f t="shared" si="44"/>
        <v>10700000000</v>
      </c>
      <c r="BD217" s="174"/>
      <c r="BE217" s="174"/>
    </row>
    <row r="218" spans="1:57" ht="45">
      <c r="A218" s="571"/>
      <c r="B218" s="572"/>
      <c r="C218" s="572"/>
      <c r="D218" s="572"/>
      <c r="E218" s="572"/>
      <c r="F218" s="572"/>
      <c r="G218" s="572"/>
      <c r="H218" s="5"/>
      <c r="I218" s="5"/>
      <c r="J218" s="5"/>
      <c r="K218" s="5"/>
      <c r="L218" s="5"/>
      <c r="M218" s="5"/>
      <c r="N218" s="658" t="s">
        <v>689</v>
      </c>
      <c r="O218" s="404">
        <f>+(1.25*100)/7</f>
        <v>17.857142857142858</v>
      </c>
      <c r="P218" s="415">
        <f>+O218*C4</f>
        <v>1.7857142857142858</v>
      </c>
      <c r="Q218" s="415">
        <f>+O218*D4</f>
        <v>8.0357142857142865</v>
      </c>
      <c r="R218" s="415">
        <f>+O218*E4</f>
        <v>4.4642857142857144</v>
      </c>
      <c r="S218" s="415">
        <f>+O218*F4</f>
        <v>3.5714285714285716</v>
      </c>
      <c r="T218" s="658" t="s">
        <v>690</v>
      </c>
      <c r="U218" s="658" t="s">
        <v>202</v>
      </c>
      <c r="V218" s="658" t="s">
        <v>87</v>
      </c>
      <c r="W218" s="658">
        <v>3</v>
      </c>
      <c r="X218" s="658">
        <v>5</v>
      </c>
      <c r="Y218" s="658">
        <v>0</v>
      </c>
      <c r="Z218" s="658">
        <v>1</v>
      </c>
      <c r="AA218" s="658">
        <v>1</v>
      </c>
      <c r="AB218" s="658">
        <v>0</v>
      </c>
      <c r="AC218" s="658" t="s">
        <v>691</v>
      </c>
      <c r="AD218" s="404">
        <f>+(1.25*100)/6.75</f>
        <v>18.518518518518519</v>
      </c>
      <c r="AE218" s="404">
        <f>+AD218*C4</f>
        <v>1.8518518518518521</v>
      </c>
      <c r="AF218" s="404">
        <f>+AD218*D4</f>
        <v>8.3333333333333339</v>
      </c>
      <c r="AG218" s="404">
        <f>+AD218*E4</f>
        <v>4.6296296296296298</v>
      </c>
      <c r="AH218" s="404">
        <f>+AD218*F4</f>
        <v>3.7037037037037042</v>
      </c>
      <c r="AI218" s="610" t="s">
        <v>692</v>
      </c>
      <c r="AJ218" s="620">
        <v>100</v>
      </c>
      <c r="AK218" s="620">
        <f>+AJ218*C4</f>
        <v>10</v>
      </c>
      <c r="AL218" s="620">
        <f>+AJ218*D4</f>
        <v>45</v>
      </c>
      <c r="AM218" s="620">
        <f>+AJ218*E4</f>
        <v>25</v>
      </c>
      <c r="AN218" s="620">
        <f>+AJ218*F4</f>
        <v>20</v>
      </c>
      <c r="AO218" s="620" t="s">
        <v>693</v>
      </c>
      <c r="AP218" s="620" t="s">
        <v>202</v>
      </c>
      <c r="AQ218" s="620" t="s">
        <v>88</v>
      </c>
      <c r="AR218" s="620" t="s">
        <v>694</v>
      </c>
      <c r="AS218" s="268">
        <v>62</v>
      </c>
      <c r="AT218" s="656">
        <v>15.557931897540398</v>
      </c>
      <c r="AU218" s="656">
        <v>15.187671043073506</v>
      </c>
      <c r="AV218" s="656">
        <v>15.471223747437588</v>
      </c>
      <c r="AW218" s="656">
        <v>15.783173311948513</v>
      </c>
      <c r="AX218" s="268">
        <v>62</v>
      </c>
      <c r="AY218" s="272">
        <v>104742756938.3</v>
      </c>
      <c r="AZ218" s="272">
        <v>102250000000</v>
      </c>
      <c r="BA218" s="272">
        <v>104159000000</v>
      </c>
      <c r="BB218" s="272">
        <v>106259180000</v>
      </c>
      <c r="BC218" s="657">
        <f>SUM(AY218:BB218)</f>
        <v>417410936938.29999</v>
      </c>
      <c r="BD218" s="267" t="s">
        <v>607</v>
      </c>
      <c r="BE218" s="267" t="s">
        <v>608</v>
      </c>
    </row>
    <row r="219" spans="1:57">
      <c r="A219" s="571"/>
      <c r="B219" s="572"/>
      <c r="C219" s="572"/>
      <c r="D219" s="572"/>
      <c r="E219" s="572"/>
      <c r="F219" s="572"/>
      <c r="G219" s="572"/>
      <c r="H219" s="222" t="s">
        <v>594</v>
      </c>
      <c r="I219" s="165"/>
      <c r="J219" s="165"/>
      <c r="K219" s="165"/>
      <c r="L219" s="165"/>
      <c r="M219" s="165"/>
      <c r="N219" s="228"/>
      <c r="O219" s="228"/>
      <c r="P219" s="228"/>
      <c r="Q219" s="228"/>
      <c r="R219" s="228"/>
      <c r="S219" s="228"/>
      <c r="T219" s="228"/>
      <c r="U219" s="228"/>
      <c r="V219" s="228"/>
      <c r="W219" s="228"/>
      <c r="X219" s="228"/>
      <c r="Y219" s="228"/>
      <c r="Z219" s="228"/>
      <c r="AA219" s="228"/>
      <c r="AB219" s="228"/>
      <c r="AC219" s="349" t="s">
        <v>1453</v>
      </c>
      <c r="AD219" s="420">
        <f>SUM(AD218)</f>
        <v>18.518518518518519</v>
      </c>
      <c r="AE219" s="380"/>
      <c r="AF219" s="380"/>
      <c r="AG219" s="380"/>
      <c r="AH219" s="380"/>
      <c r="AI219" s="228"/>
      <c r="AJ219" s="420">
        <f>SUM(AJ218)</f>
        <v>100</v>
      </c>
      <c r="AK219" s="420"/>
      <c r="AL219" s="420"/>
      <c r="AM219" s="420"/>
      <c r="AN219" s="420"/>
      <c r="AO219" s="228"/>
      <c r="AP219" s="228"/>
      <c r="AQ219" s="228"/>
      <c r="AR219" s="228"/>
      <c r="AS219" s="228"/>
      <c r="AT219" s="228"/>
      <c r="AU219" s="228"/>
      <c r="AV219" s="228"/>
      <c r="AW219" s="228"/>
      <c r="AX219" s="228"/>
      <c r="AY219" s="232">
        <f>SUM(AY218)</f>
        <v>104742756938.3</v>
      </c>
      <c r="AZ219" s="232">
        <f t="shared" ref="AZ219:BC219" si="45">SUM(AZ218)</f>
        <v>102250000000</v>
      </c>
      <c r="BA219" s="232">
        <f t="shared" si="45"/>
        <v>104159000000</v>
      </c>
      <c r="BB219" s="232">
        <f t="shared" si="45"/>
        <v>106259180000</v>
      </c>
      <c r="BC219" s="232">
        <f t="shared" si="45"/>
        <v>417410936938.29999</v>
      </c>
      <c r="BD219" s="228"/>
      <c r="BE219" s="228"/>
    </row>
    <row r="220" spans="1:57">
      <c r="A220" s="571"/>
      <c r="B220" s="572"/>
      <c r="C220" s="572"/>
      <c r="D220" s="572"/>
      <c r="E220" s="572"/>
      <c r="F220" s="572"/>
      <c r="G220" s="572"/>
      <c r="H220" s="223" t="s">
        <v>85</v>
      </c>
      <c r="I220" s="378">
        <f>+I183</f>
        <v>15.909090909090908</v>
      </c>
      <c r="J220" s="219"/>
      <c r="K220" s="219"/>
      <c r="L220" s="219"/>
      <c r="M220" s="219"/>
      <c r="N220" s="219"/>
      <c r="O220" s="384">
        <f>SUM(O183:O219)</f>
        <v>99.714285714285722</v>
      </c>
      <c r="P220" s="219"/>
      <c r="Q220" s="219"/>
      <c r="R220" s="219"/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416">
        <f>+AD219+AD217+AD209+AD197+AD186</f>
        <v>100</v>
      </c>
      <c r="AE220" s="237"/>
      <c r="AF220" s="237"/>
      <c r="AG220" s="237"/>
      <c r="AH220" s="237"/>
      <c r="AI220" s="219"/>
      <c r="AJ220" s="239"/>
      <c r="AK220" s="238"/>
      <c r="AL220" s="238"/>
      <c r="AM220" s="238"/>
      <c r="AN220" s="238"/>
      <c r="AO220" s="219"/>
      <c r="AP220" s="360"/>
      <c r="AQ220" s="219"/>
      <c r="AR220" s="219"/>
      <c r="AS220" s="219"/>
      <c r="AT220" s="219"/>
      <c r="AU220" s="219"/>
      <c r="AV220" s="219"/>
      <c r="AW220" s="219"/>
      <c r="AX220" s="219"/>
      <c r="AY220" s="240">
        <f>+AY219+AY217+AY209+AY197+AY186</f>
        <v>163398678782.85001</v>
      </c>
      <c r="AZ220" s="240">
        <f t="shared" ref="AZ220:BC220" si="46">+AZ219+AZ217+AZ209+AZ197+AZ186</f>
        <v>125646378934.95999</v>
      </c>
      <c r="BA220" s="240">
        <f t="shared" si="46"/>
        <v>119251326998.54001</v>
      </c>
      <c r="BB220" s="240">
        <f t="shared" si="46"/>
        <v>127237546974</v>
      </c>
      <c r="BC220" s="240">
        <f t="shared" si="46"/>
        <v>535533931690.34998</v>
      </c>
      <c r="BD220" s="219"/>
      <c r="BE220" s="219"/>
    </row>
    <row r="221" spans="1:57" ht="90">
      <c r="A221" s="571"/>
      <c r="B221" s="572"/>
      <c r="C221" s="572"/>
      <c r="D221" s="572"/>
      <c r="E221" s="572"/>
      <c r="F221" s="572"/>
      <c r="G221" s="572"/>
      <c r="H221" s="667" t="s">
        <v>695</v>
      </c>
      <c r="I221" s="404">
        <f>+(2*100)/44</f>
        <v>4.5454545454545459</v>
      </c>
      <c r="J221" s="404">
        <f>+I221*C4</f>
        <v>0.45454545454545459</v>
      </c>
      <c r="K221" s="404">
        <f>+I221*D4</f>
        <v>2.0454545454545459</v>
      </c>
      <c r="L221" s="404">
        <f>+I221*E4</f>
        <v>1.1363636363636365</v>
      </c>
      <c r="M221" s="404">
        <f>+I221*F4</f>
        <v>0.90909090909090917</v>
      </c>
      <c r="N221" s="194" t="s">
        <v>696</v>
      </c>
      <c r="O221" s="404">
        <f>+(2*100)/2</f>
        <v>100</v>
      </c>
      <c r="P221" s="158">
        <f>+O221*C4</f>
        <v>10</v>
      </c>
      <c r="Q221" s="158">
        <f>+O221*D4</f>
        <v>45</v>
      </c>
      <c r="R221" s="158">
        <f>+O221*E4</f>
        <v>25</v>
      </c>
      <c r="S221" s="158">
        <f>+O221*F4</f>
        <v>20</v>
      </c>
      <c r="T221" s="194" t="s">
        <v>697</v>
      </c>
      <c r="U221" s="194" t="s">
        <v>202</v>
      </c>
      <c r="V221" s="194" t="s">
        <v>88</v>
      </c>
      <c r="W221" s="298">
        <v>0.04</v>
      </c>
      <c r="X221" s="298">
        <v>0.08</v>
      </c>
      <c r="Y221" s="574">
        <v>0.05</v>
      </c>
      <c r="Z221" s="574">
        <v>0.06</v>
      </c>
      <c r="AA221" s="574">
        <v>7.0000000000000007E-2</v>
      </c>
      <c r="AB221" s="574">
        <v>0.08</v>
      </c>
      <c r="AC221" s="194" t="s">
        <v>698</v>
      </c>
      <c r="AD221" s="404">
        <f>+(1*100)/2</f>
        <v>50</v>
      </c>
      <c r="AE221" s="404">
        <f>+AD221*C4</f>
        <v>5</v>
      </c>
      <c r="AF221" s="404">
        <f>+AD221*D4</f>
        <v>22.5</v>
      </c>
      <c r="AG221" s="404">
        <f>+AD221*E4</f>
        <v>12.5</v>
      </c>
      <c r="AH221" s="404">
        <f>+AD221*F4</f>
        <v>10</v>
      </c>
      <c r="AI221" s="610" t="s">
        <v>699</v>
      </c>
      <c r="AJ221" s="620">
        <f>+(0.125*100)/1</f>
        <v>12.5</v>
      </c>
      <c r="AK221" s="620">
        <f>+AJ221*C4</f>
        <v>1.25</v>
      </c>
      <c r="AL221" s="620">
        <f>+AJ221*D4</f>
        <v>5.625</v>
      </c>
      <c r="AM221" s="620">
        <f>+AJ221*E4</f>
        <v>3.125</v>
      </c>
      <c r="AN221" s="620">
        <f>+AJ221*F4</f>
        <v>2.5</v>
      </c>
      <c r="AO221" s="658" t="s">
        <v>702</v>
      </c>
      <c r="AP221" s="658" t="s">
        <v>202</v>
      </c>
      <c r="AQ221" s="658" t="s">
        <v>87</v>
      </c>
      <c r="AR221" s="658">
        <v>0</v>
      </c>
      <c r="AS221" s="658">
        <v>4</v>
      </c>
      <c r="AT221" s="658">
        <v>1</v>
      </c>
      <c r="AU221" s="658">
        <v>1</v>
      </c>
      <c r="AV221" s="658">
        <v>1</v>
      </c>
      <c r="AW221" s="658">
        <v>1</v>
      </c>
      <c r="AX221" s="658">
        <v>1</v>
      </c>
      <c r="AY221" s="589">
        <v>151936181</v>
      </c>
      <c r="AZ221" s="589">
        <v>33759638</v>
      </c>
      <c r="BA221" s="589">
        <v>47336181</v>
      </c>
      <c r="BB221" s="589">
        <v>46968000</v>
      </c>
      <c r="BC221" s="668">
        <f>SUM(AY221:BB221)</f>
        <v>280000000</v>
      </c>
      <c r="BD221" s="658" t="s">
        <v>705</v>
      </c>
      <c r="BE221" s="658" t="s">
        <v>704</v>
      </c>
    </row>
    <row r="222" spans="1:57" ht="33.75">
      <c r="A222" s="571"/>
      <c r="B222" s="572"/>
      <c r="C222" s="572"/>
      <c r="D222" s="572"/>
      <c r="E222" s="572"/>
      <c r="F222" s="572"/>
      <c r="G222" s="572"/>
      <c r="H222" s="667"/>
      <c r="I222" s="376"/>
      <c r="J222" s="667"/>
      <c r="K222" s="667"/>
      <c r="L222" s="667"/>
      <c r="M222" s="667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376"/>
      <c r="AE222" s="6"/>
      <c r="AF222" s="6"/>
      <c r="AG222" s="6"/>
      <c r="AH222" s="6"/>
      <c r="AI222" s="610" t="s">
        <v>700</v>
      </c>
      <c r="AJ222" s="620">
        <f>+(0.285*100)/1</f>
        <v>28.499999999999996</v>
      </c>
      <c r="AK222" s="620">
        <f>+AJ222*C4</f>
        <v>2.8499999999999996</v>
      </c>
      <c r="AL222" s="620">
        <f>+AJ222*D4</f>
        <v>12.824999999999999</v>
      </c>
      <c r="AM222" s="620">
        <f>+AJ222*E4</f>
        <v>7.1249999999999991</v>
      </c>
      <c r="AN222" s="620">
        <f>+AJ222*F4</f>
        <v>5.6999999999999993</v>
      </c>
      <c r="AO222" s="658" t="s">
        <v>703</v>
      </c>
      <c r="AP222" s="658" t="s">
        <v>202</v>
      </c>
      <c r="AQ222" s="658" t="s">
        <v>87</v>
      </c>
      <c r="AR222" s="658">
        <v>5000</v>
      </c>
      <c r="AS222" s="658">
        <v>10000</v>
      </c>
      <c r="AT222" s="658">
        <v>1250</v>
      </c>
      <c r="AU222" s="658">
        <v>1250</v>
      </c>
      <c r="AV222" s="658">
        <v>1250</v>
      </c>
      <c r="AW222" s="658">
        <v>1250</v>
      </c>
      <c r="AX222" s="658">
        <v>5000</v>
      </c>
      <c r="AY222" s="589">
        <v>200000000</v>
      </c>
      <c r="AZ222" s="589">
        <v>100000000</v>
      </c>
      <c r="BA222" s="589">
        <v>100000000</v>
      </c>
      <c r="BB222" s="589">
        <v>100000000</v>
      </c>
      <c r="BC222" s="668">
        <f t="shared" ref="BC222:BC223" si="47">SUM(AY222:BB222)</f>
        <v>500000000</v>
      </c>
      <c r="BD222" s="658" t="s">
        <v>706</v>
      </c>
      <c r="BE222" s="658" t="s">
        <v>704</v>
      </c>
    </row>
    <row r="223" spans="1:57" ht="33.75">
      <c r="A223" s="571"/>
      <c r="B223" s="572"/>
      <c r="C223" s="572"/>
      <c r="D223" s="572"/>
      <c r="E223" s="572"/>
      <c r="F223" s="572"/>
      <c r="G223" s="572"/>
      <c r="H223" s="667"/>
      <c r="I223" s="667"/>
      <c r="J223" s="667"/>
      <c r="K223" s="667"/>
      <c r="L223" s="667"/>
      <c r="M223" s="667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7"/>
      <c r="AD223" s="376"/>
      <c r="AE223" s="7"/>
      <c r="AF223" s="7"/>
      <c r="AG223" s="7"/>
      <c r="AH223" s="7"/>
      <c r="AI223" s="610" t="s">
        <v>701</v>
      </c>
      <c r="AJ223" s="620">
        <f>+(0.589*100)/1</f>
        <v>58.9</v>
      </c>
      <c r="AK223" s="620">
        <f>+AJ223*C4</f>
        <v>5.8900000000000006</v>
      </c>
      <c r="AL223" s="620">
        <f>+AJ223*D4</f>
        <v>26.504999999999999</v>
      </c>
      <c r="AM223" s="620">
        <f>+AJ223*E4</f>
        <v>14.725</v>
      </c>
      <c r="AN223" s="620">
        <f>+AJ223*F4</f>
        <v>11.780000000000001</v>
      </c>
      <c r="AO223" s="658" t="s">
        <v>702</v>
      </c>
      <c r="AP223" s="658" t="s">
        <v>202</v>
      </c>
      <c r="AQ223" s="658" t="s">
        <v>87</v>
      </c>
      <c r="AR223" s="658">
        <v>0</v>
      </c>
      <c r="AS223" s="658">
        <v>4</v>
      </c>
      <c r="AT223" s="658">
        <v>1</v>
      </c>
      <c r="AU223" s="658">
        <v>1</v>
      </c>
      <c r="AV223" s="658">
        <v>1</v>
      </c>
      <c r="AW223" s="658">
        <v>1</v>
      </c>
      <c r="AX223" s="658">
        <v>1</v>
      </c>
      <c r="AY223" s="589">
        <v>391044181</v>
      </c>
      <c r="AZ223" s="589">
        <v>223500000</v>
      </c>
      <c r="BA223" s="589">
        <v>190783819</v>
      </c>
      <c r="BB223" s="589">
        <v>194672000</v>
      </c>
      <c r="BC223" s="668">
        <f t="shared" si="47"/>
        <v>1000000000</v>
      </c>
      <c r="BD223" s="658" t="s">
        <v>706</v>
      </c>
      <c r="BE223" s="658" t="s">
        <v>704</v>
      </c>
    </row>
    <row r="224" spans="1:57">
      <c r="A224" s="571"/>
      <c r="B224" s="572"/>
      <c r="C224" s="572"/>
      <c r="D224" s="572"/>
      <c r="E224" s="572"/>
      <c r="F224" s="572"/>
      <c r="G224" s="572"/>
      <c r="H224" s="667"/>
      <c r="I224" s="667"/>
      <c r="J224" s="667"/>
      <c r="K224" s="667"/>
      <c r="L224" s="667"/>
      <c r="M224" s="667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349" t="s">
        <v>1453</v>
      </c>
      <c r="AD224" s="420">
        <f>SUM(AD221:AD223)</f>
        <v>50</v>
      </c>
      <c r="AE224" s="337"/>
      <c r="AF224" s="337"/>
      <c r="AG224" s="337"/>
      <c r="AH224" s="337"/>
      <c r="AI224" s="228"/>
      <c r="AJ224" s="437">
        <f>SUM(AJ221:AJ223)</f>
        <v>99.9</v>
      </c>
      <c r="AK224" s="437"/>
      <c r="AL224" s="437"/>
      <c r="AM224" s="437"/>
      <c r="AN224" s="437"/>
      <c r="AO224" s="228"/>
      <c r="AP224" s="228"/>
      <c r="AQ224" s="228"/>
      <c r="AR224" s="228"/>
      <c r="AS224" s="228"/>
      <c r="AT224" s="228"/>
      <c r="AU224" s="228"/>
      <c r="AV224" s="228"/>
      <c r="AW224" s="228"/>
      <c r="AX224" s="228"/>
      <c r="AY224" s="232">
        <f>SUM(AY221:AY223)</f>
        <v>742980362</v>
      </c>
      <c r="AZ224" s="232">
        <f t="shared" ref="AZ224:BC224" si="48">SUM(AZ221:AZ223)</f>
        <v>357259638</v>
      </c>
      <c r="BA224" s="232">
        <f t="shared" si="48"/>
        <v>338120000</v>
      </c>
      <c r="BB224" s="232">
        <f t="shared" si="48"/>
        <v>341640000</v>
      </c>
      <c r="BC224" s="232">
        <f t="shared" si="48"/>
        <v>1780000000</v>
      </c>
      <c r="BD224" s="228"/>
      <c r="BE224" s="228"/>
    </row>
    <row r="225" spans="1:57" ht="33" customHeight="1">
      <c r="A225" s="571"/>
      <c r="B225" s="572"/>
      <c r="C225" s="572"/>
      <c r="D225" s="572"/>
      <c r="E225" s="572"/>
      <c r="F225" s="572"/>
      <c r="G225" s="572"/>
      <c r="H225" s="667"/>
      <c r="I225" s="667"/>
      <c r="J225" s="667"/>
      <c r="K225" s="667"/>
      <c r="L225" s="667"/>
      <c r="M225" s="667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194" t="s">
        <v>707</v>
      </c>
      <c r="AD225" s="404">
        <f>+(0.25*100)/2</f>
        <v>12.5</v>
      </c>
      <c r="AE225" s="404">
        <f>+AD225*C4</f>
        <v>1.25</v>
      </c>
      <c r="AF225" s="404">
        <f>+AD225*D4</f>
        <v>5.625</v>
      </c>
      <c r="AG225" s="404">
        <f>+AD225*E4</f>
        <v>3.125</v>
      </c>
      <c r="AH225" s="404">
        <f>+AD225*F4</f>
        <v>2.5</v>
      </c>
      <c r="AI225" s="667" t="s">
        <v>708</v>
      </c>
      <c r="AJ225" s="669">
        <v>100</v>
      </c>
      <c r="AK225" s="669">
        <f>+AJ225*C4</f>
        <v>10</v>
      </c>
      <c r="AL225" s="669">
        <f>+AJ225*D4</f>
        <v>45</v>
      </c>
      <c r="AM225" s="669">
        <f>+AJ225*E4</f>
        <v>25</v>
      </c>
      <c r="AN225" s="669">
        <f>+AJ225*F4</f>
        <v>20</v>
      </c>
      <c r="AO225" s="667" t="s">
        <v>709</v>
      </c>
      <c r="AP225" s="667" t="s">
        <v>202</v>
      </c>
      <c r="AQ225" s="667" t="s">
        <v>87</v>
      </c>
      <c r="AR225" s="667">
        <v>5</v>
      </c>
      <c r="AS225" s="670">
        <v>16</v>
      </c>
      <c r="AT225" s="667">
        <v>5</v>
      </c>
      <c r="AU225" s="667">
        <v>5</v>
      </c>
      <c r="AV225" s="667">
        <v>6</v>
      </c>
      <c r="AW225" s="667">
        <v>5</v>
      </c>
      <c r="AX225" s="667">
        <v>11</v>
      </c>
      <c r="AY225" s="671">
        <v>1000000000</v>
      </c>
      <c r="AZ225" s="671">
        <v>540299638</v>
      </c>
      <c r="BA225" s="671">
        <v>205200362</v>
      </c>
      <c r="BB225" s="671">
        <v>126000000</v>
      </c>
      <c r="BC225" s="672">
        <f>SUM(AY225:BB225)</f>
        <v>1871500000</v>
      </c>
      <c r="BD225" s="458" t="s">
        <v>706</v>
      </c>
      <c r="BE225" s="458" t="s">
        <v>704</v>
      </c>
    </row>
    <row r="226" spans="1:57">
      <c r="A226" s="571"/>
      <c r="B226" s="572"/>
      <c r="C226" s="572"/>
      <c r="D226" s="572"/>
      <c r="E226" s="572"/>
      <c r="F226" s="572"/>
      <c r="G226" s="572"/>
      <c r="H226" s="667"/>
      <c r="I226" s="667"/>
      <c r="J226" s="667"/>
      <c r="K226" s="667"/>
      <c r="L226" s="667"/>
      <c r="M226" s="667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349" t="s">
        <v>1453</v>
      </c>
      <c r="AD226" s="420">
        <f>SUM(AD225)</f>
        <v>12.5</v>
      </c>
      <c r="AE226" s="423"/>
      <c r="AF226" s="423"/>
      <c r="AG226" s="423"/>
      <c r="AH226" s="423"/>
      <c r="AI226" s="228"/>
      <c r="AJ226" s="420">
        <f t="shared" ref="AJ226" si="49">SUM(AJ225)</f>
        <v>100</v>
      </c>
      <c r="AK226" s="420"/>
      <c r="AL226" s="420"/>
      <c r="AM226" s="420"/>
      <c r="AN226" s="420"/>
      <c r="AO226" s="228"/>
      <c r="AP226" s="228"/>
      <c r="AQ226" s="228"/>
      <c r="AR226" s="228"/>
      <c r="AS226" s="228"/>
      <c r="AT226" s="228"/>
      <c r="AU226" s="228"/>
      <c r="AV226" s="228"/>
      <c r="AW226" s="228"/>
      <c r="AX226" s="228"/>
      <c r="AY226" s="232">
        <f>SUM(AY225)</f>
        <v>1000000000</v>
      </c>
      <c r="AZ226" s="232">
        <f>SUM(AZ225)</f>
        <v>540299638</v>
      </c>
      <c r="BA226" s="232">
        <f>SUM(BA225)</f>
        <v>205200362</v>
      </c>
      <c r="BB226" s="232">
        <f>SUM(BB225)</f>
        <v>126000000</v>
      </c>
      <c r="BC226" s="232">
        <f>SUM(BC225)</f>
        <v>1871500000</v>
      </c>
      <c r="BD226" s="228"/>
      <c r="BE226" s="228"/>
    </row>
    <row r="227" spans="1:57" ht="22.5" customHeight="1">
      <c r="A227" s="571"/>
      <c r="B227" s="572"/>
      <c r="C227" s="572"/>
      <c r="D227" s="572"/>
      <c r="E227" s="572"/>
      <c r="F227" s="572"/>
      <c r="G227" s="572"/>
      <c r="H227" s="667"/>
      <c r="I227" s="667"/>
      <c r="J227" s="667"/>
      <c r="K227" s="667"/>
      <c r="L227" s="667"/>
      <c r="M227" s="667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458" t="s">
        <v>1447</v>
      </c>
      <c r="AD227" s="404">
        <f>+(0.5*100)/2</f>
        <v>25</v>
      </c>
      <c r="AE227" s="404">
        <f>+AD227*C4</f>
        <v>2.5</v>
      </c>
      <c r="AF227" s="404">
        <f>+AD227*D4</f>
        <v>11.25</v>
      </c>
      <c r="AG227" s="404">
        <f>+AD227*E4</f>
        <v>6.25</v>
      </c>
      <c r="AH227" s="404">
        <f>+AD227*F4</f>
        <v>5</v>
      </c>
      <c r="AI227" s="667" t="s">
        <v>1448</v>
      </c>
      <c r="AJ227" s="669">
        <v>100</v>
      </c>
      <c r="AK227" s="669">
        <f>+AJ227*C4</f>
        <v>10</v>
      </c>
      <c r="AL227" s="669">
        <f>+AJ227*D4</f>
        <v>45</v>
      </c>
      <c r="AM227" s="669">
        <f>+AJ227*E4</f>
        <v>25</v>
      </c>
      <c r="AN227" s="669">
        <f>+AJ227*F4</f>
        <v>20</v>
      </c>
      <c r="AO227" s="667" t="s">
        <v>1449</v>
      </c>
      <c r="AP227" s="667" t="s">
        <v>202</v>
      </c>
      <c r="AQ227" s="667" t="s">
        <v>87</v>
      </c>
      <c r="AR227" s="667">
        <v>4</v>
      </c>
      <c r="AS227" s="667">
        <v>16</v>
      </c>
      <c r="AT227" s="667">
        <v>3</v>
      </c>
      <c r="AU227" s="667">
        <v>3</v>
      </c>
      <c r="AV227" s="667">
        <v>3</v>
      </c>
      <c r="AW227" s="667">
        <v>3</v>
      </c>
      <c r="AX227" s="667">
        <v>12</v>
      </c>
      <c r="AY227" s="671">
        <v>462000000</v>
      </c>
      <c r="AZ227" s="671">
        <v>0</v>
      </c>
      <c r="BA227" s="671">
        <v>68400000</v>
      </c>
      <c r="BB227" s="671">
        <v>69600000</v>
      </c>
      <c r="BC227" s="671">
        <f>SUM(AY227:BB227)</f>
        <v>600000000</v>
      </c>
      <c r="BD227" s="671" t="s">
        <v>713</v>
      </c>
      <c r="BE227" s="671" t="s">
        <v>704</v>
      </c>
    </row>
    <row r="228" spans="1:57">
      <c r="A228" s="571"/>
      <c r="B228" s="572"/>
      <c r="C228" s="572"/>
      <c r="D228" s="572"/>
      <c r="E228" s="572"/>
      <c r="F228" s="572"/>
      <c r="G228" s="572"/>
      <c r="H228" s="667"/>
      <c r="I228" s="667"/>
      <c r="J228" s="667"/>
      <c r="K228" s="667"/>
      <c r="L228" s="667"/>
      <c r="M228" s="667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349" t="s">
        <v>1453</v>
      </c>
      <c r="AD228" s="420">
        <f>SUM(AD227)</f>
        <v>25</v>
      </c>
      <c r="AE228" s="423"/>
      <c r="AF228" s="423"/>
      <c r="AG228" s="423"/>
      <c r="AH228" s="423"/>
      <c r="AI228" s="228"/>
      <c r="AJ228" s="439">
        <f>SUM(AJ227)</f>
        <v>100</v>
      </c>
      <c r="AK228" s="439"/>
      <c r="AL228" s="439"/>
      <c r="AM228" s="439"/>
      <c r="AN228" s="439"/>
      <c r="AO228" s="338"/>
      <c r="AP228" s="338"/>
      <c r="AQ228" s="338"/>
      <c r="AR228" s="338"/>
      <c r="AS228" s="338"/>
      <c r="AT228" s="338"/>
      <c r="AU228" s="338"/>
      <c r="AV228" s="338"/>
      <c r="AW228" s="338"/>
      <c r="AX228" s="338"/>
      <c r="AY228" s="339">
        <f>SUM(AY227)</f>
        <v>462000000</v>
      </c>
      <c r="AZ228" s="339">
        <f t="shared" ref="AZ228:BC228" si="50">SUM(AZ227)</f>
        <v>0</v>
      </c>
      <c r="BA228" s="339">
        <f t="shared" si="50"/>
        <v>68400000</v>
      </c>
      <c r="BB228" s="339">
        <f t="shared" si="50"/>
        <v>69600000</v>
      </c>
      <c r="BC228" s="339">
        <f t="shared" si="50"/>
        <v>600000000</v>
      </c>
      <c r="BD228" s="338"/>
      <c r="BE228" s="338"/>
    </row>
    <row r="229" spans="1:57" ht="22.5">
      <c r="A229" s="571"/>
      <c r="B229" s="572"/>
      <c r="C229" s="572"/>
      <c r="D229" s="572"/>
      <c r="E229" s="572"/>
      <c r="F229" s="572"/>
      <c r="G229" s="572"/>
      <c r="H229" s="667"/>
      <c r="I229" s="667"/>
      <c r="J229" s="667"/>
      <c r="K229" s="667"/>
      <c r="L229" s="667"/>
      <c r="M229" s="66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458" t="s">
        <v>710</v>
      </c>
      <c r="AD229" s="404">
        <f>+(0.25*100)/2</f>
        <v>12.5</v>
      </c>
      <c r="AE229" s="404">
        <f>+AD229*C4</f>
        <v>1.25</v>
      </c>
      <c r="AF229" s="404">
        <f>+AD229*D4</f>
        <v>5.625</v>
      </c>
      <c r="AG229" s="404">
        <f>+AD229*E4</f>
        <v>3.125</v>
      </c>
      <c r="AH229" s="404">
        <f>+AD229*F4</f>
        <v>2.5</v>
      </c>
      <c r="AI229" s="667" t="s">
        <v>711</v>
      </c>
      <c r="AJ229" s="460">
        <v>100</v>
      </c>
      <c r="AK229" s="460">
        <f>+AJ229*C4</f>
        <v>10</v>
      </c>
      <c r="AL229" s="460">
        <f>+AJ229*D4</f>
        <v>45</v>
      </c>
      <c r="AM229" s="460">
        <f>+AJ229*E4</f>
        <v>25</v>
      </c>
      <c r="AN229" s="460">
        <f>+AJ229*F4</f>
        <v>20</v>
      </c>
      <c r="AO229" s="458" t="s">
        <v>712</v>
      </c>
      <c r="AP229" s="458" t="s">
        <v>202</v>
      </c>
      <c r="AQ229" s="458" t="s">
        <v>87</v>
      </c>
      <c r="AR229" s="458">
        <v>14</v>
      </c>
      <c r="AS229" s="458">
        <v>22</v>
      </c>
      <c r="AT229" s="458">
        <v>2</v>
      </c>
      <c r="AU229" s="458">
        <v>2</v>
      </c>
      <c r="AV229" s="458">
        <v>2</v>
      </c>
      <c r="AW229" s="458">
        <v>2</v>
      </c>
      <c r="AX229" s="458">
        <v>8</v>
      </c>
      <c r="AY229" s="642">
        <v>800000000</v>
      </c>
      <c r="AZ229" s="642">
        <v>400000000</v>
      </c>
      <c r="BA229" s="642">
        <v>0</v>
      </c>
      <c r="BB229" s="642">
        <v>0</v>
      </c>
      <c r="BC229" s="673">
        <f>SUM(AY229:BB229)</f>
        <v>1200000000</v>
      </c>
      <c r="BD229" s="458" t="s">
        <v>713</v>
      </c>
      <c r="BE229" s="458" t="s">
        <v>713</v>
      </c>
    </row>
    <row r="230" spans="1:57">
      <c r="A230" s="571"/>
      <c r="B230" s="572"/>
      <c r="C230" s="572"/>
      <c r="D230" s="572"/>
      <c r="E230" s="572"/>
      <c r="F230" s="572"/>
      <c r="G230" s="572"/>
      <c r="H230" s="222" t="s">
        <v>594</v>
      </c>
      <c r="I230" s="228"/>
      <c r="J230" s="228"/>
      <c r="K230" s="228"/>
      <c r="L230" s="228"/>
      <c r="M230" s="228"/>
      <c r="N230" s="228"/>
      <c r="O230" s="228"/>
      <c r="P230" s="228"/>
      <c r="Q230" s="228"/>
      <c r="R230" s="228"/>
      <c r="S230" s="228"/>
      <c r="T230" s="228"/>
      <c r="U230" s="228"/>
      <c r="V230" s="228"/>
      <c r="W230" s="228"/>
      <c r="X230" s="228"/>
      <c r="Y230" s="228"/>
      <c r="Z230" s="228"/>
      <c r="AA230" s="228"/>
      <c r="AB230" s="228"/>
      <c r="AC230" s="349" t="s">
        <v>1453</v>
      </c>
      <c r="AD230" s="420">
        <f>SUM(AD229)</f>
        <v>12.5</v>
      </c>
      <c r="AE230" s="423"/>
      <c r="AF230" s="423"/>
      <c r="AG230" s="423"/>
      <c r="AH230" s="423"/>
      <c r="AI230" s="228"/>
      <c r="AJ230" s="420">
        <f>SUM(AJ229)</f>
        <v>100</v>
      </c>
      <c r="AK230" s="420"/>
      <c r="AL230" s="420"/>
      <c r="AM230" s="420"/>
      <c r="AN230" s="420"/>
      <c r="AO230" s="228"/>
      <c r="AP230" s="228"/>
      <c r="AQ230" s="228"/>
      <c r="AR230" s="228"/>
      <c r="AS230" s="228"/>
      <c r="AT230" s="228"/>
      <c r="AU230" s="228"/>
      <c r="AV230" s="228"/>
      <c r="AW230" s="228"/>
      <c r="AX230" s="228"/>
      <c r="AY230" s="232">
        <f>SUM(AY229)</f>
        <v>800000000</v>
      </c>
      <c r="AZ230" s="232">
        <f t="shared" ref="AZ230:BC230" si="51">SUM(AZ229)</f>
        <v>400000000</v>
      </c>
      <c r="BA230" s="232">
        <f t="shared" si="51"/>
        <v>0</v>
      </c>
      <c r="BB230" s="232">
        <f t="shared" si="51"/>
        <v>0</v>
      </c>
      <c r="BC230" s="232">
        <f t="shared" si="51"/>
        <v>1200000000</v>
      </c>
      <c r="BD230" s="228"/>
      <c r="BE230" s="228"/>
    </row>
    <row r="231" spans="1:57">
      <c r="A231" s="571"/>
      <c r="B231" s="572"/>
      <c r="C231" s="572"/>
      <c r="D231" s="572"/>
      <c r="E231" s="572"/>
      <c r="F231" s="572"/>
      <c r="G231" s="572"/>
      <c r="H231" s="223" t="s">
        <v>85</v>
      </c>
      <c r="I231" s="378">
        <f>+I221</f>
        <v>4.5454545454545459</v>
      </c>
      <c r="J231" s="223"/>
      <c r="K231" s="223"/>
      <c r="L231" s="223"/>
      <c r="M231" s="223"/>
      <c r="N231" s="223"/>
      <c r="O231" s="395">
        <f>SUM(O221:O230)</f>
        <v>100</v>
      </c>
      <c r="P231" s="223"/>
      <c r="Q231" s="223"/>
      <c r="R231" s="223"/>
      <c r="S231" s="223"/>
      <c r="T231" s="223"/>
      <c r="U231" s="223"/>
      <c r="V231" s="223"/>
      <c r="W231" s="223"/>
      <c r="X231" s="223"/>
      <c r="Y231" s="223"/>
      <c r="Z231" s="223"/>
      <c r="AA231" s="223"/>
      <c r="AB231" s="223"/>
      <c r="AC231" s="223"/>
      <c r="AD231" s="422">
        <f>+AD230+AD228+AD226+AD224</f>
        <v>100</v>
      </c>
      <c r="AE231" s="224"/>
      <c r="AF231" s="224"/>
      <c r="AG231" s="224"/>
      <c r="AH231" s="224"/>
      <c r="AI231" s="223"/>
      <c r="AJ231" s="241"/>
      <c r="AK231" s="241"/>
      <c r="AL231" s="241"/>
      <c r="AM231" s="241"/>
      <c r="AN231" s="241"/>
      <c r="AO231" s="223"/>
      <c r="AP231" s="351"/>
      <c r="AQ231" s="223"/>
      <c r="AR231" s="223"/>
      <c r="AS231" s="223"/>
      <c r="AT231" s="223"/>
      <c r="AU231" s="223"/>
      <c r="AV231" s="223"/>
      <c r="AW231" s="223"/>
      <c r="AX231" s="223"/>
      <c r="AY231" s="242">
        <f>+AY230+AY226+AY224+AY228</f>
        <v>3004980362</v>
      </c>
      <c r="AZ231" s="242">
        <f t="shared" ref="AZ231:BC231" si="52">+AZ230+AZ226+AZ224+AZ228</f>
        <v>1297559276</v>
      </c>
      <c r="BA231" s="242">
        <f t="shared" si="52"/>
        <v>611720362</v>
      </c>
      <c r="BB231" s="242">
        <f t="shared" si="52"/>
        <v>537240000</v>
      </c>
      <c r="BC231" s="242">
        <f t="shared" si="52"/>
        <v>5451500000</v>
      </c>
      <c r="BD231" s="223"/>
      <c r="BE231" s="223"/>
    </row>
    <row r="232" spans="1:57" ht="35.25" customHeight="1">
      <c r="A232" s="571"/>
      <c r="B232" s="572"/>
      <c r="C232" s="572"/>
      <c r="D232" s="572"/>
      <c r="E232" s="572"/>
      <c r="F232" s="572"/>
      <c r="G232" s="572"/>
      <c r="H232" s="667" t="s">
        <v>714</v>
      </c>
      <c r="I232" s="404">
        <f>+(2*100)/44</f>
        <v>4.5454545454545459</v>
      </c>
      <c r="J232" s="404">
        <f>+I232*C4</f>
        <v>0.45454545454545459</v>
      </c>
      <c r="K232" s="404">
        <f>+I232*D4</f>
        <v>2.0454545454545459</v>
      </c>
      <c r="L232" s="404">
        <f>+I232*E4</f>
        <v>1.1363636363636365</v>
      </c>
      <c r="M232" s="404">
        <f>+I232*F4</f>
        <v>0.90909090909090917</v>
      </c>
      <c r="N232" s="667" t="s">
        <v>715</v>
      </c>
      <c r="O232" s="404">
        <f>+(0.7*100)/2</f>
        <v>35</v>
      </c>
      <c r="P232" s="404">
        <f>+O232*C4</f>
        <v>3.5</v>
      </c>
      <c r="Q232" s="404">
        <f>+O232*D4</f>
        <v>15.75</v>
      </c>
      <c r="R232" s="404">
        <f>+O232*E4</f>
        <v>8.75</v>
      </c>
      <c r="S232" s="404">
        <f>+O34*F4</f>
        <v>6.6666666666666679</v>
      </c>
      <c r="T232" s="667" t="s">
        <v>716</v>
      </c>
      <c r="U232" s="667" t="s">
        <v>202</v>
      </c>
      <c r="V232" s="667" t="s">
        <v>87</v>
      </c>
      <c r="W232" s="667" t="s">
        <v>717</v>
      </c>
      <c r="X232" s="667">
        <v>3640</v>
      </c>
      <c r="Y232" s="667">
        <v>500</v>
      </c>
      <c r="Z232" s="667">
        <v>2000</v>
      </c>
      <c r="AA232" s="667">
        <v>800</v>
      </c>
      <c r="AB232" s="667">
        <v>340</v>
      </c>
      <c r="AC232" s="667" t="s">
        <v>718</v>
      </c>
      <c r="AD232" s="404">
        <f>+(0.7*100)/2</f>
        <v>35</v>
      </c>
      <c r="AE232" s="404">
        <f>+AD232*C4</f>
        <v>3.5</v>
      </c>
      <c r="AF232" s="404">
        <f>+AD232*D4</f>
        <v>15.75</v>
      </c>
      <c r="AG232" s="404">
        <f>+AD232*E4</f>
        <v>8.75</v>
      </c>
      <c r="AH232" s="404">
        <f>+AD232*F4</f>
        <v>7</v>
      </c>
      <c r="AI232" s="658" t="s">
        <v>719</v>
      </c>
      <c r="AJ232" s="620">
        <f>+(0.477*100)/0.705</f>
        <v>67.659574468085111</v>
      </c>
      <c r="AK232" s="620">
        <f>+AJ232*C4</f>
        <v>6.7659574468085113</v>
      </c>
      <c r="AL232" s="620">
        <f>+AJ232*D4</f>
        <v>30.446808510638302</v>
      </c>
      <c r="AM232" s="620">
        <f>+AJ232*E4</f>
        <v>16.914893617021278</v>
      </c>
      <c r="AN232" s="620">
        <f>+AJ232*F4</f>
        <v>13.531914893617023</v>
      </c>
      <c r="AO232" s="658" t="s">
        <v>722</v>
      </c>
      <c r="AP232" s="658" t="s">
        <v>203</v>
      </c>
      <c r="AQ232" s="658" t="s">
        <v>87</v>
      </c>
      <c r="AR232" s="658">
        <v>0</v>
      </c>
      <c r="AS232" s="658">
        <v>1</v>
      </c>
      <c r="AT232" s="658">
        <v>1</v>
      </c>
      <c r="AU232" s="658">
        <v>1</v>
      </c>
      <c r="AV232" s="658">
        <v>1</v>
      </c>
      <c r="AW232" s="658">
        <v>1</v>
      </c>
      <c r="AX232" s="658">
        <v>1</v>
      </c>
      <c r="AY232" s="589">
        <v>300000000</v>
      </c>
      <c r="AZ232" s="589">
        <v>49070000</v>
      </c>
      <c r="BA232" s="589">
        <v>55150000</v>
      </c>
      <c r="BB232" s="589">
        <v>75780000</v>
      </c>
      <c r="BC232" s="668">
        <f>SUM(AY232:BB232)</f>
        <v>480000000</v>
      </c>
      <c r="BD232" s="658" t="s">
        <v>705</v>
      </c>
      <c r="BE232" s="658" t="s">
        <v>725</v>
      </c>
    </row>
    <row r="233" spans="1:57" ht="45">
      <c r="A233" s="571"/>
      <c r="B233" s="572"/>
      <c r="C233" s="572"/>
      <c r="D233" s="572"/>
      <c r="E233" s="572"/>
      <c r="F233" s="572"/>
      <c r="G233" s="572"/>
      <c r="H233" s="667"/>
      <c r="I233" s="376"/>
      <c r="J233" s="667"/>
      <c r="K233" s="667"/>
      <c r="L233" s="667"/>
      <c r="M233" s="667"/>
      <c r="N233" s="667"/>
      <c r="O233" s="667"/>
      <c r="P233" s="667"/>
      <c r="Q233" s="667"/>
      <c r="R233" s="667"/>
      <c r="S233" s="667"/>
      <c r="T233" s="667"/>
      <c r="U233" s="667"/>
      <c r="V233" s="667"/>
      <c r="W233" s="667"/>
      <c r="X233" s="667"/>
      <c r="Y233" s="667"/>
      <c r="Z233" s="667"/>
      <c r="AA233" s="667"/>
      <c r="AB233" s="667"/>
      <c r="AC233" s="667"/>
      <c r="AD233" s="376"/>
      <c r="AE233" s="667"/>
      <c r="AF233" s="667"/>
      <c r="AG233" s="667"/>
      <c r="AH233" s="667"/>
      <c r="AI233" s="667" t="s">
        <v>720</v>
      </c>
      <c r="AJ233" s="620">
        <f>+(0.123*100)/0.705</f>
        <v>17.446808510638299</v>
      </c>
      <c r="AK233" s="620">
        <f>+AJ233*C4</f>
        <v>1.7446808510638299</v>
      </c>
      <c r="AL233" s="620">
        <f>+AJ233*D4</f>
        <v>7.8510638297872344</v>
      </c>
      <c r="AM233" s="620">
        <f>+AJ233*E4</f>
        <v>4.3617021276595747</v>
      </c>
      <c r="AN233" s="620">
        <f>+AJ233*F4</f>
        <v>3.4893617021276597</v>
      </c>
      <c r="AO233" s="658" t="s">
        <v>723</v>
      </c>
      <c r="AP233" s="658" t="s">
        <v>202</v>
      </c>
      <c r="AQ233" s="658" t="s">
        <v>87</v>
      </c>
      <c r="AR233" s="658">
        <v>0</v>
      </c>
      <c r="AS233" s="658">
        <v>4</v>
      </c>
      <c r="AT233" s="658">
        <v>1</v>
      </c>
      <c r="AU233" s="658">
        <v>1</v>
      </c>
      <c r="AV233" s="658">
        <v>1</v>
      </c>
      <c r="AW233" s="658">
        <v>1</v>
      </c>
      <c r="AX233" s="658">
        <v>4</v>
      </c>
      <c r="AY233" s="589">
        <v>262497533.5</v>
      </c>
      <c r="AZ233" s="589">
        <v>0</v>
      </c>
      <c r="BA233" s="589">
        <v>0</v>
      </c>
      <c r="BB233" s="589">
        <v>0</v>
      </c>
      <c r="BC233" s="668">
        <f t="shared" ref="BC233:BC234" si="53">SUM(AY233:BB233)</f>
        <v>262497533.5</v>
      </c>
      <c r="BD233" s="658" t="s">
        <v>706</v>
      </c>
      <c r="BE233" s="658" t="s">
        <v>725</v>
      </c>
    </row>
    <row r="234" spans="1:57" ht="22.5">
      <c r="A234" s="571"/>
      <c r="B234" s="572"/>
      <c r="C234" s="572"/>
      <c r="D234" s="572"/>
      <c r="E234" s="572"/>
      <c r="F234" s="572"/>
      <c r="G234" s="572"/>
      <c r="H234" s="667"/>
      <c r="I234" s="667"/>
      <c r="J234" s="667"/>
      <c r="K234" s="667"/>
      <c r="L234" s="667"/>
      <c r="M234" s="667"/>
      <c r="N234" s="667"/>
      <c r="O234" s="667"/>
      <c r="P234" s="667"/>
      <c r="Q234" s="667"/>
      <c r="R234" s="667"/>
      <c r="S234" s="667"/>
      <c r="T234" s="667"/>
      <c r="U234" s="667"/>
      <c r="V234" s="667"/>
      <c r="W234" s="667"/>
      <c r="X234" s="667"/>
      <c r="Y234" s="667"/>
      <c r="Z234" s="667"/>
      <c r="AA234" s="667"/>
      <c r="AB234" s="667"/>
      <c r="AC234" s="667"/>
      <c r="AD234" s="667"/>
      <c r="AE234" s="667"/>
      <c r="AF234" s="667"/>
      <c r="AG234" s="667"/>
      <c r="AH234" s="667"/>
      <c r="AI234" s="658" t="s">
        <v>721</v>
      </c>
      <c r="AJ234" s="620">
        <f>+(0.106*100)/0.705</f>
        <v>15.035460992907801</v>
      </c>
      <c r="AK234" s="620">
        <f>+AJ234*C4</f>
        <v>1.5035460992907801</v>
      </c>
      <c r="AL234" s="620">
        <f>+AJ234*D4</f>
        <v>6.7659574468085104</v>
      </c>
      <c r="AM234" s="620">
        <f>+AJ234*E4</f>
        <v>3.7588652482269502</v>
      </c>
      <c r="AN234" s="620">
        <f>+AJ234*F4</f>
        <v>3.0070921985815602</v>
      </c>
      <c r="AO234" s="458" t="s">
        <v>724</v>
      </c>
      <c r="AP234" s="458" t="s">
        <v>202</v>
      </c>
      <c r="AQ234" s="458" t="s">
        <v>87</v>
      </c>
      <c r="AR234" s="458">
        <v>0</v>
      </c>
      <c r="AS234" s="458">
        <v>1</v>
      </c>
      <c r="AT234" s="458">
        <v>1</v>
      </c>
      <c r="AU234" s="658">
        <v>1</v>
      </c>
      <c r="AV234" s="658">
        <v>1</v>
      </c>
      <c r="AW234" s="658">
        <v>1</v>
      </c>
      <c r="AX234" s="458">
        <v>1</v>
      </c>
      <c r="AY234" s="642">
        <v>100000000</v>
      </c>
      <c r="AZ234" s="642">
        <v>0</v>
      </c>
      <c r="BA234" s="642">
        <v>0</v>
      </c>
      <c r="BB234" s="642">
        <v>0</v>
      </c>
      <c r="BC234" s="673">
        <f t="shared" si="53"/>
        <v>100000000</v>
      </c>
      <c r="BD234" s="458" t="s">
        <v>705</v>
      </c>
      <c r="BE234" s="458" t="s">
        <v>725</v>
      </c>
    </row>
    <row r="235" spans="1:57">
      <c r="A235" s="571"/>
      <c r="B235" s="572"/>
      <c r="C235" s="572"/>
      <c r="D235" s="572"/>
      <c r="E235" s="572"/>
      <c r="F235" s="572"/>
      <c r="G235" s="572"/>
      <c r="H235" s="667"/>
      <c r="I235" s="667"/>
      <c r="J235" s="667"/>
      <c r="K235" s="667"/>
      <c r="L235" s="667"/>
      <c r="M235" s="667"/>
      <c r="N235" s="228"/>
      <c r="O235" s="228"/>
      <c r="P235" s="228"/>
      <c r="Q235" s="228"/>
      <c r="R235" s="228"/>
      <c r="S235" s="228"/>
      <c r="T235" s="228"/>
      <c r="U235" s="228"/>
      <c r="V235" s="228"/>
      <c r="W235" s="228"/>
      <c r="X235" s="228"/>
      <c r="Y235" s="228"/>
      <c r="Z235" s="228"/>
      <c r="AA235" s="228"/>
      <c r="AB235" s="228"/>
      <c r="AC235" s="349" t="s">
        <v>1453</v>
      </c>
      <c r="AD235" s="423">
        <f>+AD232</f>
        <v>35</v>
      </c>
      <c r="AE235" s="228"/>
      <c r="AF235" s="228"/>
      <c r="AG235" s="228"/>
      <c r="AH235" s="228"/>
      <c r="AI235" s="228"/>
      <c r="AJ235" s="437">
        <f>SUM(AJ232:AJ234)</f>
        <v>100.14184397163122</v>
      </c>
      <c r="AK235" s="437"/>
      <c r="AL235" s="437"/>
      <c r="AM235" s="437"/>
      <c r="AN235" s="437"/>
      <c r="AO235" s="228"/>
      <c r="AP235" s="228"/>
      <c r="AQ235" s="228"/>
      <c r="AR235" s="228"/>
      <c r="AS235" s="228"/>
      <c r="AT235" s="228"/>
      <c r="AU235" s="228"/>
      <c r="AV235" s="228"/>
      <c r="AW235" s="228"/>
      <c r="AX235" s="228"/>
      <c r="AY235" s="232">
        <f>SUM(AY232:AY234)</f>
        <v>662497533.5</v>
      </c>
      <c r="AZ235" s="232">
        <f t="shared" ref="AZ235:BC235" si="54">SUM(AZ232:AZ234)</f>
        <v>49070000</v>
      </c>
      <c r="BA235" s="232">
        <f t="shared" si="54"/>
        <v>55150000</v>
      </c>
      <c r="BB235" s="232">
        <f t="shared" si="54"/>
        <v>75780000</v>
      </c>
      <c r="BC235" s="232">
        <f t="shared" si="54"/>
        <v>842497533.5</v>
      </c>
      <c r="BD235" s="228"/>
      <c r="BE235" s="228"/>
    </row>
    <row r="236" spans="1:57" ht="22.5">
      <c r="A236" s="571"/>
      <c r="B236" s="572"/>
      <c r="C236" s="572"/>
      <c r="D236" s="572"/>
      <c r="E236" s="572"/>
      <c r="F236" s="572"/>
      <c r="G236" s="572"/>
      <c r="H236" s="667"/>
      <c r="I236" s="667"/>
      <c r="J236" s="667"/>
      <c r="K236" s="667"/>
      <c r="L236" s="667"/>
      <c r="M236" s="667"/>
      <c r="N236" s="658" t="s">
        <v>726</v>
      </c>
      <c r="O236" s="415">
        <f>+(0.2*100)/2</f>
        <v>10</v>
      </c>
      <c r="P236" s="415">
        <f>+O236*C4</f>
        <v>1</v>
      </c>
      <c r="Q236" s="415">
        <f>+O236*D4</f>
        <v>4.5</v>
      </c>
      <c r="R236" s="415">
        <f>+O236*E4</f>
        <v>2.5</v>
      </c>
      <c r="S236" s="415">
        <f>+O236*F4</f>
        <v>2</v>
      </c>
      <c r="T236" s="658" t="s">
        <v>730</v>
      </c>
      <c r="U236" s="658" t="s">
        <v>202</v>
      </c>
      <c r="V236" s="658"/>
      <c r="W236" s="658">
        <v>0</v>
      </c>
      <c r="X236" s="658">
        <v>1</v>
      </c>
      <c r="Y236" s="658">
        <v>1</v>
      </c>
      <c r="Z236" s="658">
        <v>1</v>
      </c>
      <c r="AA236" s="658">
        <v>1</v>
      </c>
      <c r="AB236" s="658">
        <v>1</v>
      </c>
      <c r="AC236" s="667" t="s">
        <v>734</v>
      </c>
      <c r="AD236" s="404">
        <f>+(0.7*100)/2</f>
        <v>35</v>
      </c>
      <c r="AE236" s="404">
        <f>+AD236*C4</f>
        <v>3.5</v>
      </c>
      <c r="AF236" s="404">
        <f>+AD236*D4</f>
        <v>15.75</v>
      </c>
      <c r="AG236" s="404">
        <f>+AD236*E4</f>
        <v>8.75</v>
      </c>
      <c r="AH236" s="404">
        <f>+AD236*F4</f>
        <v>7</v>
      </c>
      <c r="AI236" s="658" t="s">
        <v>735</v>
      </c>
      <c r="AJ236" s="620">
        <f>+(0.004*100)/0.7</f>
        <v>0.57142857142857151</v>
      </c>
      <c r="AK236" s="620">
        <f>+AJ236*C4</f>
        <v>5.7142857142857155E-2</v>
      </c>
      <c r="AL236" s="620">
        <f>+AJ236*D4</f>
        <v>0.25714285714285717</v>
      </c>
      <c r="AM236" s="620">
        <f>+AJ236*E4</f>
        <v>0.14285714285714288</v>
      </c>
      <c r="AN236" s="620">
        <f>+AJ236*F4</f>
        <v>0.11428571428571431</v>
      </c>
      <c r="AO236" s="658" t="s">
        <v>743</v>
      </c>
      <c r="AP236" s="658" t="s">
        <v>202</v>
      </c>
      <c r="AQ236" s="458" t="s">
        <v>87</v>
      </c>
      <c r="AR236" s="658">
        <v>0</v>
      </c>
      <c r="AS236" s="658">
        <v>1</v>
      </c>
      <c r="AT236" s="658">
        <v>1</v>
      </c>
      <c r="AU236" s="658">
        <v>1</v>
      </c>
      <c r="AV236" s="658">
        <v>1</v>
      </c>
      <c r="AW236" s="658">
        <v>1</v>
      </c>
      <c r="AX236" s="658">
        <v>1</v>
      </c>
      <c r="AY236" s="589">
        <v>50000000</v>
      </c>
      <c r="AZ236" s="589">
        <v>0</v>
      </c>
      <c r="BA236" s="589">
        <v>0</v>
      </c>
      <c r="BB236" s="589">
        <v>0</v>
      </c>
      <c r="BC236" s="668">
        <f>SUM(AY236:BB236)</f>
        <v>50000000</v>
      </c>
      <c r="BD236" s="658" t="s">
        <v>705</v>
      </c>
      <c r="BE236" s="658" t="s">
        <v>725</v>
      </c>
    </row>
    <row r="237" spans="1:57" ht="45">
      <c r="A237" s="571"/>
      <c r="B237" s="572"/>
      <c r="C237" s="572"/>
      <c r="D237" s="572"/>
      <c r="E237" s="572"/>
      <c r="F237" s="572"/>
      <c r="G237" s="572"/>
      <c r="H237" s="667"/>
      <c r="I237" s="667"/>
      <c r="J237" s="667"/>
      <c r="K237" s="667"/>
      <c r="L237" s="667"/>
      <c r="M237" s="667"/>
      <c r="N237" s="658" t="s">
        <v>727</v>
      </c>
      <c r="O237" s="415">
        <f>+(0.2*100)/2</f>
        <v>10</v>
      </c>
      <c r="P237" s="674">
        <f>+O237*C4</f>
        <v>1</v>
      </c>
      <c r="Q237" s="674">
        <f>+O237*D4</f>
        <v>4.5</v>
      </c>
      <c r="R237" s="674">
        <f>+O237*E4</f>
        <v>2.5</v>
      </c>
      <c r="S237" s="674">
        <f>+O237*F4</f>
        <v>2</v>
      </c>
      <c r="T237" s="658" t="s">
        <v>731</v>
      </c>
      <c r="U237" s="658" t="s">
        <v>202</v>
      </c>
      <c r="V237" s="658"/>
      <c r="W237" s="658">
        <v>25500</v>
      </c>
      <c r="X237" s="658">
        <v>29000</v>
      </c>
      <c r="Y237" s="658">
        <v>500</v>
      </c>
      <c r="Z237" s="658">
        <v>2000</v>
      </c>
      <c r="AA237" s="658">
        <v>1000</v>
      </c>
      <c r="AB237" s="658">
        <v>500</v>
      </c>
      <c r="AC237" s="667"/>
      <c r="AD237" s="667"/>
      <c r="AE237" s="667"/>
      <c r="AF237" s="667"/>
      <c r="AG237" s="667"/>
      <c r="AH237" s="667"/>
      <c r="AI237" s="658" t="s">
        <v>736</v>
      </c>
      <c r="AJ237" s="620">
        <f>+(0.176*100)/0.7</f>
        <v>25.142857142857142</v>
      </c>
      <c r="AK237" s="620">
        <f>+AJ237*C4</f>
        <v>2.5142857142857142</v>
      </c>
      <c r="AL237" s="620">
        <f>+AJ237*D4</f>
        <v>11.314285714285715</v>
      </c>
      <c r="AM237" s="620">
        <f>+AJ237*E4</f>
        <v>6.2857142857142856</v>
      </c>
      <c r="AN237" s="620">
        <f>+AJ237*F4</f>
        <v>5.0285714285714285</v>
      </c>
      <c r="AO237" s="658" t="s">
        <v>744</v>
      </c>
      <c r="AP237" s="658" t="s">
        <v>202</v>
      </c>
      <c r="AQ237" s="458" t="s">
        <v>87</v>
      </c>
      <c r="AR237" s="658">
        <v>2300</v>
      </c>
      <c r="AS237" s="658">
        <v>6300</v>
      </c>
      <c r="AT237" s="658">
        <v>1300</v>
      </c>
      <c r="AU237" s="658">
        <v>1000</v>
      </c>
      <c r="AV237" s="658">
        <v>1000</v>
      </c>
      <c r="AW237" s="658">
        <v>700</v>
      </c>
      <c r="AX237" s="658">
        <v>4000</v>
      </c>
      <c r="AY237" s="589">
        <v>1000000020</v>
      </c>
      <c r="AZ237" s="589">
        <v>300000000</v>
      </c>
      <c r="BA237" s="589">
        <v>299999980</v>
      </c>
      <c r="BB237" s="589">
        <v>0</v>
      </c>
      <c r="BC237" s="668">
        <f t="shared" ref="BC237:BC243" si="55">SUM(AY237:BB237)</f>
        <v>1600000000</v>
      </c>
      <c r="BD237" s="658" t="s">
        <v>705</v>
      </c>
      <c r="BE237" s="658" t="s">
        <v>725</v>
      </c>
    </row>
    <row r="238" spans="1:57" ht="33.75" customHeight="1">
      <c r="A238" s="571"/>
      <c r="B238" s="572"/>
      <c r="C238" s="572"/>
      <c r="D238" s="572"/>
      <c r="E238" s="572"/>
      <c r="F238" s="572"/>
      <c r="G238" s="572"/>
      <c r="H238" s="667"/>
      <c r="I238" s="667"/>
      <c r="J238" s="667"/>
      <c r="K238" s="667"/>
      <c r="L238" s="667"/>
      <c r="M238" s="667"/>
      <c r="N238" s="194" t="s">
        <v>728</v>
      </c>
      <c r="O238" s="404">
        <f>+(0.2*100)/2</f>
        <v>10</v>
      </c>
      <c r="P238" s="404">
        <f>+O238*C4</f>
        <v>1</v>
      </c>
      <c r="Q238" s="404">
        <f>+O238*D4</f>
        <v>4.5</v>
      </c>
      <c r="R238" s="404">
        <f>+O238*E4</f>
        <v>2.5</v>
      </c>
      <c r="S238" s="404">
        <f>+O238*F4</f>
        <v>2</v>
      </c>
      <c r="T238" s="675" t="s">
        <v>732</v>
      </c>
      <c r="U238" s="667" t="s">
        <v>202</v>
      </c>
      <c r="V238" s="667"/>
      <c r="W238" s="667">
        <v>7</v>
      </c>
      <c r="X238" s="667">
        <v>17</v>
      </c>
      <c r="Y238" s="667">
        <v>1</v>
      </c>
      <c r="Z238" s="667">
        <v>5</v>
      </c>
      <c r="AA238" s="667">
        <v>2</v>
      </c>
      <c r="AB238" s="667">
        <v>2</v>
      </c>
      <c r="AC238" s="667"/>
      <c r="AD238" s="376"/>
      <c r="AE238" s="667"/>
      <c r="AF238" s="667"/>
      <c r="AG238" s="667"/>
      <c r="AH238" s="667"/>
      <c r="AI238" s="658" t="s">
        <v>737</v>
      </c>
      <c r="AJ238" s="620">
        <f>+(0.033*100)/0.7</f>
        <v>4.7142857142857153</v>
      </c>
      <c r="AK238" s="620">
        <f>+AJ238*C4</f>
        <v>0.47142857142857153</v>
      </c>
      <c r="AL238" s="620">
        <f>+AJ238*D4</f>
        <v>2.1214285714285719</v>
      </c>
      <c r="AM238" s="620">
        <f>+AJ238*E4</f>
        <v>1.1785714285714288</v>
      </c>
      <c r="AN238" s="620">
        <f>+AJ238*F4</f>
        <v>0.94285714285714306</v>
      </c>
      <c r="AO238" s="658" t="s">
        <v>743</v>
      </c>
      <c r="AP238" s="658" t="s">
        <v>202</v>
      </c>
      <c r="AQ238" s="458" t="s">
        <v>87</v>
      </c>
      <c r="AR238" s="658">
        <v>0</v>
      </c>
      <c r="AS238" s="658">
        <v>6</v>
      </c>
      <c r="AT238" s="658">
        <v>1</v>
      </c>
      <c r="AU238" s="658">
        <v>1</v>
      </c>
      <c r="AV238" s="658">
        <v>2</v>
      </c>
      <c r="AW238" s="658">
        <v>2</v>
      </c>
      <c r="AX238" s="658">
        <v>6</v>
      </c>
      <c r="AY238" s="589">
        <v>100000000</v>
      </c>
      <c r="AZ238" s="589">
        <v>50000000</v>
      </c>
      <c r="BA238" s="589">
        <v>25000000</v>
      </c>
      <c r="BB238" s="589">
        <v>25000000</v>
      </c>
      <c r="BC238" s="668">
        <f t="shared" si="55"/>
        <v>200000000</v>
      </c>
      <c r="BD238" s="658" t="s">
        <v>705</v>
      </c>
      <c r="BE238" s="658" t="s">
        <v>725</v>
      </c>
    </row>
    <row r="239" spans="1:57" ht="22.5">
      <c r="A239" s="571"/>
      <c r="B239" s="572"/>
      <c r="C239" s="572"/>
      <c r="D239" s="572"/>
      <c r="E239" s="572"/>
      <c r="F239" s="572"/>
      <c r="G239" s="572"/>
      <c r="H239" s="667"/>
      <c r="I239" s="667"/>
      <c r="J239" s="667"/>
      <c r="K239" s="667"/>
      <c r="L239" s="667"/>
      <c r="M239" s="667"/>
      <c r="N239" s="7"/>
      <c r="O239" s="377"/>
      <c r="P239" s="377"/>
      <c r="Q239" s="377"/>
      <c r="R239" s="377"/>
      <c r="S239" s="377"/>
      <c r="T239" s="675"/>
      <c r="U239" s="459"/>
      <c r="V239" s="459"/>
      <c r="W239" s="459"/>
      <c r="X239" s="459"/>
      <c r="Y239" s="459"/>
      <c r="Z239" s="459"/>
      <c r="AA239" s="459"/>
      <c r="AB239" s="459"/>
      <c r="AC239" s="667"/>
      <c r="AD239" s="667"/>
      <c r="AE239" s="667"/>
      <c r="AF239" s="667"/>
      <c r="AG239" s="667"/>
      <c r="AH239" s="667"/>
      <c r="AI239" s="658" t="s">
        <v>738</v>
      </c>
      <c r="AJ239" s="620">
        <f>+(0.031*100)/0.7</f>
        <v>4.4285714285714288</v>
      </c>
      <c r="AK239" s="620">
        <f>+AJ239*C4</f>
        <v>0.44285714285714289</v>
      </c>
      <c r="AL239" s="620">
        <v>0</v>
      </c>
      <c r="AM239" s="620">
        <v>3.1</v>
      </c>
      <c r="AN239" s="620">
        <f>+AJ239*F4</f>
        <v>0.88571428571428579</v>
      </c>
      <c r="AO239" s="658" t="s">
        <v>745</v>
      </c>
      <c r="AP239" s="658" t="s">
        <v>202</v>
      </c>
      <c r="AQ239" s="458" t="s">
        <v>87</v>
      </c>
      <c r="AR239" s="658">
        <v>2</v>
      </c>
      <c r="AS239" s="658">
        <v>6</v>
      </c>
      <c r="AT239" s="658">
        <v>1</v>
      </c>
      <c r="AU239" s="658">
        <v>0</v>
      </c>
      <c r="AV239" s="658">
        <v>2</v>
      </c>
      <c r="AW239" s="658">
        <v>1</v>
      </c>
      <c r="AX239" s="658">
        <v>4</v>
      </c>
      <c r="AY239" s="589">
        <v>100000000</v>
      </c>
      <c r="AZ239" s="589">
        <v>50000000</v>
      </c>
      <c r="BA239" s="589">
        <v>25000000</v>
      </c>
      <c r="BB239" s="589">
        <v>25000000</v>
      </c>
      <c r="BC239" s="668">
        <f t="shared" si="55"/>
        <v>200000000</v>
      </c>
      <c r="BD239" s="658" t="s">
        <v>705</v>
      </c>
      <c r="BE239" s="658" t="s">
        <v>725</v>
      </c>
    </row>
    <row r="240" spans="1:57" ht="42.75" customHeight="1">
      <c r="A240" s="571"/>
      <c r="B240" s="572"/>
      <c r="C240" s="572"/>
      <c r="D240" s="572"/>
      <c r="E240" s="572"/>
      <c r="F240" s="572"/>
      <c r="G240" s="572"/>
      <c r="H240" s="667"/>
      <c r="I240" s="667"/>
      <c r="J240" s="667"/>
      <c r="K240" s="667"/>
      <c r="L240" s="667"/>
      <c r="M240" s="667"/>
      <c r="N240" s="194" t="s">
        <v>729</v>
      </c>
      <c r="O240" s="404">
        <f>+(0.1*100)/2</f>
        <v>5</v>
      </c>
      <c r="P240" s="404">
        <f>+O240*C4</f>
        <v>0.5</v>
      </c>
      <c r="Q240" s="404">
        <f>+O240*D4</f>
        <v>2.25</v>
      </c>
      <c r="R240" s="404">
        <f>+O240*E4</f>
        <v>1.25</v>
      </c>
      <c r="S240" s="404">
        <f>+O240*F4</f>
        <v>1</v>
      </c>
      <c r="T240" s="194" t="s">
        <v>733</v>
      </c>
      <c r="U240" s="667" t="s">
        <v>202</v>
      </c>
      <c r="V240" s="667"/>
      <c r="W240" s="667">
        <v>25</v>
      </c>
      <c r="X240" s="667">
        <v>30</v>
      </c>
      <c r="Y240" s="667">
        <v>1</v>
      </c>
      <c r="Z240" s="667">
        <v>2</v>
      </c>
      <c r="AA240" s="667">
        <v>1</v>
      </c>
      <c r="AB240" s="667">
        <v>1</v>
      </c>
      <c r="AC240" s="667"/>
      <c r="AD240" s="667"/>
      <c r="AE240" s="667"/>
      <c r="AF240" s="667"/>
      <c r="AG240" s="667"/>
      <c r="AH240" s="667"/>
      <c r="AI240" s="658" t="s">
        <v>739</v>
      </c>
      <c r="AJ240" s="620">
        <f>+(0.154*100)/0.7</f>
        <v>22.000000000000004</v>
      </c>
      <c r="AK240" s="620">
        <f>+AJ240*C4</f>
        <v>2.2000000000000006</v>
      </c>
      <c r="AL240" s="620">
        <f>+AJ240*D4</f>
        <v>9.9000000000000021</v>
      </c>
      <c r="AM240" s="620">
        <f>+AJ240*E4</f>
        <v>5.5000000000000009</v>
      </c>
      <c r="AN240" s="620">
        <f>+AJ240*F4</f>
        <v>4.4000000000000012</v>
      </c>
      <c r="AO240" s="658" t="s">
        <v>746</v>
      </c>
      <c r="AP240" s="658" t="s">
        <v>202</v>
      </c>
      <c r="AQ240" s="458" t="s">
        <v>87</v>
      </c>
      <c r="AR240" s="658">
        <v>25</v>
      </c>
      <c r="AS240" s="658">
        <v>55</v>
      </c>
      <c r="AT240" s="658">
        <v>7</v>
      </c>
      <c r="AU240" s="658">
        <v>10</v>
      </c>
      <c r="AV240" s="658">
        <v>8</v>
      </c>
      <c r="AW240" s="658">
        <v>5</v>
      </c>
      <c r="AX240" s="658">
        <v>30</v>
      </c>
      <c r="AY240" s="589">
        <v>825070000</v>
      </c>
      <c r="AZ240" s="589">
        <v>195815000</v>
      </c>
      <c r="BA240" s="589">
        <v>128640000</v>
      </c>
      <c r="BB240" s="589">
        <v>130475000</v>
      </c>
      <c r="BC240" s="668">
        <f t="shared" si="55"/>
        <v>1280000000</v>
      </c>
      <c r="BD240" s="658" t="s">
        <v>705</v>
      </c>
      <c r="BE240" s="658" t="s">
        <v>725</v>
      </c>
    </row>
    <row r="241" spans="1:57" ht="33.75">
      <c r="A241" s="571"/>
      <c r="B241" s="572"/>
      <c r="C241" s="572"/>
      <c r="D241" s="572"/>
      <c r="E241" s="572"/>
      <c r="F241" s="572"/>
      <c r="G241" s="572"/>
      <c r="H241" s="667"/>
      <c r="I241" s="667"/>
      <c r="J241" s="667"/>
      <c r="K241" s="667"/>
      <c r="L241" s="667"/>
      <c r="M241" s="667"/>
      <c r="N241" s="6"/>
      <c r="O241" s="667"/>
      <c r="P241" s="667"/>
      <c r="Q241" s="667"/>
      <c r="R241" s="667"/>
      <c r="S241" s="667"/>
      <c r="T241" s="6"/>
      <c r="U241" s="667"/>
      <c r="V241" s="667"/>
      <c r="W241" s="667"/>
      <c r="X241" s="667"/>
      <c r="Y241" s="667"/>
      <c r="Z241" s="667"/>
      <c r="AA241" s="667"/>
      <c r="AB241" s="667"/>
      <c r="AC241" s="667"/>
      <c r="AD241" s="667"/>
      <c r="AE241" s="667"/>
      <c r="AF241" s="667"/>
      <c r="AG241" s="667"/>
      <c r="AH241" s="667"/>
      <c r="AI241" s="658" t="s">
        <v>740</v>
      </c>
      <c r="AJ241" s="620">
        <f>+(0.068*100)/0.7</f>
        <v>9.7142857142857153</v>
      </c>
      <c r="AK241" s="620">
        <f>+AJ241*C4</f>
        <v>0.97142857142857153</v>
      </c>
      <c r="AL241" s="620">
        <f>+AJ241*D4</f>
        <v>4.3714285714285719</v>
      </c>
      <c r="AM241" s="620">
        <f>+AJ241*E4</f>
        <v>2.4285714285714288</v>
      </c>
      <c r="AN241" s="620">
        <f>+AJ241*F4</f>
        <v>1.9428571428571431</v>
      </c>
      <c r="AO241" s="658" t="s">
        <v>747</v>
      </c>
      <c r="AP241" s="658" t="s">
        <v>202</v>
      </c>
      <c r="AQ241" s="458" t="s">
        <v>87</v>
      </c>
      <c r="AR241" s="658">
        <v>23200</v>
      </c>
      <c r="AS241" s="658">
        <v>48200</v>
      </c>
      <c r="AT241" s="658">
        <v>5000</v>
      </c>
      <c r="AU241" s="658">
        <v>8000</v>
      </c>
      <c r="AV241" s="658">
        <v>7000</v>
      </c>
      <c r="AW241" s="658">
        <v>5000</v>
      </c>
      <c r="AX241" s="658">
        <v>25000</v>
      </c>
      <c r="AY241" s="589">
        <v>400000000</v>
      </c>
      <c r="AZ241" s="589">
        <v>100000000</v>
      </c>
      <c r="BA241" s="589">
        <v>50000000</v>
      </c>
      <c r="BB241" s="589">
        <v>50000000</v>
      </c>
      <c r="BC241" s="668">
        <f t="shared" si="55"/>
        <v>600000000</v>
      </c>
      <c r="BD241" s="658" t="s">
        <v>706</v>
      </c>
      <c r="BE241" s="658" t="s">
        <v>725</v>
      </c>
    </row>
    <row r="242" spans="1:57" ht="69.75" customHeight="1">
      <c r="A242" s="571"/>
      <c r="B242" s="572"/>
      <c r="C242" s="572"/>
      <c r="D242" s="572"/>
      <c r="E242" s="572"/>
      <c r="F242" s="572"/>
      <c r="G242" s="572"/>
      <c r="H242" s="667"/>
      <c r="I242" s="667"/>
      <c r="J242" s="667"/>
      <c r="K242" s="667"/>
      <c r="L242" s="667"/>
      <c r="M242" s="667"/>
      <c r="N242" s="6"/>
      <c r="O242" s="667"/>
      <c r="P242" s="667"/>
      <c r="Q242" s="667"/>
      <c r="R242" s="667"/>
      <c r="S242" s="667"/>
      <c r="T242" s="6"/>
      <c r="U242" s="667"/>
      <c r="V242" s="667"/>
      <c r="W242" s="667"/>
      <c r="X242" s="667"/>
      <c r="Y242" s="667"/>
      <c r="Z242" s="667"/>
      <c r="AA242" s="667"/>
      <c r="AB242" s="667"/>
      <c r="AC242" s="667"/>
      <c r="AD242" s="667"/>
      <c r="AE242" s="667"/>
      <c r="AF242" s="667"/>
      <c r="AG242" s="667"/>
      <c r="AH242" s="667"/>
      <c r="AI242" s="658" t="s">
        <v>741</v>
      </c>
      <c r="AJ242" s="620">
        <f>+(0.006*100)/0.7</f>
        <v>0.85714285714285721</v>
      </c>
      <c r="AK242" s="620">
        <f>+AJ242</f>
        <v>0.85714285714285721</v>
      </c>
      <c r="AL242" s="620">
        <v>0</v>
      </c>
      <c r="AM242" s="620">
        <v>0</v>
      </c>
      <c r="AN242" s="620">
        <v>0</v>
      </c>
      <c r="AO242" s="658" t="s">
        <v>748</v>
      </c>
      <c r="AP242" s="658" t="s">
        <v>202</v>
      </c>
      <c r="AQ242" s="458" t="s">
        <v>87</v>
      </c>
      <c r="AR242" s="658">
        <v>1</v>
      </c>
      <c r="AS242" s="658">
        <v>1</v>
      </c>
      <c r="AT242" s="658">
        <v>1</v>
      </c>
      <c r="AU242" s="658">
        <v>0</v>
      </c>
      <c r="AV242" s="658">
        <v>0</v>
      </c>
      <c r="AW242" s="658">
        <v>0</v>
      </c>
      <c r="AX242" s="658">
        <v>1</v>
      </c>
      <c r="AY242" s="589">
        <v>155400000</v>
      </c>
      <c r="AZ242" s="589"/>
      <c r="BA242" s="589"/>
      <c r="BB242" s="589"/>
      <c r="BC242" s="668">
        <f t="shared" si="55"/>
        <v>155400000</v>
      </c>
      <c r="BD242" s="658" t="s">
        <v>705</v>
      </c>
      <c r="BE242" s="658" t="s">
        <v>725</v>
      </c>
    </row>
    <row r="243" spans="1:57" ht="56.25">
      <c r="A243" s="571"/>
      <c r="B243" s="572"/>
      <c r="C243" s="572"/>
      <c r="D243" s="572"/>
      <c r="E243" s="572"/>
      <c r="F243" s="572"/>
      <c r="G243" s="572"/>
      <c r="H243" s="667"/>
      <c r="I243" s="667"/>
      <c r="J243" s="667"/>
      <c r="K243" s="667"/>
      <c r="L243" s="667"/>
      <c r="M243" s="667"/>
      <c r="N243" s="7"/>
      <c r="O243" s="667"/>
      <c r="P243" s="667"/>
      <c r="Q243" s="667"/>
      <c r="R243" s="667"/>
      <c r="S243" s="667"/>
      <c r="T243" s="6"/>
      <c r="U243" s="667"/>
      <c r="V243" s="667"/>
      <c r="W243" s="667"/>
      <c r="X243" s="667"/>
      <c r="Y243" s="667"/>
      <c r="Z243" s="667"/>
      <c r="AA243" s="667"/>
      <c r="AB243" s="667"/>
      <c r="AC243" s="667"/>
      <c r="AD243" s="667"/>
      <c r="AE243" s="667"/>
      <c r="AF243" s="667"/>
      <c r="AG243" s="667"/>
      <c r="AH243" s="667"/>
      <c r="AI243" s="658" t="s">
        <v>742</v>
      </c>
      <c r="AJ243" s="620">
        <f>+(0.228*100)/0.7</f>
        <v>32.571428571428577</v>
      </c>
      <c r="AK243" s="620">
        <f>+AJ243*C4</f>
        <v>3.257142857142858</v>
      </c>
      <c r="AL243" s="620">
        <f>+AJ243*D4</f>
        <v>14.65714285714286</v>
      </c>
      <c r="AM243" s="620">
        <f>+AJ243*E4</f>
        <v>8.1428571428571441</v>
      </c>
      <c r="AN243" s="620">
        <f>+AJ243*F4</f>
        <v>6.514285714285716</v>
      </c>
      <c r="AO243" s="458" t="s">
        <v>749</v>
      </c>
      <c r="AP243" s="458" t="s">
        <v>202</v>
      </c>
      <c r="AQ243" s="458" t="s">
        <v>87</v>
      </c>
      <c r="AR243" s="458">
        <v>7</v>
      </c>
      <c r="AS243" s="458">
        <v>11</v>
      </c>
      <c r="AT243" s="458">
        <v>1</v>
      </c>
      <c r="AU243" s="658">
        <v>1</v>
      </c>
      <c r="AV243" s="658">
        <v>1</v>
      </c>
      <c r="AW243" s="658">
        <v>1</v>
      </c>
      <c r="AX243" s="458">
        <v>4</v>
      </c>
      <c r="AY243" s="642">
        <v>845070000</v>
      </c>
      <c r="AZ243" s="642">
        <v>295815000</v>
      </c>
      <c r="BA243" s="642">
        <v>328640000</v>
      </c>
      <c r="BB243" s="642">
        <v>130475000</v>
      </c>
      <c r="BC243" s="673">
        <f t="shared" si="55"/>
        <v>1600000000</v>
      </c>
      <c r="BD243" s="458" t="s">
        <v>705</v>
      </c>
      <c r="BE243" s="458" t="s">
        <v>725</v>
      </c>
    </row>
    <row r="244" spans="1:57">
      <c r="A244" s="571"/>
      <c r="B244" s="572"/>
      <c r="C244" s="572"/>
      <c r="D244" s="572"/>
      <c r="E244" s="572"/>
      <c r="F244" s="572"/>
      <c r="G244" s="572"/>
      <c r="H244" s="667"/>
      <c r="I244" s="667"/>
      <c r="J244" s="667"/>
      <c r="K244" s="667"/>
      <c r="L244" s="667"/>
      <c r="M244" s="667"/>
      <c r="N244" s="228"/>
      <c r="O244" s="228"/>
      <c r="P244" s="228"/>
      <c r="Q244" s="228"/>
      <c r="R244" s="228"/>
      <c r="S244" s="228"/>
      <c r="T244" s="228"/>
      <c r="U244" s="228"/>
      <c r="V244" s="228"/>
      <c r="W244" s="228"/>
      <c r="X244" s="228"/>
      <c r="Y244" s="228"/>
      <c r="Z244" s="228"/>
      <c r="AA244" s="228"/>
      <c r="AB244" s="228"/>
      <c r="AC244" s="349" t="s">
        <v>1453</v>
      </c>
      <c r="AD244" s="423">
        <f>+AD236</f>
        <v>35</v>
      </c>
      <c r="AE244" s="228"/>
      <c r="AF244" s="228"/>
      <c r="AG244" s="228"/>
      <c r="AH244" s="228"/>
      <c r="AI244" s="228"/>
      <c r="AJ244" s="420">
        <f>SUM(AJ236:AJ243)</f>
        <v>100.00000000000003</v>
      </c>
      <c r="AK244" s="420"/>
      <c r="AL244" s="420"/>
      <c r="AM244" s="420"/>
      <c r="AN244" s="420"/>
      <c r="AO244" s="228"/>
      <c r="AP244" s="228"/>
      <c r="AQ244" s="228"/>
      <c r="AR244" s="228"/>
      <c r="AS244" s="228"/>
      <c r="AT244" s="228"/>
      <c r="AU244" s="228"/>
      <c r="AV244" s="228"/>
      <c r="AW244" s="228"/>
      <c r="AX244" s="228"/>
      <c r="AY244" s="232">
        <f>SUM(AY236:AY243)</f>
        <v>3475540020</v>
      </c>
      <c r="AZ244" s="232">
        <f t="shared" ref="AZ244:BC244" si="56">SUM(AZ236:AZ243)</f>
        <v>991630000</v>
      </c>
      <c r="BA244" s="232">
        <f t="shared" si="56"/>
        <v>857279980</v>
      </c>
      <c r="BB244" s="232">
        <f t="shared" si="56"/>
        <v>360950000</v>
      </c>
      <c r="BC244" s="232">
        <f t="shared" si="56"/>
        <v>5685400000</v>
      </c>
      <c r="BD244" s="228"/>
      <c r="BE244" s="228"/>
    </row>
    <row r="245" spans="1:57" ht="38.25" customHeight="1">
      <c r="A245" s="571"/>
      <c r="B245" s="572"/>
      <c r="C245" s="572"/>
      <c r="D245" s="572"/>
      <c r="E245" s="572"/>
      <c r="F245" s="572"/>
      <c r="G245" s="572"/>
      <c r="H245" s="667"/>
      <c r="I245" s="667"/>
      <c r="J245" s="667"/>
      <c r="K245" s="667"/>
      <c r="L245" s="667"/>
      <c r="M245" s="667"/>
      <c r="N245" s="194" t="s">
        <v>750</v>
      </c>
      <c r="O245" s="404">
        <f>+(0.6*100)/2</f>
        <v>30</v>
      </c>
      <c r="P245" s="158">
        <f>+O245*C4</f>
        <v>3</v>
      </c>
      <c r="Q245" s="158">
        <f>+O245*D4</f>
        <v>13.5</v>
      </c>
      <c r="R245" s="158">
        <f>+O245*E4</f>
        <v>7.5</v>
      </c>
      <c r="S245" s="158">
        <f>+O245*F4</f>
        <v>6</v>
      </c>
      <c r="T245" s="194" t="s">
        <v>751</v>
      </c>
      <c r="U245" s="458" t="s">
        <v>202</v>
      </c>
      <c r="V245" s="194"/>
      <c r="W245" s="458">
        <v>3</v>
      </c>
      <c r="X245" s="458">
        <v>7</v>
      </c>
      <c r="Y245" s="458">
        <v>7</v>
      </c>
      <c r="Z245" s="458">
        <v>7</v>
      </c>
      <c r="AA245" s="458">
        <v>7</v>
      </c>
      <c r="AB245" s="458">
        <v>7</v>
      </c>
      <c r="AC245" s="667" t="s">
        <v>752</v>
      </c>
      <c r="AD245" s="404">
        <f>+(0.3*100)/2</f>
        <v>15</v>
      </c>
      <c r="AE245" s="404">
        <f>+AD245*C4</f>
        <v>1.5</v>
      </c>
      <c r="AF245" s="404">
        <f>+AD245*D4</f>
        <v>6.75</v>
      </c>
      <c r="AG245" s="404">
        <f>+AD245*E4</f>
        <v>3.75</v>
      </c>
      <c r="AH245" s="404">
        <f>+AD245*F4</f>
        <v>3</v>
      </c>
      <c r="AI245" s="658" t="s">
        <v>753</v>
      </c>
      <c r="AJ245" s="620">
        <v>100</v>
      </c>
      <c r="AK245" s="620">
        <f>+AJ245*C4</f>
        <v>10</v>
      </c>
      <c r="AL245" s="620">
        <f>+AJ245*D4</f>
        <v>45</v>
      </c>
      <c r="AM245" s="620">
        <f>+AJ245*E4</f>
        <v>25</v>
      </c>
      <c r="AN245" s="620">
        <f>+AJ245*F4</f>
        <v>20</v>
      </c>
      <c r="AO245" s="667" t="s">
        <v>754</v>
      </c>
      <c r="AP245" s="667" t="s">
        <v>202</v>
      </c>
      <c r="AQ245" s="667" t="s">
        <v>87</v>
      </c>
      <c r="AR245" s="667">
        <v>0</v>
      </c>
      <c r="AS245" s="667">
        <v>4</v>
      </c>
      <c r="AT245" s="667">
        <v>1</v>
      </c>
      <c r="AU245" s="667">
        <v>1</v>
      </c>
      <c r="AV245" s="667">
        <v>1</v>
      </c>
      <c r="AW245" s="667">
        <v>1</v>
      </c>
      <c r="AX245" s="667">
        <v>4</v>
      </c>
      <c r="AY245" s="671">
        <v>308000000</v>
      </c>
      <c r="AZ245" s="671">
        <v>223500000</v>
      </c>
      <c r="BA245" s="671">
        <v>226000000</v>
      </c>
      <c r="BB245" s="671">
        <v>242500000</v>
      </c>
      <c r="BC245" s="672">
        <f>SUM(AY245:BB245)</f>
        <v>1000000000</v>
      </c>
      <c r="BD245" s="667" t="s">
        <v>705</v>
      </c>
      <c r="BE245" s="667" t="s">
        <v>725</v>
      </c>
    </row>
    <row r="246" spans="1:57">
      <c r="A246" s="571"/>
      <c r="B246" s="572"/>
      <c r="C246" s="572"/>
      <c r="D246" s="572"/>
      <c r="E246" s="572"/>
      <c r="F246" s="572"/>
      <c r="G246" s="572"/>
      <c r="H246" s="667"/>
      <c r="I246" s="667"/>
      <c r="J246" s="667"/>
      <c r="K246" s="667"/>
      <c r="L246" s="667"/>
      <c r="M246" s="667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349" t="s">
        <v>1453</v>
      </c>
      <c r="AD246" s="423">
        <f>+AD245</f>
        <v>15</v>
      </c>
      <c r="AE246" s="228"/>
      <c r="AF246" s="228"/>
      <c r="AG246" s="228"/>
      <c r="AH246" s="228"/>
      <c r="AI246" s="228"/>
      <c r="AJ246" s="420">
        <f>SUM(AJ245)</f>
        <v>100</v>
      </c>
      <c r="AK246" s="420"/>
      <c r="AL246" s="420"/>
      <c r="AM246" s="420"/>
      <c r="AN246" s="420"/>
      <c r="AO246" s="228"/>
      <c r="AP246" s="228"/>
      <c r="AQ246" s="228"/>
      <c r="AR246" s="228"/>
      <c r="AS246" s="228"/>
      <c r="AT246" s="228"/>
      <c r="AU246" s="228"/>
      <c r="AV246" s="228"/>
      <c r="AW246" s="228"/>
      <c r="AX246" s="228"/>
      <c r="AY246" s="232">
        <f>+AY245</f>
        <v>308000000</v>
      </c>
      <c r="AZ246" s="232">
        <f t="shared" ref="AZ246:BC246" si="57">+AZ245</f>
        <v>223500000</v>
      </c>
      <c r="BA246" s="232">
        <f t="shared" si="57"/>
        <v>226000000</v>
      </c>
      <c r="BB246" s="232">
        <f t="shared" si="57"/>
        <v>242500000</v>
      </c>
      <c r="BC246" s="232">
        <f t="shared" si="57"/>
        <v>1000000000</v>
      </c>
      <c r="BD246" s="228"/>
      <c r="BE246" s="228"/>
    </row>
    <row r="247" spans="1:57" ht="22.5">
      <c r="A247" s="571"/>
      <c r="B247" s="572"/>
      <c r="C247" s="572"/>
      <c r="D247" s="572"/>
      <c r="E247" s="572"/>
      <c r="F247" s="572"/>
      <c r="G247" s="572"/>
      <c r="H247" s="667"/>
      <c r="I247" s="667"/>
      <c r="J247" s="667"/>
      <c r="K247" s="667"/>
      <c r="L247" s="667"/>
      <c r="M247" s="667"/>
      <c r="N247" s="6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667" t="s">
        <v>755</v>
      </c>
      <c r="AD247" s="404">
        <f>+(0.3*100)/2</f>
        <v>15</v>
      </c>
      <c r="AE247" s="404">
        <f>+AD247*C4</f>
        <v>1.5</v>
      </c>
      <c r="AF247" s="404">
        <f>+AD247*D4</f>
        <v>6.75</v>
      </c>
      <c r="AG247" s="404">
        <f>+AD247*E4</f>
        <v>3.75</v>
      </c>
      <c r="AH247" s="404">
        <f>+AD247*F4</f>
        <v>3</v>
      </c>
      <c r="AI247" s="667" t="s">
        <v>756</v>
      </c>
      <c r="AJ247" s="620">
        <v>100</v>
      </c>
      <c r="AK247" s="620">
        <f>+AJ247*C4</f>
        <v>10</v>
      </c>
      <c r="AL247" s="620">
        <v>90</v>
      </c>
      <c r="AM247" s="620">
        <v>0</v>
      </c>
      <c r="AN247" s="620">
        <v>0</v>
      </c>
      <c r="AO247" s="667" t="s">
        <v>757</v>
      </c>
      <c r="AP247" s="667" t="s">
        <v>202</v>
      </c>
      <c r="AQ247" s="667" t="s">
        <v>87</v>
      </c>
      <c r="AR247" s="667">
        <v>3</v>
      </c>
      <c r="AS247" s="667">
        <v>10</v>
      </c>
      <c r="AT247" s="667">
        <v>1</v>
      </c>
      <c r="AU247" s="667">
        <v>6</v>
      </c>
      <c r="AV247" s="667">
        <v>0</v>
      </c>
      <c r="AW247" s="667">
        <v>0</v>
      </c>
      <c r="AX247" s="667">
        <v>7</v>
      </c>
      <c r="AY247" s="671">
        <v>1586937981.5</v>
      </c>
      <c r="AZ247" s="671">
        <v>500000000</v>
      </c>
      <c r="BA247" s="671">
        <v>413062018.5</v>
      </c>
      <c r="BB247" s="671">
        <v>0</v>
      </c>
      <c r="BC247" s="672">
        <f>SUM(AY247:BB247)</f>
        <v>2500000000</v>
      </c>
      <c r="BD247" s="667" t="s">
        <v>705</v>
      </c>
      <c r="BE247" s="667" t="s">
        <v>725</v>
      </c>
    </row>
    <row r="248" spans="1:57">
      <c r="A248" s="571"/>
      <c r="B248" s="572"/>
      <c r="C248" s="572"/>
      <c r="D248" s="572"/>
      <c r="E248" s="572"/>
      <c r="F248" s="572"/>
      <c r="G248" s="572"/>
      <c r="H248" s="222" t="s">
        <v>594</v>
      </c>
      <c r="I248" s="228"/>
      <c r="J248" s="228"/>
      <c r="K248" s="228"/>
      <c r="L248" s="228"/>
      <c r="M248" s="228"/>
      <c r="N248" s="228"/>
      <c r="O248" s="228"/>
      <c r="P248" s="228"/>
      <c r="Q248" s="228"/>
      <c r="R248" s="228"/>
      <c r="S248" s="228"/>
      <c r="T248" s="228"/>
      <c r="U248" s="228"/>
      <c r="V248" s="228"/>
      <c r="W248" s="228"/>
      <c r="X248" s="228"/>
      <c r="Y248" s="228"/>
      <c r="Z248" s="228"/>
      <c r="AA248" s="228"/>
      <c r="AB248" s="228"/>
      <c r="AC248" s="349" t="s">
        <v>1453</v>
      </c>
      <c r="AD248" s="423">
        <f>+AD247</f>
        <v>15</v>
      </c>
      <c r="AE248" s="423"/>
      <c r="AF248" s="423"/>
      <c r="AG248" s="423"/>
      <c r="AH248" s="423"/>
      <c r="AI248" s="228"/>
      <c r="AJ248" s="420">
        <f>SUM(AJ247)</f>
        <v>100</v>
      </c>
      <c r="AK248" s="420"/>
      <c r="AL248" s="420"/>
      <c r="AM248" s="420"/>
      <c r="AN248" s="420"/>
      <c r="AO248" s="228"/>
      <c r="AP248" s="228"/>
      <c r="AQ248" s="228"/>
      <c r="AR248" s="228"/>
      <c r="AS248" s="228"/>
      <c r="AT248" s="228"/>
      <c r="AU248" s="228"/>
      <c r="AV248" s="228"/>
      <c r="AW248" s="228"/>
      <c r="AX248" s="228"/>
      <c r="AY248" s="232">
        <f>+AY247</f>
        <v>1586937981.5</v>
      </c>
      <c r="AZ248" s="232">
        <f t="shared" ref="AZ248:BC248" si="58">+AZ247</f>
        <v>500000000</v>
      </c>
      <c r="BA248" s="232">
        <f t="shared" si="58"/>
        <v>413062018.5</v>
      </c>
      <c r="BB248" s="232">
        <f t="shared" si="58"/>
        <v>0</v>
      </c>
      <c r="BC248" s="232">
        <f t="shared" si="58"/>
        <v>2500000000</v>
      </c>
      <c r="BD248" s="228"/>
      <c r="BE248" s="228"/>
    </row>
    <row r="249" spans="1:57">
      <c r="A249" s="571"/>
      <c r="B249" s="572"/>
      <c r="C249" s="572"/>
      <c r="D249" s="572"/>
      <c r="E249" s="572"/>
      <c r="F249" s="572"/>
      <c r="G249" s="572"/>
      <c r="H249" s="223" t="s">
        <v>85</v>
      </c>
      <c r="I249" s="378">
        <f>+I232</f>
        <v>4.5454545454545459</v>
      </c>
      <c r="J249" s="223"/>
      <c r="K249" s="223"/>
      <c r="L249" s="223"/>
      <c r="M249" s="223"/>
      <c r="N249" s="223"/>
      <c r="O249" s="384">
        <f>SUM(O232:O248)</f>
        <v>100</v>
      </c>
      <c r="P249" s="223"/>
      <c r="Q249" s="223"/>
      <c r="R249" s="223"/>
      <c r="S249" s="223"/>
      <c r="T249" s="223"/>
      <c r="U249" s="223"/>
      <c r="V249" s="223"/>
      <c r="W249" s="223"/>
      <c r="X249" s="223"/>
      <c r="Y249" s="223"/>
      <c r="Z249" s="223"/>
      <c r="AA249" s="223"/>
      <c r="AB249" s="223"/>
      <c r="AC249" s="223"/>
      <c r="AD249" s="416">
        <f>+AD248+AD246+AD244+AD235</f>
        <v>100</v>
      </c>
      <c r="AE249" s="422"/>
      <c r="AF249" s="422"/>
      <c r="AG249" s="422"/>
      <c r="AH249" s="422"/>
      <c r="AI249" s="223"/>
      <c r="AJ249" s="243"/>
      <c r="AK249" s="243"/>
      <c r="AL249" s="243"/>
      <c r="AM249" s="243"/>
      <c r="AN249" s="243"/>
      <c r="AO249" s="223"/>
      <c r="AP249" s="351"/>
      <c r="AQ249" s="223"/>
      <c r="AR249" s="223"/>
      <c r="AS249" s="223"/>
      <c r="AT249" s="223"/>
      <c r="AU249" s="223"/>
      <c r="AV249" s="223"/>
      <c r="AW249" s="223"/>
      <c r="AX249" s="223"/>
      <c r="AY249" s="244">
        <f t="shared" ref="AY249" si="59">+AY248+AY246+AY244+AY235</f>
        <v>6032975535</v>
      </c>
      <c r="AZ249" s="244">
        <f t="shared" ref="AZ249" si="60">+AZ248+AZ246+AZ244+AZ235</f>
        <v>1764200000</v>
      </c>
      <c r="BA249" s="244">
        <f t="shared" ref="BA249" si="61">+BA248+BA246+BA244+BA235</f>
        <v>1551491998.5</v>
      </c>
      <c r="BB249" s="244">
        <f t="shared" ref="BB249" si="62">+BB248+BB246+BB244+BB235</f>
        <v>679230000</v>
      </c>
      <c r="BC249" s="244">
        <f t="shared" ref="BC249" si="63">+BC248+BC246+BC244+BC235</f>
        <v>10027897533.5</v>
      </c>
      <c r="BD249" s="223"/>
      <c r="BE249" s="223"/>
    </row>
    <row r="250" spans="1:57" ht="90" customHeight="1">
      <c r="A250" s="571"/>
      <c r="B250" s="572"/>
      <c r="C250" s="572"/>
      <c r="D250" s="572"/>
      <c r="E250" s="572"/>
      <c r="F250" s="572"/>
      <c r="G250" s="572"/>
      <c r="H250" s="157" t="s">
        <v>758</v>
      </c>
      <c r="I250" s="404">
        <f>+(14*100)/44</f>
        <v>31.818181818181817</v>
      </c>
      <c r="J250" s="158">
        <f>+I250*C4</f>
        <v>3.1818181818181817</v>
      </c>
      <c r="K250" s="158">
        <f>+I250*D4</f>
        <v>14.318181818181818</v>
      </c>
      <c r="L250" s="158">
        <f>+I250*E4</f>
        <v>7.9545454545454541</v>
      </c>
      <c r="M250" s="158">
        <f>+I250*F4</f>
        <v>6.3636363636363633</v>
      </c>
      <c r="N250" s="676" t="s">
        <v>759</v>
      </c>
      <c r="O250" s="404">
        <f>+(7*100)/14</f>
        <v>50</v>
      </c>
      <c r="P250" s="158">
        <f>+O250*C4</f>
        <v>5</v>
      </c>
      <c r="Q250" s="158">
        <f>+O250*D4</f>
        <v>22.5</v>
      </c>
      <c r="R250" s="158">
        <f>+O250*E4</f>
        <v>12.5</v>
      </c>
      <c r="S250" s="158">
        <f>+O250*F4</f>
        <v>10</v>
      </c>
      <c r="T250" s="676" t="s">
        <v>760</v>
      </c>
      <c r="U250" s="677" t="s">
        <v>202</v>
      </c>
      <c r="V250" s="676" t="s">
        <v>87</v>
      </c>
      <c r="W250" s="678">
        <v>1800</v>
      </c>
      <c r="X250" s="678">
        <v>8100</v>
      </c>
      <c r="Y250" s="678">
        <v>500</v>
      </c>
      <c r="Z250" s="678">
        <v>5000</v>
      </c>
      <c r="AA250" s="678">
        <v>500</v>
      </c>
      <c r="AB250" s="678">
        <v>300</v>
      </c>
      <c r="AC250" s="570" t="s">
        <v>761</v>
      </c>
      <c r="AD250" s="404">
        <f>+(7*100)/14</f>
        <v>50</v>
      </c>
      <c r="AE250" s="404">
        <f>+AD250*C4</f>
        <v>5</v>
      </c>
      <c r="AF250" s="404">
        <f>+AD250*D4</f>
        <v>22.5</v>
      </c>
      <c r="AG250" s="404">
        <f>+AD250*E4</f>
        <v>12.5</v>
      </c>
      <c r="AH250" s="404">
        <f>+AD250*F4</f>
        <v>10</v>
      </c>
      <c r="AI250" s="679" t="s">
        <v>762</v>
      </c>
      <c r="AJ250" s="582">
        <f>+(0.048*100)/5</f>
        <v>0.96</v>
      </c>
      <c r="AK250" s="582">
        <f>+AJ250</f>
        <v>0.96</v>
      </c>
      <c r="AL250" s="582">
        <v>0</v>
      </c>
      <c r="AM250" s="582">
        <v>0</v>
      </c>
      <c r="AN250" s="582">
        <v>0</v>
      </c>
      <c r="AO250" s="582" t="s">
        <v>769</v>
      </c>
      <c r="AP250" s="582" t="s">
        <v>202</v>
      </c>
      <c r="AQ250" s="582" t="s">
        <v>87</v>
      </c>
      <c r="AR250" s="661">
        <v>600</v>
      </c>
      <c r="AS250" s="661">
        <v>2300</v>
      </c>
      <c r="AT250" s="661">
        <v>1700</v>
      </c>
      <c r="AU250" s="661">
        <v>0</v>
      </c>
      <c r="AV250" s="661">
        <v>0</v>
      </c>
      <c r="AW250" s="661">
        <v>0</v>
      </c>
      <c r="AX250" s="680">
        <v>1700</v>
      </c>
      <c r="AY250" s="272">
        <v>800000000</v>
      </c>
      <c r="AZ250" s="272">
        <v>0</v>
      </c>
      <c r="BA250" s="272">
        <v>0</v>
      </c>
      <c r="BB250" s="272">
        <v>0</v>
      </c>
      <c r="BC250" s="681">
        <f>SUM(AY250:BB250)</f>
        <v>800000000</v>
      </c>
      <c r="BD250" s="682" t="s">
        <v>778</v>
      </c>
      <c r="BE250" s="682" t="s">
        <v>132</v>
      </c>
    </row>
    <row r="251" spans="1:57" ht="69" customHeight="1">
      <c r="A251" s="571"/>
      <c r="B251" s="572"/>
      <c r="C251" s="572"/>
      <c r="D251" s="572"/>
      <c r="E251" s="572"/>
      <c r="F251" s="572"/>
      <c r="G251" s="572"/>
      <c r="H251" s="4"/>
      <c r="I251" s="375"/>
      <c r="J251" s="4"/>
      <c r="K251" s="4"/>
      <c r="L251" s="4"/>
      <c r="M251" s="4"/>
      <c r="N251" s="683"/>
      <c r="O251" s="683"/>
      <c r="P251" s="683"/>
      <c r="Q251" s="683"/>
      <c r="R251" s="683"/>
      <c r="S251" s="683"/>
      <c r="T251" s="683"/>
      <c r="U251" s="683"/>
      <c r="V251" s="683"/>
      <c r="W251" s="683"/>
      <c r="X251" s="684"/>
      <c r="Y251" s="683"/>
      <c r="Z251" s="683"/>
      <c r="AA251" s="683"/>
      <c r="AB251" s="683"/>
      <c r="AC251" s="202"/>
      <c r="AD251" s="375"/>
      <c r="AE251" s="202"/>
      <c r="AF251" s="202"/>
      <c r="AG251" s="202"/>
      <c r="AH251" s="202"/>
      <c r="AI251" s="679" t="s">
        <v>763</v>
      </c>
      <c r="AJ251" s="582">
        <f>+(0.988*100)/5</f>
        <v>19.759999999999998</v>
      </c>
      <c r="AK251" s="582">
        <f>+AJ251*C4</f>
        <v>1.976</v>
      </c>
      <c r="AL251" s="582">
        <f>+AJ251*D4</f>
        <v>8.8919999999999995</v>
      </c>
      <c r="AM251" s="582">
        <f>+AJ251*E4</f>
        <v>4.9399999999999995</v>
      </c>
      <c r="AN251" s="582">
        <f>+AJ251*F4</f>
        <v>3.952</v>
      </c>
      <c r="AO251" s="582" t="s">
        <v>770</v>
      </c>
      <c r="AP251" s="582" t="s">
        <v>202</v>
      </c>
      <c r="AQ251" s="582" t="s">
        <v>87</v>
      </c>
      <c r="AR251" s="661">
        <v>1119</v>
      </c>
      <c r="AS251" s="661">
        <v>3519</v>
      </c>
      <c r="AT251" s="682" t="s">
        <v>776</v>
      </c>
      <c r="AU251" s="661" t="s">
        <v>1514</v>
      </c>
      <c r="AV251" s="661" t="s">
        <v>1515</v>
      </c>
      <c r="AW251" s="661" t="s">
        <v>1513</v>
      </c>
      <c r="AX251" s="680">
        <v>2400</v>
      </c>
      <c r="AY251" s="272">
        <v>2000000000</v>
      </c>
      <c r="AZ251" s="272">
        <v>3500000000</v>
      </c>
      <c r="BA251" s="272">
        <v>3553260000</v>
      </c>
      <c r="BB251" s="272">
        <v>2592425000</v>
      </c>
      <c r="BC251" s="681">
        <f t="shared" ref="BC251:BC256" si="64">SUM(AY251:BB251)</f>
        <v>11645685000</v>
      </c>
      <c r="BD251" s="682" t="s">
        <v>778</v>
      </c>
      <c r="BE251" s="682" t="s">
        <v>132</v>
      </c>
    </row>
    <row r="252" spans="1:57" ht="22.5">
      <c r="A252" s="571"/>
      <c r="B252" s="572"/>
      <c r="C252" s="572"/>
      <c r="D252" s="572"/>
      <c r="E252" s="572"/>
      <c r="F252" s="572"/>
      <c r="G252" s="572"/>
      <c r="H252" s="4"/>
      <c r="I252" s="4"/>
      <c r="J252" s="4"/>
      <c r="K252" s="4"/>
      <c r="L252" s="4"/>
      <c r="M252" s="4"/>
      <c r="N252" s="683"/>
      <c r="O252" s="683"/>
      <c r="P252" s="683"/>
      <c r="Q252" s="683"/>
      <c r="R252" s="683"/>
      <c r="S252" s="683"/>
      <c r="T252" s="683"/>
      <c r="U252" s="683"/>
      <c r="V252" s="683"/>
      <c r="W252" s="683"/>
      <c r="X252" s="683"/>
      <c r="Y252" s="683"/>
      <c r="Z252" s="683"/>
      <c r="AA252" s="683"/>
      <c r="AB252" s="683"/>
      <c r="AC252" s="202"/>
      <c r="AD252" s="202"/>
      <c r="AE252" s="202"/>
      <c r="AF252" s="202"/>
      <c r="AG252" s="202"/>
      <c r="AH252" s="202"/>
      <c r="AI252" s="679" t="s">
        <v>764</v>
      </c>
      <c r="AJ252" s="582">
        <f>+(0.327*100)/5</f>
        <v>6.5400000000000009</v>
      </c>
      <c r="AK252" s="582">
        <f>+AJ252*C4</f>
        <v>0.65400000000000014</v>
      </c>
      <c r="AL252" s="582">
        <f>+AJ252*D4</f>
        <v>2.9430000000000005</v>
      </c>
      <c r="AM252" s="582">
        <f>+AJ252*E4</f>
        <v>1.6350000000000002</v>
      </c>
      <c r="AN252" s="582">
        <f>+AJ252*F4</f>
        <v>1.3080000000000003</v>
      </c>
      <c r="AO252" s="582" t="s">
        <v>771</v>
      </c>
      <c r="AP252" s="582" t="s">
        <v>202</v>
      </c>
      <c r="AQ252" s="582" t="s">
        <v>87</v>
      </c>
      <c r="AR252" s="661">
        <v>0</v>
      </c>
      <c r="AS252" s="661">
        <v>3500</v>
      </c>
      <c r="AT252" s="661">
        <v>600</v>
      </c>
      <c r="AU252" s="661">
        <v>1020</v>
      </c>
      <c r="AV252" s="661">
        <v>924</v>
      </c>
      <c r="AW252" s="661">
        <v>925</v>
      </c>
      <c r="AX252" s="680">
        <v>3500</v>
      </c>
      <c r="AY252" s="272">
        <v>1000000000</v>
      </c>
      <c r="AZ252" s="272">
        <v>1000000000</v>
      </c>
      <c r="BA252" s="272">
        <v>1000000000</v>
      </c>
      <c r="BB252" s="272">
        <v>1000000000</v>
      </c>
      <c r="BC252" s="681">
        <f t="shared" si="64"/>
        <v>4000000000</v>
      </c>
      <c r="BD252" s="682" t="s">
        <v>778</v>
      </c>
      <c r="BE252" s="682" t="s">
        <v>132</v>
      </c>
    </row>
    <row r="253" spans="1:57" ht="56.25">
      <c r="A253" s="571"/>
      <c r="B253" s="572"/>
      <c r="C253" s="572"/>
      <c r="D253" s="572"/>
      <c r="E253" s="572"/>
      <c r="F253" s="572"/>
      <c r="G253" s="572"/>
      <c r="H253" s="4"/>
      <c r="I253" s="4"/>
      <c r="J253" s="4"/>
      <c r="K253" s="4"/>
      <c r="L253" s="4"/>
      <c r="M253" s="4"/>
      <c r="N253" s="683"/>
      <c r="O253" s="683"/>
      <c r="P253" s="683"/>
      <c r="Q253" s="683"/>
      <c r="R253" s="683"/>
      <c r="S253" s="683"/>
      <c r="T253" s="683"/>
      <c r="U253" s="683"/>
      <c r="V253" s="683"/>
      <c r="W253" s="683"/>
      <c r="X253" s="683"/>
      <c r="Y253" s="683"/>
      <c r="Z253" s="683"/>
      <c r="AA253" s="683"/>
      <c r="AB253" s="683"/>
      <c r="AC253" s="202"/>
      <c r="AD253" s="202"/>
      <c r="AE253" s="202"/>
      <c r="AF253" s="202"/>
      <c r="AG253" s="202"/>
      <c r="AH253" s="202"/>
      <c r="AI253" s="679" t="s">
        <v>765</v>
      </c>
      <c r="AJ253" s="582">
        <f>+(1.675*100)/5</f>
        <v>33.5</v>
      </c>
      <c r="AK253" s="582">
        <f>+AJ253*C4</f>
        <v>3.35</v>
      </c>
      <c r="AL253" s="582">
        <f>+AJ253*D4</f>
        <v>15.075000000000001</v>
      </c>
      <c r="AM253" s="582">
        <f>+AJ253*E4</f>
        <v>8.375</v>
      </c>
      <c r="AN253" s="582">
        <f>+AJ253*F4</f>
        <v>6.7</v>
      </c>
      <c r="AO253" s="582" t="s">
        <v>772</v>
      </c>
      <c r="AP253" s="582" t="s">
        <v>202</v>
      </c>
      <c r="AQ253" s="582" t="s">
        <v>87</v>
      </c>
      <c r="AR253" s="661">
        <v>407</v>
      </c>
      <c r="AS253" s="661">
        <v>2307</v>
      </c>
      <c r="AT253" s="682" t="s">
        <v>777</v>
      </c>
      <c r="AU253" s="661" t="s">
        <v>1516</v>
      </c>
      <c r="AV253" s="661" t="s">
        <v>1517</v>
      </c>
      <c r="AW253" s="661" t="s">
        <v>1518</v>
      </c>
      <c r="AX253" s="680">
        <v>1900</v>
      </c>
      <c r="AY253" s="272">
        <v>1950000000</v>
      </c>
      <c r="AZ253" s="272">
        <v>4068465565</v>
      </c>
      <c r="BA253" s="272">
        <v>6931534435</v>
      </c>
      <c r="BB253" s="272">
        <v>7284600000</v>
      </c>
      <c r="BC253" s="681">
        <f t="shared" si="64"/>
        <v>20234600000</v>
      </c>
      <c r="BD253" s="682" t="s">
        <v>778</v>
      </c>
      <c r="BE253" s="682" t="s">
        <v>132</v>
      </c>
    </row>
    <row r="254" spans="1:57" ht="22.5">
      <c r="A254" s="571"/>
      <c r="B254" s="572"/>
      <c r="C254" s="572"/>
      <c r="D254" s="572"/>
      <c r="E254" s="572"/>
      <c r="F254" s="572"/>
      <c r="G254" s="572"/>
      <c r="H254" s="4"/>
      <c r="I254" s="4"/>
      <c r="J254" s="4"/>
      <c r="K254" s="4"/>
      <c r="L254" s="4"/>
      <c r="M254" s="4"/>
      <c r="N254" s="683"/>
      <c r="O254" s="683"/>
      <c r="P254" s="683"/>
      <c r="Q254" s="683"/>
      <c r="R254" s="683"/>
      <c r="S254" s="683"/>
      <c r="T254" s="683"/>
      <c r="U254" s="683"/>
      <c r="V254" s="683"/>
      <c r="W254" s="683"/>
      <c r="X254" s="683"/>
      <c r="Y254" s="683"/>
      <c r="Z254" s="683"/>
      <c r="AA254" s="683"/>
      <c r="AB254" s="683"/>
      <c r="AC254" s="202"/>
      <c r="AD254" s="202"/>
      <c r="AE254" s="202"/>
      <c r="AF254" s="202"/>
      <c r="AG254" s="202"/>
      <c r="AH254" s="202"/>
      <c r="AI254" s="679" t="s">
        <v>766</v>
      </c>
      <c r="AJ254" s="582">
        <f>+(0.577*100)/5</f>
        <v>11.54</v>
      </c>
      <c r="AK254" s="582">
        <f>+AJ254*C4</f>
        <v>1.1539999999999999</v>
      </c>
      <c r="AL254" s="582">
        <f>+AJ254*D4</f>
        <v>5.1929999999999996</v>
      </c>
      <c r="AM254" s="582">
        <v>5.19</v>
      </c>
      <c r="AN254" s="582">
        <v>0</v>
      </c>
      <c r="AO254" s="582" t="s">
        <v>773</v>
      </c>
      <c r="AP254" s="582" t="s">
        <v>202</v>
      </c>
      <c r="AQ254" s="582" t="s">
        <v>87</v>
      </c>
      <c r="AR254" s="661">
        <v>274</v>
      </c>
      <c r="AS254" s="661">
        <v>1474</v>
      </c>
      <c r="AT254" s="661">
        <v>211</v>
      </c>
      <c r="AU254" s="661">
        <v>600</v>
      </c>
      <c r="AV254" s="661">
        <v>389</v>
      </c>
      <c r="AW254" s="661">
        <v>0</v>
      </c>
      <c r="AX254" s="680">
        <v>1200</v>
      </c>
      <c r="AY254" s="272">
        <v>1200000000</v>
      </c>
      <c r="AZ254" s="272">
        <v>2000000000</v>
      </c>
      <c r="BA254" s="272">
        <v>2000000000</v>
      </c>
      <c r="BB254" s="272">
        <v>1600400000</v>
      </c>
      <c r="BC254" s="681">
        <f t="shared" si="64"/>
        <v>6800400000</v>
      </c>
      <c r="BD254" s="682" t="s">
        <v>778</v>
      </c>
      <c r="BE254" s="682" t="s">
        <v>132</v>
      </c>
    </row>
    <row r="255" spans="1:57" ht="22.5">
      <c r="A255" s="571"/>
      <c r="B255" s="572"/>
      <c r="C255" s="572"/>
      <c r="D255" s="572"/>
      <c r="E255" s="572"/>
      <c r="F255" s="572"/>
      <c r="G255" s="572"/>
      <c r="H255" s="4"/>
      <c r="I255" s="4"/>
      <c r="J255" s="4"/>
      <c r="K255" s="4"/>
      <c r="L255" s="4"/>
      <c r="M255" s="4"/>
      <c r="N255" s="683"/>
      <c r="O255" s="683"/>
      <c r="P255" s="683"/>
      <c r="Q255" s="683"/>
      <c r="R255" s="683"/>
      <c r="S255" s="683"/>
      <c r="T255" s="683"/>
      <c r="U255" s="683"/>
      <c r="V255" s="683"/>
      <c r="W255" s="683"/>
      <c r="X255" s="683"/>
      <c r="Y255" s="683"/>
      <c r="Z255" s="683"/>
      <c r="AA255" s="683"/>
      <c r="AB255" s="683"/>
      <c r="AC255" s="202"/>
      <c r="AD255" s="202"/>
      <c r="AE255" s="202"/>
      <c r="AF255" s="202"/>
      <c r="AG255" s="202"/>
      <c r="AH255" s="202"/>
      <c r="AI255" s="679" t="s">
        <v>767</v>
      </c>
      <c r="AJ255" s="582">
        <f>+(0.532*100)/5</f>
        <v>10.64</v>
      </c>
      <c r="AK255" s="582">
        <f>+AJ255*C4</f>
        <v>1.0640000000000001</v>
      </c>
      <c r="AL255" s="582">
        <f>+AJ255*0.45</f>
        <v>4.7880000000000003</v>
      </c>
      <c r="AM255" s="582">
        <f>+AJ255*0.45</f>
        <v>4.7880000000000003</v>
      </c>
      <c r="AN255" s="582">
        <v>0</v>
      </c>
      <c r="AO255" s="582" t="s">
        <v>774</v>
      </c>
      <c r="AP255" s="582" t="s">
        <v>202</v>
      </c>
      <c r="AQ255" s="582" t="s">
        <v>87</v>
      </c>
      <c r="AR255" s="661">
        <v>17.41</v>
      </c>
      <c r="AS255" s="661">
        <v>52</v>
      </c>
      <c r="AT255" s="661">
        <v>10</v>
      </c>
      <c r="AU255" s="661">
        <v>3</v>
      </c>
      <c r="AV255" s="661">
        <v>22</v>
      </c>
      <c r="AW255" s="661">
        <v>0</v>
      </c>
      <c r="AX255" s="680">
        <v>35</v>
      </c>
      <c r="AY255" s="272">
        <v>1500000000</v>
      </c>
      <c r="AZ255" s="272">
        <v>3750000000</v>
      </c>
      <c r="BA255" s="272">
        <v>0</v>
      </c>
      <c r="BB255" s="272">
        <v>0</v>
      </c>
      <c r="BC255" s="681">
        <f t="shared" si="64"/>
        <v>5250000000</v>
      </c>
      <c r="BD255" s="267" t="s">
        <v>778</v>
      </c>
      <c r="BE255" s="267" t="s">
        <v>132</v>
      </c>
    </row>
    <row r="256" spans="1:57" ht="22.5">
      <c r="A256" s="571"/>
      <c r="B256" s="572"/>
      <c r="C256" s="572"/>
      <c r="D256" s="572"/>
      <c r="E256" s="572"/>
      <c r="F256" s="572"/>
      <c r="G256" s="572"/>
      <c r="H256" s="4"/>
      <c r="I256" s="4"/>
      <c r="J256" s="4"/>
      <c r="K256" s="4"/>
      <c r="L256" s="4"/>
      <c r="M256" s="4"/>
      <c r="N256" s="685"/>
      <c r="O256" s="685"/>
      <c r="P256" s="685"/>
      <c r="Q256" s="685"/>
      <c r="R256" s="685"/>
      <c r="S256" s="685"/>
      <c r="T256" s="685"/>
      <c r="U256" s="685"/>
      <c r="V256" s="685"/>
      <c r="W256" s="685"/>
      <c r="X256" s="685"/>
      <c r="Y256" s="685"/>
      <c r="Z256" s="685"/>
      <c r="AA256" s="685"/>
      <c r="AB256" s="685"/>
      <c r="AC256" s="202"/>
      <c r="AD256" s="202"/>
      <c r="AE256" s="202"/>
      <c r="AF256" s="202"/>
      <c r="AG256" s="202"/>
      <c r="AH256" s="203"/>
      <c r="AI256" s="679" t="s">
        <v>768</v>
      </c>
      <c r="AJ256" s="582">
        <f>+(0.853*100)/5</f>
        <v>17.059999999999999</v>
      </c>
      <c r="AK256" s="582">
        <f>+AJ256*C4</f>
        <v>1.706</v>
      </c>
      <c r="AL256" s="582">
        <f>+AJ256*D4</f>
        <v>7.6769999999999996</v>
      </c>
      <c r="AM256" s="582">
        <v>7.68</v>
      </c>
      <c r="AN256" s="582">
        <v>0</v>
      </c>
      <c r="AO256" s="582" t="s">
        <v>775</v>
      </c>
      <c r="AP256" s="582" t="s">
        <v>202</v>
      </c>
      <c r="AQ256" s="582" t="s">
        <v>87</v>
      </c>
      <c r="AR256" s="661">
        <v>5</v>
      </c>
      <c r="AS256" s="661">
        <v>40</v>
      </c>
      <c r="AT256" s="661">
        <v>6</v>
      </c>
      <c r="AU256" s="661">
        <v>16</v>
      </c>
      <c r="AV256" s="661">
        <v>13</v>
      </c>
      <c r="AW256" s="661">
        <v>0</v>
      </c>
      <c r="AX256" s="680">
        <v>35</v>
      </c>
      <c r="AY256" s="272">
        <v>500000000</v>
      </c>
      <c r="AZ256" s="272">
        <v>4500000000</v>
      </c>
      <c r="BA256" s="272">
        <v>4000000000</v>
      </c>
      <c r="BB256" s="272">
        <v>0</v>
      </c>
      <c r="BC256" s="681">
        <f t="shared" si="64"/>
        <v>9000000000</v>
      </c>
      <c r="BD256" s="267" t="s">
        <v>778</v>
      </c>
      <c r="BE256" s="267" t="s">
        <v>132</v>
      </c>
    </row>
    <row r="257" spans="1:57">
      <c r="A257" s="571"/>
      <c r="B257" s="572"/>
      <c r="C257" s="572"/>
      <c r="D257" s="572"/>
      <c r="E257" s="572"/>
      <c r="F257" s="572"/>
      <c r="G257" s="572"/>
      <c r="H257" s="4"/>
      <c r="I257" s="4"/>
      <c r="J257" s="4"/>
      <c r="K257" s="4"/>
      <c r="L257" s="4"/>
      <c r="M257" s="4"/>
      <c r="N257" s="174"/>
      <c r="O257" s="209"/>
      <c r="P257" s="209"/>
      <c r="Q257" s="209"/>
      <c r="R257" s="209"/>
      <c r="S257" s="209"/>
      <c r="T257" s="174"/>
      <c r="U257" s="174"/>
      <c r="V257" s="229"/>
      <c r="W257" s="251"/>
      <c r="X257" s="229"/>
      <c r="Y257" s="229"/>
      <c r="Z257" s="229"/>
      <c r="AA257" s="229"/>
      <c r="AB257" s="229"/>
      <c r="AC257" s="349" t="s">
        <v>1453</v>
      </c>
      <c r="AD257" s="420">
        <f>+AD250</f>
        <v>50</v>
      </c>
      <c r="AE257" s="247"/>
      <c r="AF257" s="247"/>
      <c r="AG257" s="247"/>
      <c r="AH257" s="209"/>
      <c r="AI257" s="248"/>
      <c r="AJ257" s="427">
        <f>SUM(AJ250:AJ256)</f>
        <v>100</v>
      </c>
      <c r="AK257" s="427"/>
      <c r="AL257" s="427"/>
      <c r="AM257" s="427"/>
      <c r="AN257" s="427"/>
      <c r="AO257" s="248"/>
      <c r="AP257" s="186"/>
      <c r="AQ257" s="228"/>
      <c r="AR257" s="249"/>
      <c r="AS257" s="250"/>
      <c r="AT257" s="250"/>
      <c r="AU257" s="250"/>
      <c r="AV257" s="250"/>
      <c r="AW257" s="250"/>
      <c r="AX257" s="250"/>
      <c r="AY257" s="230">
        <f>SUM(AY250:AY256)</f>
        <v>8950000000</v>
      </c>
      <c r="AZ257" s="230">
        <f t="shared" ref="AZ257:BC257" si="65">SUM(AZ250:AZ256)</f>
        <v>18818465565</v>
      </c>
      <c r="BA257" s="230">
        <f t="shared" si="65"/>
        <v>17484794435</v>
      </c>
      <c r="BB257" s="230">
        <f t="shared" si="65"/>
        <v>12477425000</v>
      </c>
      <c r="BC257" s="230">
        <f t="shared" si="65"/>
        <v>57730685000</v>
      </c>
      <c r="BD257" s="174"/>
      <c r="BE257" s="174"/>
    </row>
    <row r="258" spans="1:57" ht="45">
      <c r="A258" s="571"/>
      <c r="B258" s="572"/>
      <c r="C258" s="572"/>
      <c r="D258" s="572"/>
      <c r="E258" s="572"/>
      <c r="F258" s="572"/>
      <c r="G258" s="572"/>
      <c r="H258" s="4"/>
      <c r="I258" s="4"/>
      <c r="J258" s="4"/>
      <c r="K258" s="4"/>
      <c r="L258" s="4"/>
      <c r="M258" s="4"/>
      <c r="N258" s="5" t="s">
        <v>779</v>
      </c>
      <c r="O258" s="415">
        <f>+(1*100)/14</f>
        <v>7.1428571428571432</v>
      </c>
      <c r="P258" s="415">
        <f>+O258*C4</f>
        <v>0.71428571428571441</v>
      </c>
      <c r="Q258" s="415">
        <f>+O258*D4</f>
        <v>3.2142857142857144</v>
      </c>
      <c r="R258" s="415">
        <f>+O258*E4</f>
        <v>1.7857142857142858</v>
      </c>
      <c r="S258" s="415">
        <f>+O258*F4</f>
        <v>1.4285714285714288</v>
      </c>
      <c r="T258" s="267" t="s">
        <v>780</v>
      </c>
      <c r="U258" s="268" t="s">
        <v>202</v>
      </c>
      <c r="V258" s="610" t="s">
        <v>87</v>
      </c>
      <c r="W258" s="686">
        <v>0.98260000000000003</v>
      </c>
      <c r="X258" s="269">
        <v>0.99260000000000004</v>
      </c>
      <c r="Y258" s="269">
        <v>0.99260000000000004</v>
      </c>
      <c r="Z258" s="269">
        <v>0.99260000000000004</v>
      </c>
      <c r="AA258" s="269">
        <v>0.99260000000000004</v>
      </c>
      <c r="AB258" s="269">
        <v>0.99260000000000004</v>
      </c>
      <c r="AC258" s="570" t="s">
        <v>781</v>
      </c>
      <c r="AD258" s="404">
        <f>+(1.5*100)/14</f>
        <v>10.714285714285714</v>
      </c>
      <c r="AE258" s="404">
        <f>+AD258*C4</f>
        <v>1.0714285714285714</v>
      </c>
      <c r="AF258" s="404">
        <f>+AD258*D4</f>
        <v>4.8214285714285712</v>
      </c>
      <c r="AG258" s="404">
        <f>+AD258*E4</f>
        <v>2.6785714285714284</v>
      </c>
      <c r="AH258" s="404">
        <f>+AD258*F4</f>
        <v>2.1428571428571428</v>
      </c>
      <c r="AI258" s="679" t="s">
        <v>784</v>
      </c>
      <c r="AJ258" s="582">
        <f>+(1.485*100)/1.5</f>
        <v>99</v>
      </c>
      <c r="AK258" s="582">
        <f>+AJ258*C4</f>
        <v>9.9</v>
      </c>
      <c r="AL258" s="582">
        <f>+AJ258*D4</f>
        <v>44.550000000000004</v>
      </c>
      <c r="AM258" s="582">
        <f>+AJ258*E4</f>
        <v>24.75</v>
      </c>
      <c r="AN258" s="582">
        <f>+AJ258*F4</f>
        <v>19.8</v>
      </c>
      <c r="AO258" s="687" t="s">
        <v>786</v>
      </c>
      <c r="AP258" s="193" t="s">
        <v>203</v>
      </c>
      <c r="AQ258" s="459" t="s">
        <v>87</v>
      </c>
      <c r="AR258" s="688">
        <v>7</v>
      </c>
      <c r="AS258" s="648">
        <v>7</v>
      </c>
      <c r="AT258" s="648">
        <v>7</v>
      </c>
      <c r="AU258" s="648">
        <v>2</v>
      </c>
      <c r="AV258" s="648">
        <v>2</v>
      </c>
      <c r="AW258" s="648">
        <v>2</v>
      </c>
      <c r="AX258" s="648">
        <v>7</v>
      </c>
      <c r="AY258" s="197">
        <v>8770433048</v>
      </c>
      <c r="AZ258" s="197">
        <v>4270000000</v>
      </c>
      <c r="BA258" s="197">
        <v>3302000000</v>
      </c>
      <c r="BB258" s="197">
        <v>3207566952</v>
      </c>
      <c r="BC258" s="197">
        <f>SUM(AY258:BB258)</f>
        <v>19550000000</v>
      </c>
      <c r="BD258" s="5" t="s">
        <v>788</v>
      </c>
      <c r="BE258" s="5" t="s">
        <v>205</v>
      </c>
    </row>
    <row r="259" spans="1:57" ht="45">
      <c r="A259" s="571"/>
      <c r="B259" s="572"/>
      <c r="C259" s="572"/>
      <c r="D259" s="572"/>
      <c r="E259" s="572"/>
      <c r="F259" s="572"/>
      <c r="G259" s="572"/>
      <c r="H259" s="4"/>
      <c r="I259" s="4"/>
      <c r="J259" s="4"/>
      <c r="K259" s="4"/>
      <c r="L259" s="4"/>
      <c r="M259" s="4"/>
      <c r="N259" s="5" t="s">
        <v>782</v>
      </c>
      <c r="O259" s="404">
        <f>+(0.5*100)/14</f>
        <v>3.5714285714285716</v>
      </c>
      <c r="P259" s="674">
        <f>+O259*C4</f>
        <v>0.35714285714285721</v>
      </c>
      <c r="Q259" s="674">
        <f>+O259*D4</f>
        <v>1.6071428571428572</v>
      </c>
      <c r="R259" s="674">
        <f>+O259*E4</f>
        <v>0.8928571428571429</v>
      </c>
      <c r="S259" s="674">
        <f>+O259*F4</f>
        <v>0.71428571428571441</v>
      </c>
      <c r="T259" s="5" t="s">
        <v>783</v>
      </c>
      <c r="U259" s="193" t="s">
        <v>202</v>
      </c>
      <c r="V259" s="610" t="s">
        <v>87</v>
      </c>
      <c r="W259" s="268">
        <v>0</v>
      </c>
      <c r="X259" s="459">
        <v>4</v>
      </c>
      <c r="Y259" s="459">
        <v>1</v>
      </c>
      <c r="Z259" s="459">
        <v>1</v>
      </c>
      <c r="AA259" s="459">
        <v>1</v>
      </c>
      <c r="AB259" s="459">
        <v>1</v>
      </c>
      <c r="AC259" s="203"/>
      <c r="AD259" s="376"/>
      <c r="AE259" s="203"/>
      <c r="AF259" s="203"/>
      <c r="AG259" s="203"/>
      <c r="AH259" s="203"/>
      <c r="AI259" s="679" t="s">
        <v>785</v>
      </c>
      <c r="AJ259" s="582">
        <f>+(0.015*100)/1.5</f>
        <v>1</v>
      </c>
      <c r="AK259" s="582">
        <f>+AJ259*C4</f>
        <v>0.1</v>
      </c>
      <c r="AL259" s="582">
        <f>+AJ259*D4</f>
        <v>0.45</v>
      </c>
      <c r="AM259" s="582">
        <f>+AJ259*E4</f>
        <v>0.25</v>
      </c>
      <c r="AN259" s="582">
        <f>+AJ259*F4</f>
        <v>0.2</v>
      </c>
      <c r="AO259" s="679" t="s">
        <v>787</v>
      </c>
      <c r="AP259" s="146" t="s">
        <v>203</v>
      </c>
      <c r="AQ259" s="147" t="s">
        <v>87</v>
      </c>
      <c r="AR259" s="689">
        <v>0</v>
      </c>
      <c r="AS259" s="661">
        <v>1</v>
      </c>
      <c r="AT259" s="661">
        <v>1</v>
      </c>
      <c r="AU259" s="648">
        <v>1</v>
      </c>
      <c r="AV259" s="648">
        <v>1</v>
      </c>
      <c r="AW259" s="648">
        <v>1</v>
      </c>
      <c r="AX259" s="661">
        <v>1</v>
      </c>
      <c r="AY259" s="690">
        <v>1000000000</v>
      </c>
      <c r="AZ259" s="690">
        <v>0</v>
      </c>
      <c r="BA259" s="690">
        <v>0</v>
      </c>
      <c r="BB259" s="690">
        <v>0</v>
      </c>
      <c r="BC259" s="197">
        <f>SUM(AY259:BB259)</f>
        <v>1000000000</v>
      </c>
      <c r="BD259" s="267" t="s">
        <v>788</v>
      </c>
      <c r="BE259" s="267" t="s">
        <v>205</v>
      </c>
    </row>
    <row r="260" spans="1:57">
      <c r="A260" s="571"/>
      <c r="B260" s="572"/>
      <c r="C260" s="572"/>
      <c r="D260" s="572"/>
      <c r="E260" s="572"/>
      <c r="F260" s="572"/>
      <c r="G260" s="572"/>
      <c r="H260" s="4"/>
      <c r="I260" s="4"/>
      <c r="J260" s="4"/>
      <c r="K260" s="4"/>
      <c r="L260" s="4"/>
      <c r="M260" s="4"/>
      <c r="N260" s="54"/>
      <c r="O260" s="252"/>
      <c r="P260" s="383"/>
      <c r="Q260" s="383"/>
      <c r="R260" s="383"/>
      <c r="S260" s="383"/>
      <c r="T260" s="55"/>
      <c r="U260" s="55"/>
      <c r="V260" s="126"/>
      <c r="W260" s="208"/>
      <c r="X260" s="126"/>
      <c r="Y260" s="126"/>
      <c r="Z260" s="126"/>
      <c r="AA260" s="126"/>
      <c r="AB260" s="126"/>
      <c r="AC260" s="349" t="s">
        <v>1453</v>
      </c>
      <c r="AD260" s="421">
        <f>+AD258</f>
        <v>10.714285714285714</v>
      </c>
      <c r="AE260" s="252"/>
      <c r="AF260" s="252"/>
      <c r="AG260" s="252"/>
      <c r="AH260" s="252"/>
      <c r="AI260" s="55"/>
      <c r="AJ260" s="421">
        <f>SUM(AJ258:AJ259)</f>
        <v>100</v>
      </c>
      <c r="AK260" s="421"/>
      <c r="AL260" s="421"/>
      <c r="AM260" s="421"/>
      <c r="AN260" s="421"/>
      <c r="AO260" s="55"/>
      <c r="AP260" s="55"/>
      <c r="AQ260" s="126"/>
      <c r="AR260" s="55"/>
      <c r="AS260" s="55"/>
      <c r="AT260" s="55"/>
      <c r="AU260" s="55"/>
      <c r="AV260" s="55"/>
      <c r="AW260" s="55"/>
      <c r="AX260" s="55"/>
      <c r="AY260" s="253">
        <f>SUM(AY258:AY259)</f>
        <v>9770433048</v>
      </c>
      <c r="AZ260" s="253">
        <f t="shared" ref="AZ260:BC260" si="66">SUM(AZ258:AZ259)</f>
        <v>4270000000</v>
      </c>
      <c r="BA260" s="253">
        <f t="shared" si="66"/>
        <v>3302000000</v>
      </c>
      <c r="BB260" s="253">
        <f t="shared" si="66"/>
        <v>3207566952</v>
      </c>
      <c r="BC260" s="253">
        <f t="shared" si="66"/>
        <v>20550000000</v>
      </c>
      <c r="BD260" s="55"/>
      <c r="BE260" s="55"/>
    </row>
    <row r="261" spans="1:57" ht="45">
      <c r="A261" s="571"/>
      <c r="B261" s="572"/>
      <c r="C261" s="572"/>
      <c r="D261" s="572"/>
      <c r="E261" s="572"/>
      <c r="F261" s="572"/>
      <c r="G261" s="572"/>
      <c r="H261" s="4"/>
      <c r="I261" s="4"/>
      <c r="J261" s="4"/>
      <c r="K261" s="4"/>
      <c r="L261" s="4"/>
      <c r="M261" s="4"/>
      <c r="N261" s="5" t="s">
        <v>789</v>
      </c>
      <c r="O261" s="415">
        <f>+(0.75*100)/14</f>
        <v>5.3571428571428568</v>
      </c>
      <c r="P261" s="674">
        <f>+O261*C4</f>
        <v>0.5357142857142857</v>
      </c>
      <c r="Q261" s="674">
        <f>+O261*D4</f>
        <v>2.4107142857142856</v>
      </c>
      <c r="R261" s="674">
        <f>+O261*E4</f>
        <v>1.3392857142857142</v>
      </c>
      <c r="S261" s="674">
        <f>+O261*F4</f>
        <v>1.0714285714285714</v>
      </c>
      <c r="T261" s="5" t="s">
        <v>791</v>
      </c>
      <c r="U261" s="193" t="s">
        <v>202</v>
      </c>
      <c r="V261" s="610" t="s">
        <v>87</v>
      </c>
      <c r="W261" s="265">
        <v>0.86170000000000002</v>
      </c>
      <c r="X261" s="265">
        <v>0.91169999999999995</v>
      </c>
      <c r="Y261" s="265">
        <v>0.87</v>
      </c>
      <c r="Z261" s="265">
        <v>0.89</v>
      </c>
      <c r="AA261" s="265">
        <v>0.9</v>
      </c>
      <c r="AB261" s="265">
        <v>0.91</v>
      </c>
      <c r="AC261" s="157" t="s">
        <v>793</v>
      </c>
      <c r="AD261" s="404">
        <f>+(1.5*100)/14</f>
        <v>10.714285714285714</v>
      </c>
      <c r="AE261" s="404">
        <f>+AD261*C4</f>
        <v>1.0714285714285714</v>
      </c>
      <c r="AF261" s="404">
        <f>+AD261*D4</f>
        <v>4.8214285714285712</v>
      </c>
      <c r="AG261" s="404">
        <f>+AD261*E4</f>
        <v>2.6785714285714284</v>
      </c>
      <c r="AH261" s="570">
        <f>+AD261*F4</f>
        <v>2.1428571428571428</v>
      </c>
      <c r="AI261" s="5" t="s">
        <v>794</v>
      </c>
      <c r="AJ261" s="582">
        <f>+(1.225*100)/1.5</f>
        <v>81.666666666666671</v>
      </c>
      <c r="AK261" s="582">
        <f>+AJ261*C4</f>
        <v>8.1666666666666679</v>
      </c>
      <c r="AL261" s="582">
        <f>+AJ261*D4</f>
        <v>36.75</v>
      </c>
      <c r="AM261" s="582">
        <f>+AJ261*E4</f>
        <v>20.416666666666668</v>
      </c>
      <c r="AN261" s="582">
        <f>+AJ261*F4</f>
        <v>16.333333333333336</v>
      </c>
      <c r="AO261" s="5" t="s">
        <v>796</v>
      </c>
      <c r="AP261" s="193" t="s">
        <v>203</v>
      </c>
      <c r="AQ261" s="147" t="s">
        <v>87</v>
      </c>
      <c r="AR261" s="193">
        <v>7</v>
      </c>
      <c r="AS261" s="193">
        <v>7</v>
      </c>
      <c r="AT261" s="193">
        <v>7</v>
      </c>
      <c r="AU261" s="193">
        <v>7</v>
      </c>
      <c r="AV261" s="193">
        <v>7</v>
      </c>
      <c r="AW261" s="193">
        <v>7</v>
      </c>
      <c r="AX261" s="193">
        <v>7</v>
      </c>
      <c r="AY261" s="70">
        <v>6000000000</v>
      </c>
      <c r="AZ261" s="70">
        <v>2000000000</v>
      </c>
      <c r="BA261" s="70">
        <v>1000000000</v>
      </c>
      <c r="BB261" s="70">
        <v>1000000000</v>
      </c>
      <c r="BC261" s="266">
        <f>SUM(AY261:BB261)</f>
        <v>10000000000</v>
      </c>
      <c r="BD261" s="5" t="s">
        <v>788</v>
      </c>
      <c r="BE261" s="5" t="s">
        <v>205</v>
      </c>
    </row>
    <row r="262" spans="1:57" ht="33.75">
      <c r="A262" s="571"/>
      <c r="B262" s="572"/>
      <c r="C262" s="572"/>
      <c r="D262" s="572"/>
      <c r="E262" s="572"/>
      <c r="F262" s="572"/>
      <c r="G262" s="572"/>
      <c r="H262" s="4"/>
      <c r="I262" s="4"/>
      <c r="J262" s="4"/>
      <c r="K262" s="4"/>
      <c r="L262" s="4"/>
      <c r="M262" s="4"/>
      <c r="N262" s="5" t="s">
        <v>790</v>
      </c>
      <c r="O262" s="404">
        <f>+(0.75*100)/14</f>
        <v>5.3571428571428568</v>
      </c>
      <c r="P262" s="674">
        <f>+O262*C4</f>
        <v>0.5357142857142857</v>
      </c>
      <c r="Q262" s="674">
        <f>+O262*D4</f>
        <v>2.4107142857142856</v>
      </c>
      <c r="R262" s="674">
        <f>+O262*E4</f>
        <v>1.3392857142857142</v>
      </c>
      <c r="S262" s="674">
        <f>+O262*F4</f>
        <v>1.0714285714285714</v>
      </c>
      <c r="T262" s="5" t="s">
        <v>792</v>
      </c>
      <c r="U262" s="193" t="s">
        <v>202</v>
      </c>
      <c r="V262" s="5" t="s">
        <v>88</v>
      </c>
      <c r="W262" s="265">
        <v>0.15</v>
      </c>
      <c r="X262" s="265">
        <v>0.2</v>
      </c>
      <c r="Y262" s="265">
        <v>0.15</v>
      </c>
      <c r="Z262" s="265">
        <v>0.18</v>
      </c>
      <c r="AA262" s="265">
        <v>0.19</v>
      </c>
      <c r="AB262" s="265">
        <v>0.2</v>
      </c>
      <c r="AC262" s="5"/>
      <c r="AD262" s="614"/>
      <c r="AE262" s="5"/>
      <c r="AF262" s="5"/>
      <c r="AG262" s="5"/>
      <c r="AH262" s="203"/>
      <c r="AI262" s="5" t="s">
        <v>795</v>
      </c>
      <c r="AJ262" s="582">
        <f>+(0.275*100)/1.5</f>
        <v>18.333333333333336</v>
      </c>
      <c r="AK262" s="582">
        <f>+AJ262*C4</f>
        <v>1.8333333333333337</v>
      </c>
      <c r="AL262" s="582">
        <v>0</v>
      </c>
      <c r="AM262" s="582">
        <v>8.25</v>
      </c>
      <c r="AN262" s="582">
        <v>8.25</v>
      </c>
      <c r="AO262" s="5" t="s">
        <v>797</v>
      </c>
      <c r="AP262" s="193" t="s">
        <v>202</v>
      </c>
      <c r="AQ262" s="147" t="s">
        <v>87</v>
      </c>
      <c r="AR262" s="193">
        <v>25000</v>
      </c>
      <c r="AS262" s="193">
        <v>45000</v>
      </c>
      <c r="AT262" s="193">
        <v>5000</v>
      </c>
      <c r="AU262" s="193">
        <v>0</v>
      </c>
      <c r="AV262" s="193">
        <v>7500</v>
      </c>
      <c r="AW262" s="193">
        <v>7500</v>
      </c>
      <c r="AX262" s="193">
        <v>20000</v>
      </c>
      <c r="AY262" s="70">
        <v>3000000000</v>
      </c>
      <c r="AZ262" s="70">
        <v>1000000000</v>
      </c>
      <c r="BA262" s="70">
        <v>0</v>
      </c>
      <c r="BB262" s="70">
        <v>0</v>
      </c>
      <c r="BC262" s="266">
        <f>SUM(AY262:BB262)</f>
        <v>4000000000</v>
      </c>
      <c r="BD262" s="5" t="s">
        <v>788</v>
      </c>
      <c r="BE262" s="5" t="s">
        <v>205</v>
      </c>
    </row>
    <row r="263" spans="1:57">
      <c r="A263" s="571"/>
      <c r="B263" s="572"/>
      <c r="C263" s="572"/>
      <c r="D263" s="572"/>
      <c r="E263" s="572"/>
      <c r="F263" s="572"/>
      <c r="G263" s="572"/>
      <c r="H263" s="4"/>
      <c r="I263" s="4"/>
      <c r="J263" s="4"/>
      <c r="K263" s="4"/>
      <c r="L263" s="4"/>
      <c r="M263" s="4"/>
      <c r="N263" s="174"/>
      <c r="O263" s="174"/>
      <c r="P263" s="400"/>
      <c r="Q263" s="400"/>
      <c r="R263" s="400"/>
      <c r="S263" s="400"/>
      <c r="T263" s="174"/>
      <c r="U263" s="186"/>
      <c r="V263" s="174"/>
      <c r="W263" s="174"/>
      <c r="X263" s="174"/>
      <c r="Y263" s="174"/>
      <c r="Z263" s="174"/>
      <c r="AA263" s="174"/>
      <c r="AB263" s="174"/>
      <c r="AC263" s="349" t="s">
        <v>1453</v>
      </c>
      <c r="AD263" s="420">
        <f>+AD261</f>
        <v>10.714285714285714</v>
      </c>
      <c r="AE263" s="174"/>
      <c r="AF263" s="174"/>
      <c r="AG263" s="174"/>
      <c r="AH263" s="174"/>
      <c r="AI263" s="174"/>
      <c r="AJ263" s="420">
        <f>SUM(AJ261:AJ262)</f>
        <v>100</v>
      </c>
      <c r="AK263" s="420"/>
      <c r="AL263" s="420"/>
      <c r="AM263" s="420"/>
      <c r="AN263" s="420"/>
      <c r="AO263" s="174"/>
      <c r="AP263" s="186"/>
      <c r="AQ263" s="174"/>
      <c r="AR263" s="174"/>
      <c r="AS263" s="174"/>
      <c r="AT263" s="174"/>
      <c r="AU263" s="174"/>
      <c r="AV263" s="174"/>
      <c r="AW263" s="174"/>
      <c r="AX263" s="174"/>
      <c r="AY263" s="234">
        <f>SUM(AY261:AY262)</f>
        <v>9000000000</v>
      </c>
      <c r="AZ263" s="234">
        <f t="shared" ref="AZ263:BC263" si="67">SUM(AZ261:AZ262)</f>
        <v>3000000000</v>
      </c>
      <c r="BA263" s="234">
        <f t="shared" si="67"/>
        <v>1000000000</v>
      </c>
      <c r="BB263" s="234">
        <f t="shared" si="67"/>
        <v>1000000000</v>
      </c>
      <c r="BC263" s="234">
        <f t="shared" si="67"/>
        <v>14000000000</v>
      </c>
      <c r="BD263" s="174"/>
      <c r="BE263" s="174"/>
    </row>
    <row r="264" spans="1:57" ht="33.75" customHeight="1">
      <c r="A264" s="571"/>
      <c r="B264" s="572"/>
      <c r="C264" s="572"/>
      <c r="D264" s="572"/>
      <c r="E264" s="572"/>
      <c r="F264" s="572"/>
      <c r="G264" s="572"/>
      <c r="H264" s="4"/>
      <c r="I264" s="4"/>
      <c r="J264" s="4"/>
      <c r="K264" s="4"/>
      <c r="L264" s="4"/>
      <c r="M264" s="4"/>
      <c r="N264" s="157" t="s">
        <v>798</v>
      </c>
      <c r="O264" s="404">
        <f>+(1*100)/14</f>
        <v>7.1428571428571432</v>
      </c>
      <c r="P264" s="158">
        <f>+O264*C4</f>
        <v>0.71428571428571441</v>
      </c>
      <c r="Q264" s="158">
        <f>+O264*D4</f>
        <v>3.2142857142857144</v>
      </c>
      <c r="R264" s="158">
        <f>+O264*E4</f>
        <v>1.7857142857142858</v>
      </c>
      <c r="S264" s="158">
        <f>+O264*F4</f>
        <v>1.4285714285714288</v>
      </c>
      <c r="T264" s="157" t="s">
        <v>803</v>
      </c>
      <c r="U264" s="198" t="s">
        <v>202</v>
      </c>
      <c r="V264" s="458" t="s">
        <v>87</v>
      </c>
      <c r="W264" s="298">
        <v>0.61</v>
      </c>
      <c r="X264" s="298">
        <v>0.68</v>
      </c>
      <c r="Y264" s="298">
        <v>0.62</v>
      </c>
      <c r="Z264" s="298">
        <v>0.66</v>
      </c>
      <c r="AA264" s="298">
        <v>0.67</v>
      </c>
      <c r="AB264" s="298">
        <v>0.68</v>
      </c>
      <c r="AC264" s="157" t="s">
        <v>812</v>
      </c>
      <c r="AD264" s="404">
        <f>+(1*100)/14</f>
        <v>7.1428571428571432</v>
      </c>
      <c r="AE264" s="404">
        <f>+AD264*C4</f>
        <v>0.71428571428571441</v>
      </c>
      <c r="AF264" s="404">
        <f>+AD264*D4</f>
        <v>3.2142857142857144</v>
      </c>
      <c r="AG264" s="404">
        <f>+AD264*E4</f>
        <v>1.7857142857142858</v>
      </c>
      <c r="AH264" s="404">
        <f>+AD264*F4</f>
        <v>1.4285714285714288</v>
      </c>
      <c r="AI264" s="5" t="s">
        <v>816</v>
      </c>
      <c r="AJ264" s="307">
        <v>64.61</v>
      </c>
      <c r="AK264" s="307">
        <f>+AJ264*C4</f>
        <v>6.4610000000000003</v>
      </c>
      <c r="AL264" s="307">
        <f>+AJ264*D4</f>
        <v>29.0745</v>
      </c>
      <c r="AM264" s="307">
        <v>29.07</v>
      </c>
      <c r="AN264" s="307">
        <v>0</v>
      </c>
      <c r="AO264" s="5" t="s">
        <v>833</v>
      </c>
      <c r="AP264" s="193" t="s">
        <v>203</v>
      </c>
      <c r="AQ264" s="147" t="s">
        <v>87</v>
      </c>
      <c r="AR264" s="193">
        <v>3</v>
      </c>
      <c r="AS264" s="193">
        <v>6</v>
      </c>
      <c r="AT264" s="193">
        <v>3</v>
      </c>
      <c r="AU264" s="193">
        <v>2</v>
      </c>
      <c r="AV264" s="193">
        <v>1</v>
      </c>
      <c r="AW264" s="193">
        <v>0</v>
      </c>
      <c r="AX264" s="193">
        <v>3</v>
      </c>
      <c r="AY264" s="70">
        <v>3000000000</v>
      </c>
      <c r="AZ264" s="70">
        <v>1900000000</v>
      </c>
      <c r="BA264" s="70">
        <v>0</v>
      </c>
      <c r="BB264" s="70">
        <v>0</v>
      </c>
      <c r="BC264" s="266">
        <f>SUM(AY264:BB264)</f>
        <v>4900000000</v>
      </c>
      <c r="BD264" s="5" t="s">
        <v>788</v>
      </c>
      <c r="BE264" s="5" t="s">
        <v>205</v>
      </c>
    </row>
    <row r="265" spans="1:57" ht="42" customHeight="1">
      <c r="A265" s="571"/>
      <c r="B265" s="572"/>
      <c r="C265" s="572"/>
      <c r="D265" s="572"/>
      <c r="E265" s="572"/>
      <c r="F265" s="572"/>
      <c r="G265" s="572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59"/>
      <c r="W265" s="192"/>
      <c r="X265" s="192"/>
      <c r="Y265" s="4"/>
      <c r="Z265" s="4"/>
      <c r="AA265" s="4"/>
      <c r="AB265" s="4"/>
      <c r="AC265" s="4"/>
      <c r="AD265" s="376"/>
      <c r="AE265" s="192"/>
      <c r="AF265" s="192"/>
      <c r="AG265" s="192"/>
      <c r="AH265" s="192"/>
      <c r="AI265" s="5" t="s">
        <v>817</v>
      </c>
      <c r="AJ265" s="306">
        <v>35.49</v>
      </c>
      <c r="AK265" s="307">
        <f>+AJ265*C4</f>
        <v>3.5490000000000004</v>
      </c>
      <c r="AL265" s="307">
        <f>+AJ265*D4</f>
        <v>15.970500000000001</v>
      </c>
      <c r="AM265" s="307">
        <v>15.97</v>
      </c>
      <c r="AN265" s="307">
        <v>0</v>
      </c>
      <c r="AO265" s="4" t="s">
        <v>834</v>
      </c>
      <c r="AP265" s="192" t="s">
        <v>203</v>
      </c>
      <c r="AQ265" s="147" t="s">
        <v>87</v>
      </c>
      <c r="AR265" s="193">
        <v>2</v>
      </c>
      <c r="AS265" s="193">
        <v>4</v>
      </c>
      <c r="AT265" s="193">
        <v>2</v>
      </c>
      <c r="AU265" s="193">
        <v>1</v>
      </c>
      <c r="AV265" s="193">
        <v>1</v>
      </c>
      <c r="AW265" s="193">
        <v>0</v>
      </c>
      <c r="AX265" s="193">
        <v>2</v>
      </c>
      <c r="AY265" s="70">
        <v>3500000000</v>
      </c>
      <c r="AZ265" s="70">
        <v>0</v>
      </c>
      <c r="BA265" s="70">
        <v>0</v>
      </c>
      <c r="BB265" s="70">
        <v>0</v>
      </c>
      <c r="BC265" s="266">
        <f t="shared" ref="BC265:BC282" si="68">SUM(AY265:BB265)</f>
        <v>3500000000</v>
      </c>
      <c r="BD265" s="5" t="s">
        <v>788</v>
      </c>
      <c r="BE265" s="5" t="s">
        <v>205</v>
      </c>
    </row>
    <row r="266" spans="1:57">
      <c r="A266" s="571"/>
      <c r="B266" s="572"/>
      <c r="C266" s="572"/>
      <c r="D266" s="572"/>
      <c r="E266" s="572"/>
      <c r="F266" s="572"/>
      <c r="G266" s="572"/>
      <c r="H266" s="4"/>
      <c r="I266" s="4"/>
      <c r="J266" s="4"/>
      <c r="K266" s="4"/>
      <c r="L266" s="4"/>
      <c r="M266" s="4"/>
      <c r="N266" s="174"/>
      <c r="O266" s="174"/>
      <c r="P266" s="174"/>
      <c r="Q266" s="174"/>
      <c r="R266" s="174"/>
      <c r="S266" s="174"/>
      <c r="T266" s="174"/>
      <c r="U266" s="174"/>
      <c r="V266" s="174"/>
      <c r="W266" s="186"/>
      <c r="X266" s="186"/>
      <c r="Y266" s="174"/>
      <c r="Z266" s="174"/>
      <c r="AA266" s="174"/>
      <c r="AB266" s="174"/>
      <c r="AC266" s="349" t="s">
        <v>1453</v>
      </c>
      <c r="AD266" s="420">
        <f>+AD264</f>
        <v>7.1428571428571432</v>
      </c>
      <c r="AE266" s="186"/>
      <c r="AF266" s="186"/>
      <c r="AG266" s="186"/>
      <c r="AH266" s="186"/>
      <c r="AI266" s="174"/>
      <c r="AJ266" s="437">
        <f>SUM(AJ264:AJ265)</f>
        <v>100.1</v>
      </c>
      <c r="AK266" s="437"/>
      <c r="AL266" s="437"/>
      <c r="AM266" s="437"/>
      <c r="AN266" s="437"/>
      <c r="AO266" s="174"/>
      <c r="AP266" s="186"/>
      <c r="AQ266" s="254"/>
      <c r="AR266" s="208"/>
      <c r="AS266" s="254"/>
      <c r="AT266" s="208"/>
      <c r="AU266" s="208"/>
      <c r="AV266" s="208"/>
      <c r="AW266" s="208"/>
      <c r="AX266" s="254"/>
      <c r="AY266" s="257">
        <v>6500000000</v>
      </c>
      <c r="AZ266" s="257">
        <v>1900000000</v>
      </c>
      <c r="BA266" s="257">
        <v>0</v>
      </c>
      <c r="BB266" s="257">
        <v>0</v>
      </c>
      <c r="BC266" s="234">
        <f t="shared" si="68"/>
        <v>8400000000</v>
      </c>
      <c r="BD266" s="254"/>
      <c r="BE266" s="255"/>
    </row>
    <row r="267" spans="1:57" ht="56.25">
      <c r="A267" s="571"/>
      <c r="B267" s="572"/>
      <c r="C267" s="572"/>
      <c r="D267" s="572"/>
      <c r="E267" s="572"/>
      <c r="F267" s="572"/>
      <c r="G267" s="572"/>
      <c r="H267" s="4"/>
      <c r="I267" s="4"/>
      <c r="J267" s="4"/>
      <c r="K267" s="4"/>
      <c r="L267" s="4"/>
      <c r="M267" s="4"/>
      <c r="N267" s="5" t="s">
        <v>1486</v>
      </c>
      <c r="O267" s="415">
        <f>+(0.3*100)/14</f>
        <v>2.1428571428571428</v>
      </c>
      <c r="P267" s="674">
        <f>+O267*C4</f>
        <v>0.2142857142857143</v>
      </c>
      <c r="Q267" s="674">
        <f>+O267*D4</f>
        <v>0.9642857142857143</v>
      </c>
      <c r="R267" s="674">
        <f>+O267*E4</f>
        <v>0.5357142857142857</v>
      </c>
      <c r="S267" s="674">
        <f>+O267*F4</f>
        <v>0.4285714285714286</v>
      </c>
      <c r="T267" s="5" t="s">
        <v>804</v>
      </c>
      <c r="U267" s="193" t="s">
        <v>1454</v>
      </c>
      <c r="V267" s="458" t="s">
        <v>87</v>
      </c>
      <c r="W267" s="193" t="s">
        <v>810</v>
      </c>
      <c r="X267" s="193" t="s">
        <v>811</v>
      </c>
      <c r="Y267" s="193" t="s">
        <v>1487</v>
      </c>
      <c r="Z267" s="193" t="s">
        <v>1488</v>
      </c>
      <c r="AA267" s="193" t="s">
        <v>1489</v>
      </c>
      <c r="AB267" s="193" t="s">
        <v>1490</v>
      </c>
      <c r="AC267" s="157" t="s">
        <v>813</v>
      </c>
      <c r="AD267" s="404">
        <f>+(0.5*100)/14</f>
        <v>3.5714285714285716</v>
      </c>
      <c r="AE267" s="404">
        <f>+AD267*C4</f>
        <v>0.35714285714285721</v>
      </c>
      <c r="AF267" s="404">
        <f>+AD267*D4</f>
        <v>1.6071428571428572</v>
      </c>
      <c r="AG267" s="404">
        <f>+AD267*E4</f>
        <v>0.8928571428571429</v>
      </c>
      <c r="AH267" s="404">
        <f>+AD267*F4</f>
        <v>0.71428571428571441</v>
      </c>
      <c r="AI267" s="5" t="s">
        <v>818</v>
      </c>
      <c r="AJ267" s="307">
        <f>+(0.18*100)/0.5</f>
        <v>36</v>
      </c>
      <c r="AK267" s="307">
        <f>+AJ267*C4</f>
        <v>3.6</v>
      </c>
      <c r="AL267" s="307">
        <v>0</v>
      </c>
      <c r="AM267" s="307">
        <v>25.2</v>
      </c>
      <c r="AN267" s="307">
        <f>+AJ267*F4</f>
        <v>7.2</v>
      </c>
      <c r="AO267" s="5" t="s">
        <v>835</v>
      </c>
      <c r="AP267" s="193" t="s">
        <v>202</v>
      </c>
      <c r="AQ267" s="147" t="s">
        <v>87</v>
      </c>
      <c r="AR267" s="193" t="s">
        <v>850</v>
      </c>
      <c r="AS267" s="5" t="s">
        <v>1450</v>
      </c>
      <c r="AT267" s="193" t="s">
        <v>851</v>
      </c>
      <c r="AU267" s="193">
        <v>0</v>
      </c>
      <c r="AV267" s="193" t="s">
        <v>1525</v>
      </c>
      <c r="AW267" s="193" t="s">
        <v>1526</v>
      </c>
      <c r="AX267" s="193" t="s">
        <v>1451</v>
      </c>
      <c r="AY267" s="70">
        <v>0</v>
      </c>
      <c r="AZ267" s="70">
        <v>0</v>
      </c>
      <c r="BA267" s="70">
        <v>0</v>
      </c>
      <c r="BB267" s="70">
        <v>0</v>
      </c>
      <c r="BC267" s="266">
        <f t="shared" si="68"/>
        <v>0</v>
      </c>
      <c r="BD267" s="5" t="s">
        <v>204</v>
      </c>
      <c r="BE267" s="5" t="s">
        <v>852</v>
      </c>
    </row>
    <row r="268" spans="1:57" ht="33.75">
      <c r="A268" s="571"/>
      <c r="B268" s="572"/>
      <c r="C268" s="572"/>
      <c r="D268" s="572"/>
      <c r="E268" s="572"/>
      <c r="F268" s="572"/>
      <c r="G268" s="572"/>
      <c r="H268" s="4"/>
      <c r="I268" s="4"/>
      <c r="J268" s="4"/>
      <c r="K268" s="4"/>
      <c r="L268" s="4"/>
      <c r="M268" s="4"/>
      <c r="N268" s="157" t="s">
        <v>1491</v>
      </c>
      <c r="O268" s="404">
        <f>+(0.2*100)/14</f>
        <v>1.4285714285714286</v>
      </c>
      <c r="P268" s="158">
        <f>+O268*C4</f>
        <v>0.14285714285714288</v>
      </c>
      <c r="Q268" s="158">
        <f>+O268*D4</f>
        <v>0.6428571428571429</v>
      </c>
      <c r="R268" s="158">
        <f>+O268*E4</f>
        <v>0.35714285714285715</v>
      </c>
      <c r="S268" s="158">
        <f>+O268*F4</f>
        <v>0.28571428571428575</v>
      </c>
      <c r="T268" s="157" t="s">
        <v>805</v>
      </c>
      <c r="U268" s="198" t="s">
        <v>202</v>
      </c>
      <c r="V268" s="458" t="s">
        <v>87</v>
      </c>
      <c r="W268" s="198">
        <v>343</v>
      </c>
      <c r="X268" s="198">
        <v>292</v>
      </c>
      <c r="Y268" s="198">
        <v>340</v>
      </c>
      <c r="Z268" s="198">
        <v>300</v>
      </c>
      <c r="AA268" s="198">
        <v>295</v>
      </c>
      <c r="AB268" s="198">
        <v>292</v>
      </c>
      <c r="AC268" s="4"/>
      <c r="AD268" s="376"/>
      <c r="AE268" s="192"/>
      <c r="AF268" s="192"/>
      <c r="AG268" s="192"/>
      <c r="AH268" s="192"/>
      <c r="AI268" s="5" t="s">
        <v>819</v>
      </c>
      <c r="AJ268" s="307">
        <f>+(0.13*100)/0.5</f>
        <v>26</v>
      </c>
      <c r="AK268" s="307">
        <f>+AJ268*C4</f>
        <v>2.6</v>
      </c>
      <c r="AL268" s="307">
        <v>0</v>
      </c>
      <c r="AM268" s="307">
        <v>18.2</v>
      </c>
      <c r="AN268" s="307">
        <f>+AJ268*F4</f>
        <v>5.2</v>
      </c>
      <c r="AO268" s="5" t="s">
        <v>836</v>
      </c>
      <c r="AP268" s="193" t="s">
        <v>202</v>
      </c>
      <c r="AQ268" s="147" t="s">
        <v>87</v>
      </c>
      <c r="AR268" s="193">
        <v>0</v>
      </c>
      <c r="AS268" s="193">
        <v>5</v>
      </c>
      <c r="AT268" s="193">
        <v>2</v>
      </c>
      <c r="AU268" s="193">
        <v>0</v>
      </c>
      <c r="AV268" s="193">
        <v>2</v>
      </c>
      <c r="AW268" s="193">
        <v>1</v>
      </c>
      <c r="AX268" s="193">
        <v>5</v>
      </c>
      <c r="AY268" s="70">
        <v>0</v>
      </c>
      <c r="AZ268" s="70">
        <v>0</v>
      </c>
      <c r="BA268" s="70">
        <v>0</v>
      </c>
      <c r="BB268" s="70">
        <v>0</v>
      </c>
      <c r="BC268" s="266">
        <f t="shared" si="68"/>
        <v>0</v>
      </c>
      <c r="BD268" s="5" t="s">
        <v>204</v>
      </c>
      <c r="BE268" s="5" t="s">
        <v>852</v>
      </c>
    </row>
    <row r="269" spans="1:57" ht="33.75">
      <c r="A269" s="571"/>
      <c r="B269" s="572"/>
      <c r="C269" s="572"/>
      <c r="D269" s="572"/>
      <c r="E269" s="572"/>
      <c r="F269" s="572"/>
      <c r="G269" s="572"/>
      <c r="H269" s="4"/>
      <c r="I269" s="4"/>
      <c r="J269" s="4"/>
      <c r="K269" s="4"/>
      <c r="L269" s="4"/>
      <c r="M269" s="4"/>
      <c r="N269" s="4"/>
      <c r="O269" s="4"/>
      <c r="P269" s="375"/>
      <c r="Q269" s="375"/>
      <c r="R269" s="375"/>
      <c r="S269" s="375"/>
      <c r="T269" s="4"/>
      <c r="U269" s="4"/>
      <c r="V269" s="4"/>
      <c r="W269" s="192"/>
      <c r="X269" s="192"/>
      <c r="Y269" s="4"/>
      <c r="Z269" s="4"/>
      <c r="AA269" s="4"/>
      <c r="AB269" s="4"/>
      <c r="AC269" s="4"/>
      <c r="AD269" s="192"/>
      <c r="AE269" s="192"/>
      <c r="AF269" s="192"/>
      <c r="AG269" s="192"/>
      <c r="AH269" s="192"/>
      <c r="AI269" s="5" t="s">
        <v>820</v>
      </c>
      <c r="AJ269" s="307">
        <f>+(0.19*100)/0.5</f>
        <v>38</v>
      </c>
      <c r="AK269" s="307">
        <f>+AJ269*C4</f>
        <v>3.8000000000000003</v>
      </c>
      <c r="AL269" s="307">
        <v>0</v>
      </c>
      <c r="AM269" s="307">
        <v>26.6</v>
      </c>
      <c r="AN269" s="307">
        <f>+AJ269*F4</f>
        <v>7.6000000000000005</v>
      </c>
      <c r="AO269" s="4" t="s">
        <v>837</v>
      </c>
      <c r="AP269" s="192" t="s">
        <v>202</v>
      </c>
      <c r="AQ269" s="4" t="s">
        <v>88</v>
      </c>
      <c r="AR269" s="367">
        <v>0.5</v>
      </c>
      <c r="AS269" s="367">
        <v>0.8</v>
      </c>
      <c r="AT269" s="367">
        <v>0.5</v>
      </c>
      <c r="AU269" s="193">
        <v>0</v>
      </c>
      <c r="AV269" s="367">
        <v>0.7</v>
      </c>
      <c r="AW269" s="367">
        <v>0.8</v>
      </c>
      <c r="AX269" s="367">
        <v>0.8</v>
      </c>
      <c r="AY269" s="271">
        <v>0</v>
      </c>
      <c r="AZ269" s="271">
        <v>408233178</v>
      </c>
      <c r="BA269" s="271">
        <v>0</v>
      </c>
      <c r="BB269" s="271">
        <v>0</v>
      </c>
      <c r="BC269" s="266">
        <f t="shared" si="68"/>
        <v>408233178</v>
      </c>
      <c r="BD269" s="4" t="s">
        <v>204</v>
      </c>
      <c r="BE269" s="5" t="s">
        <v>852</v>
      </c>
    </row>
    <row r="270" spans="1:57">
      <c r="A270" s="571"/>
      <c r="B270" s="572"/>
      <c r="C270" s="572"/>
      <c r="D270" s="572"/>
      <c r="E270" s="572"/>
      <c r="F270" s="572"/>
      <c r="G270" s="572"/>
      <c r="H270" s="4"/>
      <c r="I270" s="4"/>
      <c r="J270" s="4"/>
      <c r="K270" s="4"/>
      <c r="L270" s="4"/>
      <c r="M270" s="4"/>
      <c r="N270" s="174"/>
      <c r="O270" s="174"/>
      <c r="P270" s="174"/>
      <c r="Q270" s="174"/>
      <c r="R270" s="174"/>
      <c r="S270" s="174"/>
      <c r="T270" s="174"/>
      <c r="U270" s="174"/>
      <c r="V270" s="174"/>
      <c r="W270" s="186"/>
      <c r="X270" s="186"/>
      <c r="Y270" s="174"/>
      <c r="Z270" s="174"/>
      <c r="AA270" s="174"/>
      <c r="AB270" s="174"/>
      <c r="AC270" s="349" t="s">
        <v>1453</v>
      </c>
      <c r="AD270" s="420">
        <f>+AD267</f>
        <v>3.5714285714285716</v>
      </c>
      <c r="AE270" s="186"/>
      <c r="AF270" s="186"/>
      <c r="AG270" s="186"/>
      <c r="AH270" s="186"/>
      <c r="AI270" s="174"/>
      <c r="AJ270" s="420">
        <f>SUM(AJ267:AJ269)</f>
        <v>100</v>
      </c>
      <c r="AK270" s="420"/>
      <c r="AL270" s="420"/>
      <c r="AM270" s="420"/>
      <c r="AN270" s="420"/>
      <c r="AO270" s="174"/>
      <c r="AP270" s="186"/>
      <c r="AQ270" s="174"/>
      <c r="AR270" s="186"/>
      <c r="AS270" s="186"/>
      <c r="AT270" s="186"/>
      <c r="AU270" s="186"/>
      <c r="AV270" s="186"/>
      <c r="AW270" s="186"/>
      <c r="AX270" s="186"/>
      <c r="AY270" s="258">
        <v>0</v>
      </c>
      <c r="AZ270" s="258">
        <v>408233178</v>
      </c>
      <c r="BA270" s="258">
        <v>0</v>
      </c>
      <c r="BB270" s="258">
        <v>0</v>
      </c>
      <c r="BC270" s="234">
        <f t="shared" si="68"/>
        <v>408233178</v>
      </c>
      <c r="BD270" s="174"/>
      <c r="BE270" s="255"/>
    </row>
    <row r="271" spans="1:57" ht="33.75" customHeight="1">
      <c r="A271" s="571"/>
      <c r="B271" s="572"/>
      <c r="C271" s="572"/>
      <c r="D271" s="572"/>
      <c r="E271" s="572"/>
      <c r="F271" s="572"/>
      <c r="G271" s="572"/>
      <c r="H271" s="4"/>
      <c r="I271" s="4"/>
      <c r="J271" s="4"/>
      <c r="K271" s="4"/>
      <c r="L271" s="4"/>
      <c r="M271" s="4"/>
      <c r="N271" s="4" t="s">
        <v>799</v>
      </c>
      <c r="O271" s="404">
        <f>+(1*100)/14</f>
        <v>7.1428571428571432</v>
      </c>
      <c r="P271" s="158">
        <f>+O271*C4</f>
        <v>0.71428571428571441</v>
      </c>
      <c r="Q271" s="158">
        <f>+O271*D4</f>
        <v>3.2142857142857144</v>
      </c>
      <c r="R271" s="158">
        <f>+O271*E4</f>
        <v>1.7857142857142858</v>
      </c>
      <c r="S271" s="158">
        <f>+O271*F4</f>
        <v>1.4285714285714288</v>
      </c>
      <c r="T271" s="157" t="s">
        <v>806</v>
      </c>
      <c r="U271" s="198" t="s">
        <v>202</v>
      </c>
      <c r="V271" s="458" t="s">
        <v>87</v>
      </c>
      <c r="W271" s="198">
        <v>1300</v>
      </c>
      <c r="X271" s="198">
        <v>2800</v>
      </c>
      <c r="Y271" s="198">
        <v>1400</v>
      </c>
      <c r="Z271" s="198">
        <v>2200</v>
      </c>
      <c r="AA271" s="198">
        <v>2600</v>
      </c>
      <c r="AB271" s="198">
        <v>2800</v>
      </c>
      <c r="AC271" s="157" t="s">
        <v>814</v>
      </c>
      <c r="AD271" s="367">
        <f>+(1*100)/14</f>
        <v>7.1428571428571432</v>
      </c>
      <c r="AE271" s="367">
        <f>+AD271*C4</f>
        <v>0.71428571428571441</v>
      </c>
      <c r="AF271" s="367">
        <f>+AD271*D4</f>
        <v>3.2142857142857144</v>
      </c>
      <c r="AG271" s="367">
        <f>+AD271*E4</f>
        <v>1.7857142857142858</v>
      </c>
      <c r="AH271" s="367">
        <f>+AD271*F4</f>
        <v>1.4285714285714288</v>
      </c>
      <c r="AI271" s="267" t="s">
        <v>821</v>
      </c>
      <c r="AJ271" s="307">
        <v>33</v>
      </c>
      <c r="AK271" s="307">
        <f>+AJ271*C4</f>
        <v>3.3000000000000003</v>
      </c>
      <c r="AL271" s="307">
        <f>+AJ271*D4</f>
        <v>14.85</v>
      </c>
      <c r="AM271" s="307">
        <v>14.85</v>
      </c>
      <c r="AN271" s="307">
        <v>0</v>
      </c>
      <c r="AO271" s="5" t="s">
        <v>838</v>
      </c>
      <c r="AP271" s="193" t="s">
        <v>202</v>
      </c>
      <c r="AQ271" s="147" t="s">
        <v>87</v>
      </c>
      <c r="AR271" s="193">
        <v>9</v>
      </c>
      <c r="AS271" s="193">
        <v>12</v>
      </c>
      <c r="AT271" s="193">
        <v>1</v>
      </c>
      <c r="AU271" s="193">
        <v>1</v>
      </c>
      <c r="AV271" s="193">
        <v>1</v>
      </c>
      <c r="AW271" s="193">
        <v>0</v>
      </c>
      <c r="AX271" s="193">
        <v>3</v>
      </c>
      <c r="AY271" s="70">
        <v>10000000000</v>
      </c>
      <c r="AZ271" s="70">
        <v>300000000</v>
      </c>
      <c r="BA271" s="70">
        <v>0</v>
      </c>
      <c r="BB271" s="70">
        <v>468867177</v>
      </c>
      <c r="BC271" s="266">
        <f t="shared" si="68"/>
        <v>10768867177</v>
      </c>
      <c r="BD271" s="5" t="s">
        <v>853</v>
      </c>
      <c r="BE271" s="5" t="s">
        <v>205</v>
      </c>
    </row>
    <row r="272" spans="1:57" ht="33.75">
      <c r="A272" s="571"/>
      <c r="B272" s="572"/>
      <c r="C272" s="572"/>
      <c r="D272" s="572"/>
      <c r="E272" s="572"/>
      <c r="F272" s="572"/>
      <c r="G272" s="572"/>
      <c r="H272" s="4"/>
      <c r="I272" s="4"/>
      <c r="J272" s="4"/>
      <c r="K272" s="4"/>
      <c r="L272" s="4"/>
      <c r="M272" s="4"/>
      <c r="N272" s="4"/>
      <c r="O272" s="4"/>
      <c r="P272" s="375"/>
      <c r="Q272" s="375"/>
      <c r="R272" s="375"/>
      <c r="S272" s="375"/>
      <c r="T272" s="4"/>
      <c r="U272" s="4"/>
      <c r="V272" s="4"/>
      <c r="W272" s="192"/>
      <c r="X272" s="192"/>
      <c r="Y272" s="4"/>
      <c r="Z272" s="4"/>
      <c r="AA272" s="4"/>
      <c r="AB272" s="4"/>
      <c r="AC272" s="4"/>
      <c r="AD272" s="376"/>
      <c r="AE272" s="192"/>
      <c r="AF272" s="192"/>
      <c r="AG272" s="192"/>
      <c r="AH272" s="192"/>
      <c r="AI272" s="267" t="s">
        <v>822</v>
      </c>
      <c r="AJ272" s="307">
        <v>51</v>
      </c>
      <c r="AK272" s="307">
        <f>+AJ272*C4</f>
        <v>5.1000000000000005</v>
      </c>
      <c r="AL272" s="307">
        <v>45.9</v>
      </c>
      <c r="AM272" s="307">
        <v>0</v>
      </c>
      <c r="AN272" s="307">
        <v>0</v>
      </c>
      <c r="AO272" s="5" t="s">
        <v>839</v>
      </c>
      <c r="AP272" s="193" t="s">
        <v>202</v>
      </c>
      <c r="AQ272" s="147" t="s">
        <v>87</v>
      </c>
      <c r="AR272" s="193">
        <v>7</v>
      </c>
      <c r="AS272" s="193">
        <v>10</v>
      </c>
      <c r="AT272" s="193">
        <v>1</v>
      </c>
      <c r="AU272" s="193">
        <v>2</v>
      </c>
      <c r="AV272" s="193">
        <v>0</v>
      </c>
      <c r="AW272" s="193">
        <v>0</v>
      </c>
      <c r="AX272" s="193">
        <v>3</v>
      </c>
      <c r="AY272" s="70">
        <v>300000000</v>
      </c>
      <c r="AZ272" s="70">
        <v>2400000000</v>
      </c>
      <c r="BA272" s="70">
        <v>0</v>
      </c>
      <c r="BB272" s="70">
        <v>0</v>
      </c>
      <c r="BC272" s="266">
        <f t="shared" si="68"/>
        <v>2700000000</v>
      </c>
      <c r="BD272" s="5" t="s">
        <v>853</v>
      </c>
      <c r="BE272" s="5" t="s">
        <v>205</v>
      </c>
    </row>
    <row r="273" spans="1:57" ht="22.5">
      <c r="A273" s="571"/>
      <c r="B273" s="572"/>
      <c r="C273" s="572"/>
      <c r="D273" s="572"/>
      <c r="E273" s="572"/>
      <c r="F273" s="572"/>
      <c r="G273" s="572"/>
      <c r="H273" s="4"/>
      <c r="I273" s="4"/>
      <c r="J273" s="4"/>
      <c r="K273" s="4"/>
      <c r="L273" s="4"/>
      <c r="M273" s="4"/>
      <c r="N273" s="4"/>
      <c r="O273" s="4"/>
      <c r="P273" s="375"/>
      <c r="Q273" s="375"/>
      <c r="R273" s="375"/>
      <c r="S273" s="375"/>
      <c r="T273" s="4"/>
      <c r="U273" s="4"/>
      <c r="V273" s="4"/>
      <c r="W273" s="192"/>
      <c r="X273" s="192"/>
      <c r="Y273" s="4"/>
      <c r="Z273" s="4"/>
      <c r="AA273" s="4"/>
      <c r="AB273" s="4"/>
      <c r="AC273" s="4"/>
      <c r="AD273" s="192"/>
      <c r="AE273" s="192"/>
      <c r="AF273" s="192"/>
      <c r="AG273" s="192"/>
      <c r="AH273" s="192"/>
      <c r="AI273" s="267" t="s">
        <v>823</v>
      </c>
      <c r="AJ273" s="306">
        <v>16</v>
      </c>
      <c r="AK273" s="307">
        <f>+AJ273*C4</f>
        <v>1.6</v>
      </c>
      <c r="AL273" s="307">
        <v>0</v>
      </c>
      <c r="AM273" s="307">
        <v>7.2</v>
      </c>
      <c r="AN273" s="307">
        <v>7.2</v>
      </c>
      <c r="AO273" s="4" t="s">
        <v>840</v>
      </c>
      <c r="AP273" s="192" t="s">
        <v>202</v>
      </c>
      <c r="AQ273" s="147" t="s">
        <v>87</v>
      </c>
      <c r="AR273" s="192">
        <v>0</v>
      </c>
      <c r="AS273" s="192">
        <v>3</v>
      </c>
      <c r="AT273" s="192">
        <v>1</v>
      </c>
      <c r="AU273" s="193">
        <v>0</v>
      </c>
      <c r="AV273" s="193">
        <v>1</v>
      </c>
      <c r="AW273" s="193">
        <v>1</v>
      </c>
      <c r="AX273" s="192">
        <v>3</v>
      </c>
      <c r="AY273" s="271">
        <v>0</v>
      </c>
      <c r="AZ273" s="271">
        <v>0</v>
      </c>
      <c r="BA273" s="271">
        <v>0</v>
      </c>
      <c r="BB273" s="271">
        <v>0</v>
      </c>
      <c r="BC273" s="266">
        <f t="shared" si="68"/>
        <v>0</v>
      </c>
      <c r="BD273" s="4" t="s">
        <v>853</v>
      </c>
      <c r="BE273" s="5" t="s">
        <v>205</v>
      </c>
    </row>
    <row r="274" spans="1:57">
      <c r="A274" s="571"/>
      <c r="B274" s="572"/>
      <c r="C274" s="572"/>
      <c r="D274" s="572"/>
      <c r="E274" s="572"/>
      <c r="F274" s="572"/>
      <c r="G274" s="572"/>
      <c r="H274" s="4"/>
      <c r="I274" s="4"/>
      <c r="J274" s="4"/>
      <c r="K274" s="4"/>
      <c r="L274" s="4"/>
      <c r="M274" s="4"/>
      <c r="N274" s="174"/>
      <c r="O274" s="174"/>
      <c r="P274" s="400"/>
      <c r="Q274" s="400"/>
      <c r="R274" s="400"/>
      <c r="S274" s="400"/>
      <c r="T274" s="174"/>
      <c r="U274" s="174"/>
      <c r="V274" s="174"/>
      <c r="W274" s="186"/>
      <c r="X274" s="186"/>
      <c r="Y274" s="174"/>
      <c r="Z274" s="174"/>
      <c r="AA274" s="174"/>
      <c r="AB274" s="174"/>
      <c r="AC274" s="349" t="s">
        <v>1453</v>
      </c>
      <c r="AD274" s="420">
        <f>+AD271</f>
        <v>7.1428571428571432</v>
      </c>
      <c r="AE274" s="423"/>
      <c r="AF274" s="423"/>
      <c r="AG274" s="423"/>
      <c r="AH274" s="423"/>
      <c r="AI274" s="174"/>
      <c r="AJ274" s="420">
        <f>SUM(AJ271:AJ273)</f>
        <v>100</v>
      </c>
      <c r="AK274" s="420"/>
      <c r="AL274" s="420"/>
      <c r="AM274" s="420"/>
      <c r="AN274" s="420"/>
      <c r="AO274" s="174"/>
      <c r="AP274" s="186"/>
      <c r="AQ274" s="174"/>
      <c r="AR274" s="186"/>
      <c r="AS274" s="186"/>
      <c r="AT274" s="186"/>
      <c r="AU274" s="186"/>
      <c r="AV274" s="186"/>
      <c r="AW274" s="186"/>
      <c r="AX274" s="186"/>
      <c r="AY274" s="258">
        <v>10300000000</v>
      </c>
      <c r="AZ274" s="258">
        <v>2700000000</v>
      </c>
      <c r="BA274" s="258">
        <v>0</v>
      </c>
      <c r="BB274" s="258">
        <v>468867177</v>
      </c>
      <c r="BC274" s="234">
        <f t="shared" si="68"/>
        <v>13468867177</v>
      </c>
      <c r="BD274" s="174"/>
      <c r="BE274" s="256"/>
    </row>
    <row r="275" spans="1:57" ht="33.75" customHeight="1">
      <c r="A275" s="571"/>
      <c r="B275" s="572"/>
      <c r="C275" s="572"/>
      <c r="D275" s="572"/>
      <c r="E275" s="572"/>
      <c r="F275" s="572"/>
      <c r="G275" s="572"/>
      <c r="H275" s="4"/>
      <c r="I275" s="4"/>
      <c r="J275" s="4"/>
      <c r="K275" s="4"/>
      <c r="L275" s="4"/>
      <c r="M275" s="4"/>
      <c r="N275" s="4" t="s">
        <v>800</v>
      </c>
      <c r="O275" s="404">
        <f>+(1*100)/14</f>
        <v>7.1428571428571432</v>
      </c>
      <c r="P275" s="158">
        <f>+O275*C4</f>
        <v>0.71428571428571441</v>
      </c>
      <c r="Q275" s="158">
        <f>+O275*D4</f>
        <v>3.2142857142857144</v>
      </c>
      <c r="R275" s="158">
        <f>+O275*E4</f>
        <v>1.7857142857142858</v>
      </c>
      <c r="S275" s="158">
        <f>+O275*F4</f>
        <v>1.4285714285714288</v>
      </c>
      <c r="T275" s="157" t="s">
        <v>807</v>
      </c>
      <c r="U275" s="198" t="s">
        <v>202</v>
      </c>
      <c r="V275" s="458" t="s">
        <v>87</v>
      </c>
      <c r="W275" s="198">
        <v>54307</v>
      </c>
      <c r="X275" s="198">
        <v>56807</v>
      </c>
      <c r="Y275" s="198">
        <v>54500</v>
      </c>
      <c r="Z275" s="198">
        <v>55800</v>
      </c>
      <c r="AA275" s="198">
        <v>56300</v>
      </c>
      <c r="AB275" s="198">
        <v>56807</v>
      </c>
      <c r="AC275" s="157" t="s">
        <v>815</v>
      </c>
      <c r="AD275" s="404">
        <f>+(1.5*100)/14</f>
        <v>10.714285714285714</v>
      </c>
      <c r="AE275" s="404">
        <f>+AD275*C4</f>
        <v>1.0714285714285714</v>
      </c>
      <c r="AF275" s="404">
        <f>+AD275*D4</f>
        <v>4.8214285714285712</v>
      </c>
      <c r="AG275" s="404">
        <f>+AD275*E4</f>
        <v>2.6785714285714284</v>
      </c>
      <c r="AH275" s="404">
        <f>+AD275*F4</f>
        <v>2.1428571428571428</v>
      </c>
      <c r="AI275" s="5" t="s">
        <v>824</v>
      </c>
      <c r="AJ275" s="307">
        <f>+(0.662*100)/1.5</f>
        <v>44.133333333333333</v>
      </c>
      <c r="AK275" s="307">
        <f>+AJ275*C4</f>
        <v>4.4133333333333331</v>
      </c>
      <c r="AL275" s="307">
        <f>+AJ275*D4</f>
        <v>19.86</v>
      </c>
      <c r="AM275" s="307">
        <f>+AJ275*E4</f>
        <v>11.033333333333333</v>
      </c>
      <c r="AN275" s="307">
        <f>+AJ275*F4</f>
        <v>8.8266666666666662</v>
      </c>
      <c r="AO275" s="5" t="s">
        <v>841</v>
      </c>
      <c r="AP275" s="193" t="s">
        <v>202</v>
      </c>
      <c r="AQ275" s="147" t="s">
        <v>87</v>
      </c>
      <c r="AR275" s="193">
        <v>10</v>
      </c>
      <c r="AS275" s="193">
        <v>18</v>
      </c>
      <c r="AT275" s="193">
        <v>2</v>
      </c>
      <c r="AU275" s="193">
        <v>2</v>
      </c>
      <c r="AV275" s="193">
        <v>3</v>
      </c>
      <c r="AW275" s="193">
        <v>1</v>
      </c>
      <c r="AX275" s="193">
        <v>8</v>
      </c>
      <c r="AY275" s="70">
        <v>1000000000</v>
      </c>
      <c r="AZ275" s="70">
        <v>1000000000</v>
      </c>
      <c r="BA275" s="70">
        <v>1000000000</v>
      </c>
      <c r="BB275" s="70">
        <v>0</v>
      </c>
      <c r="BC275" s="266">
        <f t="shared" si="68"/>
        <v>3000000000</v>
      </c>
      <c r="BD275" s="5" t="s">
        <v>223</v>
      </c>
      <c r="BE275" s="5" t="s">
        <v>205</v>
      </c>
    </row>
    <row r="276" spans="1:57" ht="56.25">
      <c r="A276" s="571"/>
      <c r="B276" s="572"/>
      <c r="C276" s="572"/>
      <c r="D276" s="572"/>
      <c r="E276" s="572"/>
      <c r="F276" s="572"/>
      <c r="G276" s="572"/>
      <c r="H276" s="4"/>
      <c r="I276" s="4"/>
      <c r="J276" s="4"/>
      <c r="K276" s="4"/>
      <c r="L276" s="4"/>
      <c r="M276" s="4"/>
      <c r="N276" s="5"/>
      <c r="O276" s="5"/>
      <c r="P276" s="614"/>
      <c r="Q276" s="614"/>
      <c r="R276" s="614"/>
      <c r="S276" s="614"/>
      <c r="T276" s="5"/>
      <c r="U276" s="5"/>
      <c r="V276" s="5"/>
      <c r="W276" s="193"/>
      <c r="X276" s="193"/>
      <c r="Y276" s="5"/>
      <c r="Z276" s="5"/>
      <c r="AA276" s="5"/>
      <c r="AB276" s="5"/>
      <c r="AC276" s="4"/>
      <c r="AD276" s="376"/>
      <c r="AE276" s="192"/>
      <c r="AF276" s="192"/>
      <c r="AG276" s="192"/>
      <c r="AH276" s="192"/>
      <c r="AI276" s="5" t="s">
        <v>825</v>
      </c>
      <c r="AJ276" s="307">
        <f>+(0.464*100)/1.5</f>
        <v>30.933333333333337</v>
      </c>
      <c r="AK276" s="307">
        <f>+AJ276*C4</f>
        <v>3.0933333333333337</v>
      </c>
      <c r="AL276" s="307">
        <f>+AJ276*D4</f>
        <v>13.920000000000002</v>
      </c>
      <c r="AM276" s="307">
        <f>+AJ276*E4</f>
        <v>7.7333333333333343</v>
      </c>
      <c r="AN276" s="307">
        <f>+AJ276*F4</f>
        <v>6.1866666666666674</v>
      </c>
      <c r="AO276" s="5" t="s">
        <v>842</v>
      </c>
      <c r="AP276" s="193" t="s">
        <v>202</v>
      </c>
      <c r="AQ276" s="147" t="s">
        <v>87</v>
      </c>
      <c r="AR276" s="193">
        <v>40732</v>
      </c>
      <c r="AS276" s="193">
        <v>42232</v>
      </c>
      <c r="AT276" s="193">
        <v>100</v>
      </c>
      <c r="AU276" s="193">
        <v>300</v>
      </c>
      <c r="AV276" s="193">
        <v>500</v>
      </c>
      <c r="AW276" s="193">
        <v>600</v>
      </c>
      <c r="AX276" s="193">
        <v>1500</v>
      </c>
      <c r="AY276" s="70">
        <v>0</v>
      </c>
      <c r="AZ276" s="70">
        <v>500000000</v>
      </c>
      <c r="BA276" s="70">
        <v>500000000</v>
      </c>
      <c r="BB276" s="70">
        <v>500000000</v>
      </c>
      <c r="BC276" s="266">
        <f t="shared" si="68"/>
        <v>1500000000</v>
      </c>
      <c r="BD276" s="5" t="s">
        <v>223</v>
      </c>
      <c r="BE276" s="5" t="s">
        <v>205</v>
      </c>
    </row>
    <row r="277" spans="1:57" ht="45.75" customHeight="1">
      <c r="A277" s="571"/>
      <c r="B277" s="572"/>
      <c r="C277" s="572"/>
      <c r="D277" s="572"/>
      <c r="E277" s="572"/>
      <c r="F277" s="572"/>
      <c r="G277" s="572"/>
      <c r="H277" s="4"/>
      <c r="I277" s="4"/>
      <c r="J277" s="4"/>
      <c r="K277" s="4"/>
      <c r="L277" s="4"/>
      <c r="M277" s="4"/>
      <c r="N277" s="157" t="s">
        <v>801</v>
      </c>
      <c r="O277" s="404">
        <f>+(0.25*100)/14</f>
        <v>1.7857142857142858</v>
      </c>
      <c r="P277" s="158">
        <f>+O277*C4</f>
        <v>0.1785714285714286</v>
      </c>
      <c r="Q277" s="158">
        <f>+O277*D4</f>
        <v>0.8035714285714286</v>
      </c>
      <c r="R277" s="158">
        <f>+O277*E4</f>
        <v>0.44642857142857145</v>
      </c>
      <c r="S277" s="158">
        <f>+O277*F4</f>
        <v>0.35714285714285721</v>
      </c>
      <c r="T277" s="157" t="s">
        <v>808</v>
      </c>
      <c r="U277" s="198" t="s">
        <v>1454</v>
      </c>
      <c r="V277" s="157" t="s">
        <v>88</v>
      </c>
      <c r="W277" s="198">
        <v>30.37</v>
      </c>
      <c r="X277" s="198">
        <v>27.37</v>
      </c>
      <c r="Y277" s="198">
        <v>30</v>
      </c>
      <c r="Z277" s="198">
        <v>28</v>
      </c>
      <c r="AA277" s="198">
        <v>27.6</v>
      </c>
      <c r="AB277" s="198">
        <v>27.37</v>
      </c>
      <c r="AC277" s="4"/>
      <c r="AD277" s="192"/>
      <c r="AE277" s="192"/>
      <c r="AF277" s="192"/>
      <c r="AG277" s="192"/>
      <c r="AH277" s="192"/>
      <c r="AI277" s="5" t="s">
        <v>826</v>
      </c>
      <c r="AJ277" s="307">
        <f>+(0.004*100)/1.5</f>
        <v>0.26666666666666666</v>
      </c>
      <c r="AK277" s="307">
        <v>0</v>
      </c>
      <c r="AL277" s="307">
        <v>0.15</v>
      </c>
      <c r="AM277" s="307">
        <f>+AJ277*E4</f>
        <v>6.6666666666666666E-2</v>
      </c>
      <c r="AN277" s="307">
        <f>+AJ277*F4</f>
        <v>5.3333333333333337E-2</v>
      </c>
      <c r="AO277" s="5" t="s">
        <v>843</v>
      </c>
      <c r="AP277" s="193" t="s">
        <v>202</v>
      </c>
      <c r="AQ277" s="147" t="s">
        <v>87</v>
      </c>
      <c r="AR277" s="193">
        <v>9</v>
      </c>
      <c r="AS277" s="193">
        <v>12</v>
      </c>
      <c r="AT277" s="193">
        <v>0</v>
      </c>
      <c r="AU277" s="193">
        <v>3</v>
      </c>
      <c r="AV277" s="193">
        <v>3</v>
      </c>
      <c r="AW277" s="193">
        <v>3</v>
      </c>
      <c r="AX277" s="193">
        <v>3</v>
      </c>
      <c r="AY277" s="70">
        <v>0</v>
      </c>
      <c r="AZ277" s="70">
        <v>0</v>
      </c>
      <c r="BA277" s="70">
        <v>0</v>
      </c>
      <c r="BB277" s="70">
        <v>0</v>
      </c>
      <c r="BC277" s="266">
        <f t="shared" si="68"/>
        <v>0</v>
      </c>
      <c r="BD277" s="5" t="s">
        <v>223</v>
      </c>
      <c r="BE277" s="5" t="s">
        <v>205</v>
      </c>
    </row>
    <row r="278" spans="1:57" ht="56.25">
      <c r="A278" s="571"/>
      <c r="B278" s="572"/>
      <c r="C278" s="572"/>
      <c r="D278" s="572"/>
      <c r="E278" s="572"/>
      <c r="F278" s="572"/>
      <c r="G278" s="572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192"/>
      <c r="X278" s="192"/>
      <c r="Y278" s="4"/>
      <c r="Z278" s="4"/>
      <c r="AA278" s="4"/>
      <c r="AB278" s="4"/>
      <c r="AC278" s="4"/>
      <c r="AD278" s="192"/>
      <c r="AE278" s="192"/>
      <c r="AF278" s="192"/>
      <c r="AG278" s="192"/>
      <c r="AH278" s="192"/>
      <c r="AI278" s="5" t="s">
        <v>827</v>
      </c>
      <c r="AJ278" s="307">
        <f>+(0.13*100)/1.5</f>
        <v>8.6666666666666661</v>
      </c>
      <c r="AK278" s="307">
        <f>+AJ278*C4</f>
        <v>0.8666666666666667</v>
      </c>
      <c r="AL278" s="307">
        <f>+AJ278*D4</f>
        <v>3.9</v>
      </c>
      <c r="AM278" s="307">
        <f>+AJ278*E4</f>
        <v>2.1666666666666665</v>
      </c>
      <c r="AN278" s="307">
        <f>+AJ278*F4</f>
        <v>1.7333333333333334</v>
      </c>
      <c r="AO278" s="5" t="s">
        <v>844</v>
      </c>
      <c r="AP278" s="193" t="s">
        <v>203</v>
      </c>
      <c r="AQ278" s="5" t="s">
        <v>88</v>
      </c>
      <c r="AR278" s="265">
        <v>0.7</v>
      </c>
      <c r="AS278" s="265">
        <v>0.8</v>
      </c>
      <c r="AT278" s="265">
        <v>0.8</v>
      </c>
      <c r="AU278" s="265">
        <v>0.8</v>
      </c>
      <c r="AV278" s="265">
        <v>0.8</v>
      </c>
      <c r="AW278" s="265">
        <v>0.8</v>
      </c>
      <c r="AX278" s="265">
        <v>0.8</v>
      </c>
      <c r="AY278" s="70">
        <v>125000000</v>
      </c>
      <c r="AZ278" s="70">
        <v>125000000</v>
      </c>
      <c r="BA278" s="70">
        <v>125000000</v>
      </c>
      <c r="BB278" s="70">
        <v>125000000</v>
      </c>
      <c r="BC278" s="266">
        <f t="shared" si="68"/>
        <v>500000000</v>
      </c>
      <c r="BD278" s="5" t="s">
        <v>223</v>
      </c>
      <c r="BE278" s="5" t="s">
        <v>205</v>
      </c>
    </row>
    <row r="279" spans="1:57" ht="56.25">
      <c r="A279" s="571"/>
      <c r="B279" s="572"/>
      <c r="C279" s="572"/>
      <c r="D279" s="572"/>
      <c r="E279" s="572"/>
      <c r="F279" s="572"/>
      <c r="G279" s="572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192"/>
      <c r="X279" s="192"/>
      <c r="Y279" s="4"/>
      <c r="Z279" s="4"/>
      <c r="AA279" s="4"/>
      <c r="AB279" s="4"/>
      <c r="AC279" s="4"/>
      <c r="AD279" s="192"/>
      <c r="AE279" s="192"/>
      <c r="AF279" s="192"/>
      <c r="AG279" s="192"/>
      <c r="AH279" s="192"/>
      <c r="AI279" s="5" t="s">
        <v>828</v>
      </c>
      <c r="AJ279" s="307">
        <f>+(0.004*100)/1.5</f>
        <v>0.26666666666666666</v>
      </c>
      <c r="AK279" s="307">
        <f>+AJ279*C4</f>
        <v>2.6666666666666668E-2</v>
      </c>
      <c r="AL279" s="307">
        <f>+AJ279*D4</f>
        <v>0.12</v>
      </c>
      <c r="AM279" s="307">
        <f>+AJ279*E4</f>
        <v>6.6666666666666666E-2</v>
      </c>
      <c r="AN279" s="307">
        <f>+AJ279*F4</f>
        <v>5.3333333333333337E-2</v>
      </c>
      <c r="AO279" s="5" t="s">
        <v>845</v>
      </c>
      <c r="AP279" s="193" t="s">
        <v>203</v>
      </c>
      <c r="AQ279" s="147" t="s">
        <v>87</v>
      </c>
      <c r="AR279" s="193">
        <v>0</v>
      </c>
      <c r="AS279" s="193">
        <v>1000</v>
      </c>
      <c r="AT279" s="193">
        <v>250</v>
      </c>
      <c r="AU279" s="193">
        <v>250</v>
      </c>
      <c r="AV279" s="193">
        <v>250</v>
      </c>
      <c r="AW279" s="193">
        <v>250</v>
      </c>
      <c r="AX279" s="193">
        <v>1000</v>
      </c>
      <c r="AY279" s="70">
        <v>0</v>
      </c>
      <c r="AZ279" s="70">
        <v>0</v>
      </c>
      <c r="BA279" s="70">
        <v>0</v>
      </c>
      <c r="BB279" s="70">
        <v>0</v>
      </c>
      <c r="BC279" s="266">
        <f t="shared" si="68"/>
        <v>0</v>
      </c>
      <c r="BD279" s="5" t="s">
        <v>223</v>
      </c>
      <c r="BE279" s="5" t="s">
        <v>205</v>
      </c>
    </row>
    <row r="280" spans="1:57" ht="56.25">
      <c r="A280" s="571"/>
      <c r="B280" s="572"/>
      <c r="C280" s="572"/>
      <c r="D280" s="572"/>
      <c r="E280" s="572"/>
      <c r="F280" s="572"/>
      <c r="G280" s="572"/>
      <c r="H280" s="4"/>
      <c r="I280" s="4"/>
      <c r="J280" s="4"/>
      <c r="K280" s="4"/>
      <c r="L280" s="4"/>
      <c r="M280" s="4"/>
      <c r="N280" s="5"/>
      <c r="O280" s="5"/>
      <c r="P280" s="5"/>
      <c r="Q280" s="5"/>
      <c r="R280" s="5"/>
      <c r="S280" s="5"/>
      <c r="T280" s="5"/>
      <c r="U280" s="5"/>
      <c r="V280" s="5"/>
      <c r="W280" s="193"/>
      <c r="X280" s="193"/>
      <c r="Y280" s="5"/>
      <c r="Z280" s="5"/>
      <c r="AA280" s="5"/>
      <c r="AB280" s="5"/>
      <c r="AC280" s="4"/>
      <c r="AD280" s="192"/>
      <c r="AE280" s="192"/>
      <c r="AF280" s="192"/>
      <c r="AG280" s="192"/>
      <c r="AH280" s="192"/>
      <c r="AI280" s="5" t="s">
        <v>829</v>
      </c>
      <c r="AJ280" s="307">
        <f>+(0.224*100)/1.5</f>
        <v>14.933333333333335</v>
      </c>
      <c r="AK280" s="307">
        <v>0</v>
      </c>
      <c r="AL280" s="307">
        <v>8.2100000000000009</v>
      </c>
      <c r="AM280" s="307">
        <f>+AJ280*E4</f>
        <v>3.7333333333333338</v>
      </c>
      <c r="AN280" s="307">
        <f>+AJ280*F4</f>
        <v>2.9866666666666672</v>
      </c>
      <c r="AO280" s="5" t="s">
        <v>846</v>
      </c>
      <c r="AP280" s="193" t="s">
        <v>202</v>
      </c>
      <c r="AQ280" s="147" t="s">
        <v>87</v>
      </c>
      <c r="AR280" s="193">
        <v>0</v>
      </c>
      <c r="AS280" s="193">
        <v>18</v>
      </c>
      <c r="AT280" s="193">
        <v>0</v>
      </c>
      <c r="AU280" s="193">
        <v>9</v>
      </c>
      <c r="AV280" s="193">
        <v>5</v>
      </c>
      <c r="AW280" s="193">
        <v>4</v>
      </c>
      <c r="AX280" s="193">
        <v>18</v>
      </c>
      <c r="AY280" s="70">
        <v>400000000</v>
      </c>
      <c r="AZ280" s="70">
        <v>200000000</v>
      </c>
      <c r="BA280" s="70">
        <v>200000000</v>
      </c>
      <c r="BB280" s="70">
        <v>200000000</v>
      </c>
      <c r="BC280" s="266">
        <f t="shared" si="68"/>
        <v>1000000000</v>
      </c>
      <c r="BD280" s="5" t="s">
        <v>223</v>
      </c>
      <c r="BE280" s="5" t="s">
        <v>205</v>
      </c>
    </row>
    <row r="281" spans="1:57" ht="54.75" customHeight="1">
      <c r="A281" s="571"/>
      <c r="B281" s="572"/>
      <c r="C281" s="572"/>
      <c r="D281" s="572"/>
      <c r="E281" s="572"/>
      <c r="F281" s="572"/>
      <c r="G281" s="572"/>
      <c r="H281" s="4"/>
      <c r="I281" s="4"/>
      <c r="J281" s="4"/>
      <c r="K281" s="4"/>
      <c r="L281" s="4"/>
      <c r="M281" s="4"/>
      <c r="N281" s="157" t="s">
        <v>802</v>
      </c>
      <c r="O281" s="404">
        <f>+(0.25*100)/14</f>
        <v>1.7857142857142858</v>
      </c>
      <c r="P281" s="158">
        <f>+O281*C4</f>
        <v>0.1785714285714286</v>
      </c>
      <c r="Q281" s="158">
        <f>+O281*D4</f>
        <v>0.8035714285714286</v>
      </c>
      <c r="R281" s="158">
        <f>+O281*E4</f>
        <v>0.44642857142857145</v>
      </c>
      <c r="S281" s="158">
        <f>+O281*F4</f>
        <v>0.35714285714285721</v>
      </c>
      <c r="T281" s="157" t="s">
        <v>809</v>
      </c>
      <c r="U281" s="198" t="s">
        <v>202</v>
      </c>
      <c r="V281" s="157" t="s">
        <v>88</v>
      </c>
      <c r="W281" s="642">
        <v>-20000000000</v>
      </c>
      <c r="X281" s="570">
        <v>28000000000</v>
      </c>
      <c r="Y281" s="570">
        <v>5000000000</v>
      </c>
      <c r="Z281" s="570">
        <v>13000000000</v>
      </c>
      <c r="AA281" s="570">
        <v>6000000000</v>
      </c>
      <c r="AB281" s="570">
        <v>4000000000</v>
      </c>
      <c r="AC281" s="4"/>
      <c r="AD281" s="192"/>
      <c r="AE281" s="192"/>
      <c r="AF281" s="192"/>
      <c r="AG281" s="192"/>
      <c r="AH281" s="192"/>
      <c r="AI281" s="5" t="s">
        <v>830</v>
      </c>
      <c r="AJ281" s="307">
        <f>+(0.004*100)/1.5</f>
        <v>0.26666666666666666</v>
      </c>
      <c r="AK281" s="307">
        <f>+AJ281*C4</f>
        <v>2.6666666666666668E-2</v>
      </c>
      <c r="AL281" s="307">
        <f>+AJ281*D4</f>
        <v>0.12</v>
      </c>
      <c r="AM281" s="307">
        <f>+AJ281*E4</f>
        <v>6.6666666666666666E-2</v>
      </c>
      <c r="AN281" s="307">
        <f>+AJ281*F4</f>
        <v>5.3333333333333337E-2</v>
      </c>
      <c r="AO281" s="5" t="s">
        <v>847</v>
      </c>
      <c r="AP281" s="193" t="s">
        <v>202</v>
      </c>
      <c r="AQ281" s="147" t="s">
        <v>87</v>
      </c>
      <c r="AR281" s="645">
        <v>24250000000</v>
      </c>
      <c r="AS281" s="645">
        <v>21825000000</v>
      </c>
      <c r="AT281" s="645">
        <v>23522500000</v>
      </c>
      <c r="AU281" s="691">
        <v>22552500000</v>
      </c>
      <c r="AV281" s="691">
        <v>21825000000</v>
      </c>
      <c r="AW281" s="691">
        <v>21825000000</v>
      </c>
      <c r="AX281" s="645">
        <v>21825000000</v>
      </c>
      <c r="AY281" s="70">
        <v>0</v>
      </c>
      <c r="AZ281" s="70">
        <v>0</v>
      </c>
      <c r="BA281" s="70">
        <v>0</v>
      </c>
      <c r="BB281" s="70">
        <v>0</v>
      </c>
      <c r="BC281" s="266">
        <f t="shared" si="68"/>
        <v>0</v>
      </c>
      <c r="BD281" s="5" t="s">
        <v>223</v>
      </c>
      <c r="BE281" s="5" t="s">
        <v>205</v>
      </c>
    </row>
    <row r="282" spans="1:57" ht="56.25">
      <c r="A282" s="571"/>
      <c r="B282" s="572"/>
      <c r="C282" s="572"/>
      <c r="D282" s="572"/>
      <c r="E282" s="572"/>
      <c r="F282" s="572"/>
      <c r="G282" s="572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192"/>
      <c r="AE282" s="192"/>
      <c r="AF282" s="192"/>
      <c r="AG282" s="192"/>
      <c r="AH282" s="192"/>
      <c r="AI282" s="5" t="s">
        <v>831</v>
      </c>
      <c r="AJ282" s="307">
        <f>+(0.004*100)/1.5</f>
        <v>0.26666666666666666</v>
      </c>
      <c r="AK282" s="307">
        <f>+AJ282*C4</f>
        <v>2.6666666666666668E-2</v>
      </c>
      <c r="AL282" s="307">
        <f>+AJ282*D4</f>
        <v>0.12</v>
      </c>
      <c r="AM282" s="307">
        <f>+AJ282*E4</f>
        <v>6.6666666666666666E-2</v>
      </c>
      <c r="AN282" s="307">
        <f>+AJ282*F4</f>
        <v>5.3333333333333337E-2</v>
      </c>
      <c r="AO282" s="5" t="s">
        <v>848</v>
      </c>
      <c r="AP282" s="193" t="s">
        <v>202</v>
      </c>
      <c r="AQ282" s="147" t="s">
        <v>87</v>
      </c>
      <c r="AR282" s="645">
        <v>8500000000</v>
      </c>
      <c r="AS282" s="645">
        <v>5950000000</v>
      </c>
      <c r="AT282" s="645">
        <v>7225000000</v>
      </c>
      <c r="AU282" s="691">
        <v>5950000000</v>
      </c>
      <c r="AV282" s="691">
        <v>5950000000</v>
      </c>
      <c r="AW282" s="691">
        <v>5950000000</v>
      </c>
      <c r="AX282" s="645">
        <v>5950000000</v>
      </c>
      <c r="AY282" s="70">
        <v>0</v>
      </c>
      <c r="AZ282" s="70">
        <v>0</v>
      </c>
      <c r="BA282" s="70">
        <v>0</v>
      </c>
      <c r="BB282" s="70">
        <v>0</v>
      </c>
      <c r="BC282" s="266">
        <f t="shared" si="68"/>
        <v>0</v>
      </c>
      <c r="BD282" s="5" t="s">
        <v>223</v>
      </c>
      <c r="BE282" s="5" t="s">
        <v>205</v>
      </c>
    </row>
    <row r="283" spans="1:57" ht="56.25">
      <c r="A283" s="571"/>
      <c r="B283" s="572"/>
      <c r="C283" s="572"/>
      <c r="D283" s="572"/>
      <c r="E283" s="572"/>
      <c r="F283" s="572"/>
      <c r="G283" s="572"/>
      <c r="H283" s="5"/>
      <c r="I283" s="5"/>
      <c r="J283" s="5"/>
      <c r="K283" s="5"/>
      <c r="L283" s="5"/>
      <c r="M283" s="5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192"/>
      <c r="AE283" s="192"/>
      <c r="AF283" s="192"/>
      <c r="AG283" s="192"/>
      <c r="AH283" s="192"/>
      <c r="AI283" s="5" t="s">
        <v>832</v>
      </c>
      <c r="AJ283" s="307">
        <f>+(0.004*100)/1.5</f>
        <v>0.26666666666666666</v>
      </c>
      <c r="AK283" s="307">
        <v>0</v>
      </c>
      <c r="AL283" s="307">
        <v>0</v>
      </c>
      <c r="AM283" s="307">
        <v>0</v>
      </c>
      <c r="AN283" s="307">
        <f>+AJ283</f>
        <v>0.26666666666666666</v>
      </c>
      <c r="AO283" s="4" t="s">
        <v>849</v>
      </c>
      <c r="AP283" s="192" t="s">
        <v>202</v>
      </c>
      <c r="AQ283" s="4" t="s">
        <v>88</v>
      </c>
      <c r="AR283" s="367">
        <v>0.5</v>
      </c>
      <c r="AS283" s="367">
        <v>0.8</v>
      </c>
      <c r="AT283" s="193">
        <v>0</v>
      </c>
      <c r="AU283" s="193">
        <v>0</v>
      </c>
      <c r="AV283" s="193">
        <v>0</v>
      </c>
      <c r="AW283" s="265">
        <v>0.8</v>
      </c>
      <c r="AX283" s="367">
        <v>0.3</v>
      </c>
      <c r="AY283" s="271">
        <v>0</v>
      </c>
      <c r="AZ283" s="271">
        <v>0</v>
      </c>
      <c r="BA283" s="271">
        <v>0</v>
      </c>
      <c r="BB283" s="271">
        <v>0</v>
      </c>
      <c r="BC283" s="266">
        <f>SUM(AY283:BB283)</f>
        <v>0</v>
      </c>
      <c r="BD283" s="4" t="s">
        <v>223</v>
      </c>
      <c r="BE283" s="5" t="s">
        <v>205</v>
      </c>
    </row>
    <row r="284" spans="1:57">
      <c r="A284" s="571"/>
      <c r="B284" s="572"/>
      <c r="C284" s="572"/>
      <c r="D284" s="572"/>
      <c r="E284" s="572"/>
      <c r="F284" s="572"/>
      <c r="G284" s="572"/>
      <c r="H284" s="222" t="s">
        <v>594</v>
      </c>
      <c r="I284" s="259"/>
      <c r="J284" s="165"/>
      <c r="K284" s="165"/>
      <c r="L284" s="165"/>
      <c r="M284" s="165"/>
      <c r="N284" s="174"/>
      <c r="O284" s="174"/>
      <c r="P284" s="174"/>
      <c r="Q284" s="174"/>
      <c r="R284" s="174"/>
      <c r="S284" s="174"/>
      <c r="T284" s="174"/>
      <c r="U284" s="174"/>
      <c r="V284" s="174"/>
      <c r="W284" s="174"/>
      <c r="X284" s="174"/>
      <c r="Y284" s="174"/>
      <c r="Z284" s="174"/>
      <c r="AA284" s="174"/>
      <c r="AB284" s="174"/>
      <c r="AC284" s="349" t="s">
        <v>1453</v>
      </c>
      <c r="AD284" s="420">
        <f>+AD275</f>
        <v>10.714285714285714</v>
      </c>
      <c r="AE284" s="247"/>
      <c r="AF284" s="247"/>
      <c r="AG284" s="247"/>
      <c r="AH284" s="247"/>
      <c r="AI284" s="174"/>
      <c r="AJ284" s="420">
        <f>SUM(AJ275:AJ283)</f>
        <v>100</v>
      </c>
      <c r="AK284" s="420"/>
      <c r="AL284" s="420"/>
      <c r="AM284" s="420"/>
      <c r="AN284" s="420"/>
      <c r="AO284" s="174"/>
      <c r="AP284" s="186"/>
      <c r="AQ284" s="174"/>
      <c r="AR284" s="174"/>
      <c r="AS284" s="174"/>
      <c r="AT284" s="174"/>
      <c r="AU284" s="174"/>
      <c r="AV284" s="174"/>
      <c r="AW284" s="174"/>
      <c r="AX284" s="174"/>
      <c r="AY284" s="234">
        <f>SUM(AY275:AY283)</f>
        <v>1525000000</v>
      </c>
      <c r="AZ284" s="234">
        <f t="shared" ref="AZ284:BC284" si="69">SUM(AZ275:AZ283)</f>
        <v>1825000000</v>
      </c>
      <c r="BA284" s="234">
        <f t="shared" si="69"/>
        <v>1825000000</v>
      </c>
      <c r="BB284" s="234">
        <f t="shared" si="69"/>
        <v>825000000</v>
      </c>
      <c r="BC284" s="234">
        <f t="shared" si="69"/>
        <v>6000000000</v>
      </c>
      <c r="BD284" s="174"/>
      <c r="BE284" s="174"/>
    </row>
    <row r="285" spans="1:57">
      <c r="A285" s="571"/>
      <c r="B285" s="572"/>
      <c r="C285" s="572"/>
      <c r="D285" s="572"/>
      <c r="E285" s="572"/>
      <c r="F285" s="572"/>
      <c r="G285" s="572"/>
      <c r="H285" s="223" t="s">
        <v>85</v>
      </c>
      <c r="I285" s="399">
        <f>+I250</f>
        <v>31.818181818181817</v>
      </c>
      <c r="J285" s="261"/>
      <c r="K285" s="261"/>
      <c r="L285" s="261"/>
      <c r="M285" s="261"/>
      <c r="N285" s="262"/>
      <c r="O285" s="384">
        <f>SUM(O250:O284)</f>
        <v>100</v>
      </c>
      <c r="P285" s="262"/>
      <c r="Q285" s="262"/>
      <c r="R285" s="262"/>
      <c r="S285" s="262"/>
      <c r="T285" s="262"/>
      <c r="U285" s="262"/>
      <c r="V285" s="262"/>
      <c r="W285" s="262"/>
      <c r="X285" s="262"/>
      <c r="Y285" s="262"/>
      <c r="Z285" s="262"/>
      <c r="AA285" s="262"/>
      <c r="AB285" s="262"/>
      <c r="AC285" s="262"/>
      <c r="AD285" s="416">
        <f>+AD275+AD271+AD267+AD264+AD261+AD258+AD250</f>
        <v>100</v>
      </c>
      <c r="AE285" s="424"/>
      <c r="AF285" s="424"/>
      <c r="AG285" s="424"/>
      <c r="AH285" s="424"/>
      <c r="AI285" s="262"/>
      <c r="AJ285" s="263"/>
      <c r="AK285" s="263"/>
      <c r="AL285" s="263"/>
      <c r="AM285" s="263"/>
      <c r="AN285" s="263"/>
      <c r="AO285" s="260"/>
      <c r="AP285" s="361"/>
      <c r="AQ285" s="260"/>
      <c r="AR285" s="260"/>
      <c r="AS285" s="260"/>
      <c r="AT285" s="260"/>
      <c r="AU285" s="260"/>
      <c r="AV285" s="260"/>
      <c r="AW285" s="260"/>
      <c r="AX285" s="260"/>
      <c r="AY285" s="264">
        <f t="shared" ref="AY285" si="70">+AY284+AY274+AY270+AY266+AY263+AY260+AY257</f>
        <v>46045433048</v>
      </c>
      <c r="AZ285" s="264">
        <f t="shared" ref="AZ285" si="71">+AZ284+AZ274+AZ270+AZ266+AZ263+AZ260+AZ257</f>
        <v>32921698743</v>
      </c>
      <c r="BA285" s="264">
        <f t="shared" ref="BA285" si="72">+BA284+BA274+BA270+BA266+BA263+BA260+BA257</f>
        <v>23611794435</v>
      </c>
      <c r="BB285" s="264">
        <f t="shared" ref="BB285" si="73">+BB284+BB274+BB270+BB266+BB263+BB260+BB257</f>
        <v>17978859129</v>
      </c>
      <c r="BC285" s="264">
        <f t="shared" ref="BC285" si="74">+BC284+BC274+BC270+BC266+BC263+BC260+BC257</f>
        <v>120557785355</v>
      </c>
      <c r="BD285" s="260"/>
      <c r="BE285" s="260"/>
    </row>
    <row r="286" spans="1:57" ht="78.75" customHeight="1">
      <c r="A286" s="571"/>
      <c r="B286" s="572"/>
      <c r="C286" s="572"/>
      <c r="D286" s="572"/>
      <c r="E286" s="572"/>
      <c r="F286" s="572"/>
      <c r="G286" s="572"/>
      <c r="H286" s="157" t="s">
        <v>854</v>
      </c>
      <c r="I286" s="404">
        <f>+(4*100)/44</f>
        <v>9.0909090909090917</v>
      </c>
      <c r="J286" s="158">
        <f>+I286*C4</f>
        <v>0.90909090909090917</v>
      </c>
      <c r="K286" s="158">
        <f>+I286*D4</f>
        <v>4.0909090909090917</v>
      </c>
      <c r="L286" s="158">
        <f>+I286*E4</f>
        <v>2.2727272727272729</v>
      </c>
      <c r="M286" s="158">
        <f>+I286*F4</f>
        <v>1.8181818181818183</v>
      </c>
      <c r="N286" s="157" t="s">
        <v>855</v>
      </c>
      <c r="O286" s="404">
        <f>+(4*100)/4</f>
        <v>100</v>
      </c>
      <c r="P286" s="158">
        <f>+O286*C4</f>
        <v>10</v>
      </c>
      <c r="Q286" s="158">
        <f>+O286*D4</f>
        <v>45</v>
      </c>
      <c r="R286" s="158">
        <f>+O286*E4</f>
        <v>25</v>
      </c>
      <c r="S286" s="158">
        <f>+O286*F4</f>
        <v>20</v>
      </c>
      <c r="T286" s="157" t="s">
        <v>856</v>
      </c>
      <c r="U286" s="198" t="s">
        <v>202</v>
      </c>
      <c r="V286" s="157" t="s">
        <v>87</v>
      </c>
      <c r="W286" s="198">
        <v>0</v>
      </c>
      <c r="X286" s="198">
        <v>3</v>
      </c>
      <c r="Y286" s="198">
        <v>0</v>
      </c>
      <c r="Z286" s="198">
        <v>2</v>
      </c>
      <c r="AA286" s="198">
        <v>1</v>
      </c>
      <c r="AB286" s="198">
        <v>0</v>
      </c>
      <c r="AC286" s="157" t="s">
        <v>857</v>
      </c>
      <c r="AD286" s="404">
        <f>+(2*100)/4</f>
        <v>50</v>
      </c>
      <c r="AE286" s="404">
        <f>+AD286*C4</f>
        <v>5</v>
      </c>
      <c r="AF286" s="404">
        <f>+AD286*D4</f>
        <v>22.5</v>
      </c>
      <c r="AG286" s="404">
        <f>+AD286*E4</f>
        <v>12.5</v>
      </c>
      <c r="AH286" s="404">
        <f>+AD286*F4</f>
        <v>10</v>
      </c>
      <c r="AI286" s="5" t="s">
        <v>858</v>
      </c>
      <c r="AJ286" s="307">
        <f>+(0.674*100)/2</f>
        <v>33.700000000000003</v>
      </c>
      <c r="AK286" s="307">
        <f>+AJ286*C4</f>
        <v>3.3700000000000006</v>
      </c>
      <c r="AL286" s="307">
        <v>0</v>
      </c>
      <c r="AM286" s="307">
        <v>23.59</v>
      </c>
      <c r="AN286" s="307">
        <f>+AJ286*F4</f>
        <v>6.7400000000000011</v>
      </c>
      <c r="AO286" s="5" t="s">
        <v>865</v>
      </c>
      <c r="AP286" s="193" t="s">
        <v>202</v>
      </c>
      <c r="AQ286" s="5" t="s">
        <v>88</v>
      </c>
      <c r="AR286" s="265">
        <v>0</v>
      </c>
      <c r="AS286" s="38">
        <v>0.5</v>
      </c>
      <c r="AT286" s="265">
        <v>0.05</v>
      </c>
      <c r="AU286" s="265">
        <v>0</v>
      </c>
      <c r="AV286" s="265">
        <v>0.25</v>
      </c>
      <c r="AW286" s="265">
        <v>0.2</v>
      </c>
      <c r="AX286" s="38">
        <v>0.5</v>
      </c>
      <c r="AY286" s="70">
        <v>300000000</v>
      </c>
      <c r="AZ286" s="70">
        <v>200000000</v>
      </c>
      <c r="BA286" s="70">
        <v>300000000</v>
      </c>
      <c r="BB286" s="70">
        <v>300000000</v>
      </c>
      <c r="BC286" s="266">
        <f>SUM(AY286:BB286)</f>
        <v>1100000000</v>
      </c>
      <c r="BD286" s="5" t="s">
        <v>874</v>
      </c>
      <c r="BE286" s="5" t="s">
        <v>132</v>
      </c>
    </row>
    <row r="287" spans="1:57" ht="33.75">
      <c r="A287" s="571"/>
      <c r="B287" s="572"/>
      <c r="C287" s="572"/>
      <c r="D287" s="572"/>
      <c r="E287" s="572"/>
      <c r="F287" s="572"/>
      <c r="G287" s="572"/>
      <c r="H287" s="4"/>
      <c r="I287" s="375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376"/>
      <c r="AE287" s="4"/>
      <c r="AF287" s="4"/>
      <c r="AG287" s="4"/>
      <c r="AH287" s="4"/>
      <c r="AI287" s="5" t="s">
        <v>859</v>
      </c>
      <c r="AJ287" s="307">
        <f>+(0.356*100)/2</f>
        <v>17.8</v>
      </c>
      <c r="AK287" s="307">
        <v>0</v>
      </c>
      <c r="AL287" s="307">
        <v>0</v>
      </c>
      <c r="AM287" s="307">
        <f>+AJ287</f>
        <v>17.8</v>
      </c>
      <c r="AN287" s="307">
        <v>0</v>
      </c>
      <c r="AO287" s="5" t="s">
        <v>866</v>
      </c>
      <c r="AP287" s="193" t="s">
        <v>202</v>
      </c>
      <c r="AQ287" s="5" t="s">
        <v>87</v>
      </c>
      <c r="AR287" s="193">
        <v>0</v>
      </c>
      <c r="AS287" s="193">
        <v>1</v>
      </c>
      <c r="AT287" s="193">
        <v>0</v>
      </c>
      <c r="AU287" s="193">
        <v>0</v>
      </c>
      <c r="AV287" s="193">
        <v>1</v>
      </c>
      <c r="AW287" s="193">
        <v>0</v>
      </c>
      <c r="AX287" s="193">
        <v>1</v>
      </c>
      <c r="AY287" s="70">
        <v>0</v>
      </c>
      <c r="AZ287" s="70">
        <v>100000000</v>
      </c>
      <c r="BA287" s="70">
        <v>200000000</v>
      </c>
      <c r="BB287" s="70">
        <v>200000000</v>
      </c>
      <c r="BC287" s="266">
        <f t="shared" ref="BC287:BC292" si="75">SUM(AY287:BB287)</f>
        <v>500000000</v>
      </c>
      <c r="BD287" s="5" t="s">
        <v>874</v>
      </c>
      <c r="BE287" s="5" t="s">
        <v>132</v>
      </c>
    </row>
    <row r="288" spans="1:57" ht="33.75">
      <c r="A288" s="571"/>
      <c r="B288" s="572"/>
      <c r="C288" s="572"/>
      <c r="D288" s="572"/>
      <c r="E288" s="572"/>
      <c r="F288" s="572"/>
      <c r="G288" s="572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5" t="s">
        <v>860</v>
      </c>
      <c r="AJ288" s="307">
        <f>+(0.027*100)/2</f>
        <v>1.35</v>
      </c>
      <c r="AK288" s="307">
        <f>+AJ288*C4</f>
        <v>0.13500000000000001</v>
      </c>
      <c r="AL288" s="307">
        <f>+AJ288*D4</f>
        <v>0.60750000000000004</v>
      </c>
      <c r="AM288" s="307">
        <f>+AJ288*E4</f>
        <v>0.33750000000000002</v>
      </c>
      <c r="AN288" s="307">
        <f>+AJ288*F4</f>
        <v>0.27</v>
      </c>
      <c r="AO288" s="5" t="s">
        <v>867</v>
      </c>
      <c r="AP288" s="193" t="s">
        <v>202</v>
      </c>
      <c r="AQ288" s="5" t="s">
        <v>88</v>
      </c>
      <c r="AR288" s="265">
        <v>0.95</v>
      </c>
      <c r="AS288" s="38">
        <v>0.97</v>
      </c>
      <c r="AT288" s="265">
        <v>0.95499999999999996</v>
      </c>
      <c r="AU288" s="265">
        <v>0.96</v>
      </c>
      <c r="AV288" s="265">
        <v>0.96499999999999997</v>
      </c>
      <c r="AW288" s="265">
        <v>0.97</v>
      </c>
      <c r="AX288" s="38">
        <v>0.97</v>
      </c>
      <c r="AY288" s="70">
        <v>10000000</v>
      </c>
      <c r="AZ288" s="70">
        <v>10000000</v>
      </c>
      <c r="BA288" s="70">
        <v>10000000</v>
      </c>
      <c r="BB288" s="70">
        <v>10000000</v>
      </c>
      <c r="BC288" s="266">
        <f t="shared" si="75"/>
        <v>40000000</v>
      </c>
      <c r="BD288" s="5" t="s">
        <v>874</v>
      </c>
      <c r="BE288" s="5" t="s">
        <v>132</v>
      </c>
    </row>
    <row r="289" spans="1:57" ht="33.75">
      <c r="A289" s="571"/>
      <c r="B289" s="572"/>
      <c r="C289" s="572"/>
      <c r="D289" s="572"/>
      <c r="E289" s="572"/>
      <c r="F289" s="572"/>
      <c r="G289" s="572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5" t="s">
        <v>861</v>
      </c>
      <c r="AJ289" s="307">
        <f>+(0.269*100)/2</f>
        <v>13.450000000000001</v>
      </c>
      <c r="AK289" s="307">
        <f>+AJ289*C4</f>
        <v>1.3450000000000002</v>
      </c>
      <c r="AL289" s="307">
        <f>+AJ289*D4</f>
        <v>6.0525000000000002</v>
      </c>
      <c r="AM289" s="307">
        <f>+AJ289*E4</f>
        <v>3.3625000000000003</v>
      </c>
      <c r="AN289" s="307">
        <f>+AJ289*F4</f>
        <v>2.6900000000000004</v>
      </c>
      <c r="AO289" s="5" t="s">
        <v>868</v>
      </c>
      <c r="AP289" s="193" t="s">
        <v>202</v>
      </c>
      <c r="AQ289" s="5" t="s">
        <v>87</v>
      </c>
      <c r="AR289" s="193">
        <v>0</v>
      </c>
      <c r="AS289" s="193">
        <v>12</v>
      </c>
      <c r="AT289" s="193">
        <v>3</v>
      </c>
      <c r="AU289" s="193">
        <v>3</v>
      </c>
      <c r="AV289" s="193">
        <v>3</v>
      </c>
      <c r="AW289" s="193">
        <v>3</v>
      </c>
      <c r="AX289" s="193">
        <v>12</v>
      </c>
      <c r="AY289" s="70">
        <v>100000000</v>
      </c>
      <c r="AZ289" s="70">
        <v>100000000</v>
      </c>
      <c r="BA289" s="70">
        <v>100000000</v>
      </c>
      <c r="BB289" s="70">
        <v>100000000</v>
      </c>
      <c r="BC289" s="266">
        <f t="shared" si="75"/>
        <v>400000000</v>
      </c>
      <c r="BD289" s="5" t="s">
        <v>874</v>
      </c>
      <c r="BE289" s="5" t="s">
        <v>132</v>
      </c>
    </row>
    <row r="290" spans="1:57" ht="45">
      <c r="A290" s="571"/>
      <c r="B290" s="572"/>
      <c r="C290" s="572"/>
      <c r="D290" s="572"/>
      <c r="E290" s="572"/>
      <c r="F290" s="572"/>
      <c r="G290" s="572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5" t="s">
        <v>862</v>
      </c>
      <c r="AJ290" s="307">
        <f>+(0.294*100)/2</f>
        <v>14.7</v>
      </c>
      <c r="AK290" s="307">
        <f>+AJ290*C4</f>
        <v>1.47</v>
      </c>
      <c r="AL290" s="307">
        <f>+AJ290*D4</f>
        <v>6.6150000000000002</v>
      </c>
      <c r="AM290" s="307">
        <f>+AJ290*E4</f>
        <v>3.6749999999999998</v>
      </c>
      <c r="AN290" s="307">
        <f>+AJ290*F4</f>
        <v>2.94</v>
      </c>
      <c r="AO290" s="5" t="s">
        <v>869</v>
      </c>
      <c r="AP290" s="193" t="s">
        <v>202</v>
      </c>
      <c r="AQ290" s="5" t="s">
        <v>87</v>
      </c>
      <c r="AR290" s="193" t="s">
        <v>872</v>
      </c>
      <c r="AS290" s="38">
        <v>0.5</v>
      </c>
      <c r="AT290" s="265">
        <v>0.5</v>
      </c>
      <c r="AU290" s="265">
        <v>0.5</v>
      </c>
      <c r="AV290" s="265">
        <v>0.5</v>
      </c>
      <c r="AW290" s="265">
        <v>0.5</v>
      </c>
      <c r="AX290" s="38">
        <v>0.5</v>
      </c>
      <c r="AY290" s="70">
        <v>200000000</v>
      </c>
      <c r="AZ290" s="70">
        <v>100000000</v>
      </c>
      <c r="BA290" s="70">
        <v>100000000</v>
      </c>
      <c r="BB290" s="70">
        <v>100000000</v>
      </c>
      <c r="BC290" s="266">
        <f t="shared" si="75"/>
        <v>500000000</v>
      </c>
      <c r="BD290" s="5" t="s">
        <v>874</v>
      </c>
      <c r="BE290" s="5" t="s">
        <v>132</v>
      </c>
    </row>
    <row r="291" spans="1:57" ht="33.75">
      <c r="A291" s="571"/>
      <c r="B291" s="572"/>
      <c r="C291" s="572"/>
      <c r="D291" s="572"/>
      <c r="E291" s="572"/>
      <c r="F291" s="572"/>
      <c r="G291" s="572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5" t="s">
        <v>863</v>
      </c>
      <c r="AJ291" s="307">
        <f>+(0.353*100)/2</f>
        <v>17.649999999999999</v>
      </c>
      <c r="AK291" s="307">
        <f>+AJ291*C4</f>
        <v>1.7649999999999999</v>
      </c>
      <c r="AL291" s="307">
        <f>+AJ291*D4</f>
        <v>7.9424999999999999</v>
      </c>
      <c r="AM291" s="307">
        <f>+AJ291*E4</f>
        <v>4.4124999999999996</v>
      </c>
      <c r="AN291" s="307">
        <f>+AJ291*F4</f>
        <v>3.53</v>
      </c>
      <c r="AO291" s="5" t="s">
        <v>870</v>
      </c>
      <c r="AP291" s="193" t="s">
        <v>202</v>
      </c>
      <c r="AQ291" s="5" t="s">
        <v>88</v>
      </c>
      <c r="AR291" s="193" t="s">
        <v>872</v>
      </c>
      <c r="AS291" s="38">
        <v>0.3</v>
      </c>
      <c r="AT291" s="265">
        <v>0.1</v>
      </c>
      <c r="AU291" s="265">
        <v>0.15</v>
      </c>
      <c r="AV291" s="265">
        <v>0.2</v>
      </c>
      <c r="AW291" s="265" t="s">
        <v>873</v>
      </c>
      <c r="AX291" s="38">
        <v>0.3</v>
      </c>
      <c r="AY291" s="70">
        <v>200000000</v>
      </c>
      <c r="AZ291" s="70">
        <v>144000000</v>
      </c>
      <c r="BA291" s="70">
        <v>100000000</v>
      </c>
      <c r="BB291" s="70">
        <v>100000000</v>
      </c>
      <c r="BC291" s="266">
        <f t="shared" si="75"/>
        <v>544000000</v>
      </c>
      <c r="BD291" s="5" t="s">
        <v>874</v>
      </c>
      <c r="BE291" s="5" t="s">
        <v>132</v>
      </c>
    </row>
    <row r="292" spans="1:57" ht="33.75">
      <c r="A292" s="571"/>
      <c r="B292" s="572"/>
      <c r="C292" s="572"/>
      <c r="D292" s="572"/>
      <c r="E292" s="572"/>
      <c r="F292" s="572"/>
      <c r="G292" s="572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5"/>
      <c r="AD292" s="5"/>
      <c r="AE292" s="5"/>
      <c r="AF292" s="5"/>
      <c r="AG292" s="5"/>
      <c r="AH292" s="5"/>
      <c r="AI292" s="5" t="s">
        <v>864</v>
      </c>
      <c r="AJ292" s="307">
        <f>+(0.027*100)/2</f>
        <v>1.35</v>
      </c>
      <c r="AK292" s="307">
        <v>0</v>
      </c>
      <c r="AL292" s="307">
        <v>1.35</v>
      </c>
      <c r="AM292" s="307">
        <v>0</v>
      </c>
      <c r="AN292" s="307">
        <v>0</v>
      </c>
      <c r="AO292" s="5" t="s">
        <v>871</v>
      </c>
      <c r="AP292" s="193" t="s">
        <v>202</v>
      </c>
      <c r="AQ292" s="5" t="s">
        <v>87</v>
      </c>
      <c r="AR292" s="193">
        <v>0</v>
      </c>
      <c r="AS292" s="193">
        <v>1</v>
      </c>
      <c r="AT292" s="193">
        <v>0</v>
      </c>
      <c r="AU292" s="193">
        <v>1</v>
      </c>
      <c r="AV292" s="193">
        <v>0</v>
      </c>
      <c r="AW292" s="193">
        <v>0</v>
      </c>
      <c r="AX292" s="193">
        <v>1</v>
      </c>
      <c r="AY292" s="70">
        <v>0</v>
      </c>
      <c r="AZ292" s="70">
        <v>20000000</v>
      </c>
      <c r="BA292" s="70">
        <v>0</v>
      </c>
      <c r="BB292" s="70">
        <v>0</v>
      </c>
      <c r="BC292" s="266">
        <f t="shared" si="75"/>
        <v>20000000</v>
      </c>
      <c r="BD292" s="5" t="s">
        <v>874</v>
      </c>
      <c r="BE292" s="5" t="s">
        <v>132</v>
      </c>
    </row>
    <row r="293" spans="1:57">
      <c r="A293" s="571"/>
      <c r="B293" s="572"/>
      <c r="C293" s="572"/>
      <c r="D293" s="572"/>
      <c r="E293" s="572"/>
      <c r="F293" s="572"/>
      <c r="G293" s="572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349" t="s">
        <v>1453</v>
      </c>
      <c r="AD293" s="254">
        <f>+AD286</f>
        <v>50</v>
      </c>
      <c r="AE293" s="254"/>
      <c r="AF293" s="254"/>
      <c r="AG293" s="254"/>
      <c r="AH293" s="254"/>
      <c r="AI293" s="254"/>
      <c r="AJ293" s="419">
        <f>SUM(AJ286:AJ292)</f>
        <v>100</v>
      </c>
      <c r="AK293" s="419"/>
      <c r="AL293" s="419"/>
      <c r="AM293" s="419"/>
      <c r="AN293" s="419"/>
      <c r="AO293" s="254"/>
      <c r="AP293" s="208"/>
      <c r="AQ293" s="254"/>
      <c r="AR293" s="254"/>
      <c r="AS293" s="254"/>
      <c r="AT293" s="254"/>
      <c r="AU293" s="254"/>
      <c r="AV293" s="254"/>
      <c r="AW293" s="254"/>
      <c r="AX293" s="254"/>
      <c r="AY293" s="273">
        <f>SUM(AY286:AY292)</f>
        <v>810000000</v>
      </c>
      <c r="AZ293" s="273">
        <f t="shared" ref="AZ293:BC293" si="76">SUM(AZ286:AZ292)</f>
        <v>674000000</v>
      </c>
      <c r="BA293" s="273">
        <f t="shared" si="76"/>
        <v>810000000</v>
      </c>
      <c r="BB293" s="273">
        <f t="shared" si="76"/>
        <v>810000000</v>
      </c>
      <c r="BC293" s="273">
        <f t="shared" si="76"/>
        <v>3104000000</v>
      </c>
      <c r="BD293" s="254"/>
      <c r="BE293" s="254"/>
    </row>
    <row r="294" spans="1:57" ht="48" customHeight="1">
      <c r="A294" s="571"/>
      <c r="B294" s="572"/>
      <c r="C294" s="572"/>
      <c r="D294" s="572"/>
      <c r="E294" s="572"/>
      <c r="F294" s="572"/>
      <c r="G294" s="572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157" t="s">
        <v>875</v>
      </c>
      <c r="AD294" s="404">
        <f>+(1*100)/4</f>
        <v>25</v>
      </c>
      <c r="AE294" s="404">
        <f>+AD294*C4</f>
        <v>2.5</v>
      </c>
      <c r="AF294" s="404">
        <f>+AD294*D4</f>
        <v>11.25</v>
      </c>
      <c r="AG294" s="404">
        <f>+AD294*E4</f>
        <v>6.25</v>
      </c>
      <c r="AH294" s="404">
        <f>+AD294*F4</f>
        <v>5</v>
      </c>
      <c r="AI294" s="5" t="s">
        <v>877</v>
      </c>
      <c r="AJ294" s="307">
        <f>+(0.302*100)/1</f>
        <v>30.2</v>
      </c>
      <c r="AK294" s="307">
        <f>+AJ294*C4</f>
        <v>3.02</v>
      </c>
      <c r="AL294" s="307">
        <f>+AJ294*D4</f>
        <v>13.59</v>
      </c>
      <c r="AM294" s="307">
        <f>+AJ294*E4</f>
        <v>7.55</v>
      </c>
      <c r="AN294" s="307">
        <f>+AJ294*F4</f>
        <v>6.04</v>
      </c>
      <c r="AO294" s="5" t="s">
        <v>891</v>
      </c>
      <c r="AP294" s="193" t="s">
        <v>202</v>
      </c>
      <c r="AQ294" s="5" t="s">
        <v>88</v>
      </c>
      <c r="AR294" s="193">
        <v>0</v>
      </c>
      <c r="AS294" s="38">
        <v>0.5</v>
      </c>
      <c r="AT294" s="265">
        <v>0.05</v>
      </c>
      <c r="AU294" s="265">
        <v>0</v>
      </c>
      <c r="AV294" s="265">
        <v>0.25</v>
      </c>
      <c r="AW294" s="265">
        <v>0.25</v>
      </c>
      <c r="AX294" s="38">
        <v>0.5</v>
      </c>
      <c r="AY294" s="70">
        <v>0</v>
      </c>
      <c r="AZ294" s="70">
        <v>200000000</v>
      </c>
      <c r="BA294" s="70">
        <v>417000020</v>
      </c>
      <c r="BB294" s="70">
        <v>400000000</v>
      </c>
      <c r="BC294" s="266">
        <f>SUM(AY294:BB294)</f>
        <v>1017000020</v>
      </c>
      <c r="BD294" s="5" t="s">
        <v>706</v>
      </c>
      <c r="BE294" s="5" t="s">
        <v>132</v>
      </c>
    </row>
    <row r="295" spans="1:57" ht="33.75">
      <c r="A295" s="571"/>
      <c r="B295" s="572"/>
      <c r="C295" s="572"/>
      <c r="D295" s="572"/>
      <c r="E295" s="572"/>
      <c r="F295" s="572"/>
      <c r="G295" s="572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376"/>
      <c r="AE295" s="192"/>
      <c r="AF295" s="192"/>
      <c r="AG295" s="192"/>
      <c r="AH295" s="192"/>
      <c r="AI295" s="5" t="s">
        <v>878</v>
      </c>
      <c r="AJ295" s="307">
        <f>+(0.012*100)/1</f>
        <v>1.2</v>
      </c>
      <c r="AK295" s="307">
        <f>+AJ295*C4</f>
        <v>0.12</v>
      </c>
      <c r="AL295" s="307">
        <f>+AJ295*D4</f>
        <v>0.54</v>
      </c>
      <c r="AM295" s="307">
        <f>+AJ295*E4</f>
        <v>0.3</v>
      </c>
      <c r="AN295" s="307">
        <f>+AJ295*F4</f>
        <v>0.24</v>
      </c>
      <c r="AO295" s="5" t="s">
        <v>892</v>
      </c>
      <c r="AP295" s="193" t="s">
        <v>202</v>
      </c>
      <c r="AQ295" s="5" t="s">
        <v>87</v>
      </c>
      <c r="AR295" s="193">
        <v>0</v>
      </c>
      <c r="AS295" s="193">
        <v>4</v>
      </c>
      <c r="AT295" s="193">
        <v>1</v>
      </c>
      <c r="AU295" s="193">
        <v>1</v>
      </c>
      <c r="AV295" s="193">
        <v>1</v>
      </c>
      <c r="AW295" s="193">
        <v>1</v>
      </c>
      <c r="AX295" s="193">
        <v>4</v>
      </c>
      <c r="AY295" s="70">
        <v>10000000</v>
      </c>
      <c r="AZ295" s="70">
        <v>10000000</v>
      </c>
      <c r="BA295" s="70">
        <v>10000000</v>
      </c>
      <c r="BB295" s="70">
        <v>10000000</v>
      </c>
      <c r="BC295" s="266">
        <f t="shared" ref="BC295:BC308" si="77">SUM(AY295:BB295)</f>
        <v>40000000</v>
      </c>
      <c r="BD295" s="5" t="s">
        <v>706</v>
      </c>
      <c r="BE295" s="5" t="s">
        <v>132</v>
      </c>
    </row>
    <row r="296" spans="1:57" ht="45">
      <c r="A296" s="571"/>
      <c r="B296" s="572"/>
      <c r="C296" s="572"/>
      <c r="D296" s="572"/>
      <c r="E296" s="572"/>
      <c r="F296" s="572"/>
      <c r="G296" s="572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192"/>
      <c r="AE296" s="192"/>
      <c r="AF296" s="192"/>
      <c r="AG296" s="192"/>
      <c r="AH296" s="192"/>
      <c r="AI296" s="5" t="s">
        <v>879</v>
      </c>
      <c r="AJ296" s="307">
        <f>+(0.12*100)/1</f>
        <v>12</v>
      </c>
      <c r="AK296" s="307">
        <f>+AJ296*C4</f>
        <v>1.2000000000000002</v>
      </c>
      <c r="AL296" s="307">
        <f>+AJ296*D4</f>
        <v>5.4</v>
      </c>
      <c r="AM296" s="307">
        <f>+AJ296*E4</f>
        <v>3</v>
      </c>
      <c r="AN296" s="307">
        <f>+AJ296*F4</f>
        <v>2.4000000000000004</v>
      </c>
      <c r="AO296" s="5" t="s">
        <v>868</v>
      </c>
      <c r="AP296" s="193" t="s">
        <v>202</v>
      </c>
      <c r="AQ296" s="5" t="s">
        <v>87</v>
      </c>
      <c r="AR296" s="193">
        <v>8</v>
      </c>
      <c r="AS296" s="193">
        <v>16</v>
      </c>
      <c r="AT296" s="193">
        <v>4</v>
      </c>
      <c r="AU296" s="193">
        <v>4</v>
      </c>
      <c r="AV296" s="193">
        <v>4</v>
      </c>
      <c r="AW296" s="193">
        <v>4</v>
      </c>
      <c r="AX296" s="193">
        <v>8</v>
      </c>
      <c r="AY296" s="70">
        <v>100000000</v>
      </c>
      <c r="AZ296" s="70">
        <v>100000000</v>
      </c>
      <c r="BA296" s="70">
        <v>100000000</v>
      </c>
      <c r="BB296" s="70">
        <v>100000000</v>
      </c>
      <c r="BC296" s="266">
        <f t="shared" si="77"/>
        <v>400000000</v>
      </c>
      <c r="BD296" s="5" t="s">
        <v>706</v>
      </c>
      <c r="BE296" s="5" t="s">
        <v>132</v>
      </c>
    </row>
    <row r="297" spans="1:57" ht="33.75">
      <c r="A297" s="571"/>
      <c r="B297" s="572"/>
      <c r="C297" s="572"/>
      <c r="D297" s="572"/>
      <c r="E297" s="572"/>
      <c r="F297" s="572"/>
      <c r="G297" s="572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192"/>
      <c r="AE297" s="192"/>
      <c r="AF297" s="192"/>
      <c r="AG297" s="192"/>
      <c r="AH297" s="192"/>
      <c r="AI297" s="5" t="s">
        <v>880</v>
      </c>
      <c r="AJ297" s="307">
        <f>+(0.024*100)/1</f>
        <v>2.4</v>
      </c>
      <c r="AK297" s="307">
        <f>+AJ297*C4</f>
        <v>0.24</v>
      </c>
      <c r="AL297" s="307">
        <v>2.16</v>
      </c>
      <c r="AM297" s="307">
        <v>0</v>
      </c>
      <c r="AN297" s="307">
        <v>0</v>
      </c>
      <c r="AO297" s="5" t="s">
        <v>893</v>
      </c>
      <c r="AP297" s="193" t="s">
        <v>202</v>
      </c>
      <c r="AQ297" s="5" t="s">
        <v>87</v>
      </c>
      <c r="AR297" s="193">
        <v>0</v>
      </c>
      <c r="AS297" s="193">
        <v>8</v>
      </c>
      <c r="AT297" s="193">
        <v>2</v>
      </c>
      <c r="AU297" s="193">
        <v>6</v>
      </c>
      <c r="AV297" s="193">
        <v>0</v>
      </c>
      <c r="AW297" s="193">
        <v>0</v>
      </c>
      <c r="AX297" s="193">
        <v>8</v>
      </c>
      <c r="AY297" s="70">
        <v>20000000</v>
      </c>
      <c r="AZ297" s="70">
        <v>20000000</v>
      </c>
      <c r="BA297" s="70">
        <v>20000000</v>
      </c>
      <c r="BB297" s="70">
        <v>20000000</v>
      </c>
      <c r="BC297" s="266">
        <f t="shared" si="77"/>
        <v>80000000</v>
      </c>
      <c r="BD297" s="5" t="s">
        <v>706</v>
      </c>
      <c r="BE297" s="5" t="s">
        <v>132</v>
      </c>
    </row>
    <row r="298" spans="1:57" ht="33.75">
      <c r="A298" s="571"/>
      <c r="B298" s="572"/>
      <c r="C298" s="572"/>
      <c r="D298" s="572"/>
      <c r="E298" s="572"/>
      <c r="F298" s="572"/>
      <c r="G298" s="572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192"/>
      <c r="AE298" s="192"/>
      <c r="AF298" s="192"/>
      <c r="AG298" s="192"/>
      <c r="AH298" s="192"/>
      <c r="AI298" s="5" t="s">
        <v>881</v>
      </c>
      <c r="AJ298" s="307">
        <f>+(0.241*100)/1</f>
        <v>24.099999999999998</v>
      </c>
      <c r="AK298" s="307">
        <f>+AJ298*C4</f>
        <v>2.41</v>
      </c>
      <c r="AL298" s="307">
        <v>0</v>
      </c>
      <c r="AM298" s="307">
        <v>16.87</v>
      </c>
      <c r="AN298" s="307">
        <f>+AJ298*F4</f>
        <v>4.82</v>
      </c>
      <c r="AO298" s="5" t="s">
        <v>894</v>
      </c>
      <c r="AP298" s="193" t="s">
        <v>203</v>
      </c>
      <c r="AQ298" s="5" t="s">
        <v>87</v>
      </c>
      <c r="AR298" s="193">
        <v>0</v>
      </c>
      <c r="AS298" s="193">
        <v>1</v>
      </c>
      <c r="AT298" s="193">
        <v>0</v>
      </c>
      <c r="AU298" s="193">
        <v>0</v>
      </c>
      <c r="AV298" s="193">
        <v>1</v>
      </c>
      <c r="AW298" s="193">
        <v>1</v>
      </c>
      <c r="AX298" s="193">
        <v>1</v>
      </c>
      <c r="AY298" s="70">
        <v>200000000</v>
      </c>
      <c r="AZ298" s="70">
        <v>200000000</v>
      </c>
      <c r="BA298" s="70">
        <v>200000000</v>
      </c>
      <c r="BB298" s="70">
        <v>200000000</v>
      </c>
      <c r="BC298" s="266">
        <f t="shared" si="77"/>
        <v>800000000</v>
      </c>
      <c r="BD298" s="5" t="s">
        <v>706</v>
      </c>
      <c r="BE298" s="5" t="s">
        <v>132</v>
      </c>
    </row>
    <row r="299" spans="1:57" ht="33.75">
      <c r="A299" s="571"/>
      <c r="B299" s="572"/>
      <c r="C299" s="572"/>
      <c r="D299" s="572"/>
      <c r="E299" s="572"/>
      <c r="F299" s="572"/>
      <c r="G299" s="572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192"/>
      <c r="AE299" s="192"/>
      <c r="AF299" s="192"/>
      <c r="AG299" s="192"/>
      <c r="AH299" s="192"/>
      <c r="AI299" s="5" t="s">
        <v>882</v>
      </c>
      <c r="AJ299" s="307">
        <f>+(0.06*100)/1</f>
        <v>6</v>
      </c>
      <c r="AK299" s="307">
        <f>+AJ299*C4</f>
        <v>0.60000000000000009</v>
      </c>
      <c r="AL299" s="307">
        <f>+AJ299*D4</f>
        <v>2.7</v>
      </c>
      <c r="AM299" s="307">
        <f>+AJ299*E4</f>
        <v>1.5</v>
      </c>
      <c r="AN299" s="307">
        <f>+AJ299*F4</f>
        <v>1.2000000000000002</v>
      </c>
      <c r="AO299" s="5" t="s">
        <v>895</v>
      </c>
      <c r="AP299" s="193" t="s">
        <v>202</v>
      </c>
      <c r="AQ299" s="5" t="s">
        <v>87</v>
      </c>
      <c r="AR299" s="193">
        <v>0</v>
      </c>
      <c r="AS299" s="193">
        <v>8</v>
      </c>
      <c r="AT299" s="193">
        <v>2</v>
      </c>
      <c r="AU299" s="193">
        <v>2</v>
      </c>
      <c r="AV299" s="193">
        <v>2</v>
      </c>
      <c r="AW299" s="193">
        <v>2</v>
      </c>
      <c r="AX299" s="193">
        <v>8</v>
      </c>
      <c r="AY299" s="70">
        <v>50000000</v>
      </c>
      <c r="AZ299" s="70">
        <v>50000000</v>
      </c>
      <c r="BA299" s="70">
        <v>50000000</v>
      </c>
      <c r="BB299" s="70">
        <v>50000000</v>
      </c>
      <c r="BC299" s="266">
        <f t="shared" si="77"/>
        <v>200000000</v>
      </c>
      <c r="BD299" s="5" t="s">
        <v>706</v>
      </c>
      <c r="BE299" s="5" t="s">
        <v>132</v>
      </c>
    </row>
    <row r="300" spans="1:57" ht="56.25">
      <c r="A300" s="571"/>
      <c r="B300" s="572"/>
      <c r="C300" s="572"/>
      <c r="D300" s="572"/>
      <c r="E300" s="572"/>
      <c r="F300" s="572"/>
      <c r="G300" s="572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192"/>
      <c r="AE300" s="192"/>
      <c r="AF300" s="192"/>
      <c r="AG300" s="192"/>
      <c r="AH300" s="192"/>
      <c r="AI300" s="5" t="s">
        <v>883</v>
      </c>
      <c r="AJ300" s="307">
        <f>+(0.241*100)/1</f>
        <v>24.099999999999998</v>
      </c>
      <c r="AK300" s="307">
        <f>+AJ300*C4</f>
        <v>2.41</v>
      </c>
      <c r="AL300" s="307">
        <f>+AJ300*D4</f>
        <v>10.844999999999999</v>
      </c>
      <c r="AM300" s="307">
        <f>+AJ300*E4</f>
        <v>6.0249999999999995</v>
      </c>
      <c r="AN300" s="307">
        <f>+AJ300*F4</f>
        <v>4.82</v>
      </c>
      <c r="AO300" s="4" t="s">
        <v>896</v>
      </c>
      <c r="AP300" s="192" t="s">
        <v>202</v>
      </c>
      <c r="AQ300" s="5" t="s">
        <v>87</v>
      </c>
      <c r="AR300" s="192">
        <v>0</v>
      </c>
      <c r="AS300" s="192">
        <v>4</v>
      </c>
      <c r="AT300" s="192">
        <v>1</v>
      </c>
      <c r="AU300" s="193">
        <v>1</v>
      </c>
      <c r="AV300" s="193">
        <v>1</v>
      </c>
      <c r="AW300" s="193">
        <v>1</v>
      </c>
      <c r="AX300" s="192">
        <v>4</v>
      </c>
      <c r="AY300" s="271">
        <v>200000000</v>
      </c>
      <c r="AZ300" s="271">
        <v>200000000</v>
      </c>
      <c r="BA300" s="271">
        <v>200000000</v>
      </c>
      <c r="BB300" s="271">
        <v>200000000</v>
      </c>
      <c r="BC300" s="266">
        <f t="shared" si="77"/>
        <v>800000000</v>
      </c>
      <c r="BD300" s="4" t="s">
        <v>706</v>
      </c>
      <c r="BE300" s="4" t="s">
        <v>132</v>
      </c>
    </row>
    <row r="301" spans="1:57">
      <c r="A301" s="571"/>
      <c r="B301" s="572"/>
      <c r="C301" s="572"/>
      <c r="D301" s="572"/>
      <c r="E301" s="572"/>
      <c r="F301" s="572"/>
      <c r="G301" s="572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349" t="s">
        <v>1453</v>
      </c>
      <c r="AD301" s="186">
        <f>+AD294</f>
        <v>25</v>
      </c>
      <c r="AE301" s="174"/>
      <c r="AF301" s="174"/>
      <c r="AG301" s="174"/>
      <c r="AH301" s="174"/>
      <c r="AI301" s="174"/>
      <c r="AJ301" s="440">
        <f>SUM(AJ294:AJ300)</f>
        <v>99.999999999999986</v>
      </c>
      <c r="AK301" s="440"/>
      <c r="AL301" s="440"/>
      <c r="AM301" s="440"/>
      <c r="AN301" s="440"/>
      <c r="AO301" s="174"/>
      <c r="AP301" s="186"/>
      <c r="AQ301" s="174"/>
      <c r="AR301" s="186"/>
      <c r="AS301" s="186"/>
      <c r="AT301" s="186"/>
      <c r="AU301" s="186"/>
      <c r="AV301" s="186"/>
      <c r="AW301" s="186"/>
      <c r="AX301" s="186"/>
      <c r="AY301" s="258">
        <v>580000000</v>
      </c>
      <c r="AZ301" s="258">
        <v>780000000</v>
      </c>
      <c r="BA301" s="258">
        <v>997000020</v>
      </c>
      <c r="BB301" s="258">
        <v>980000000</v>
      </c>
      <c r="BC301" s="258">
        <f t="shared" si="77"/>
        <v>3337000020</v>
      </c>
      <c r="BD301" s="174"/>
      <c r="BE301" s="174"/>
    </row>
    <row r="302" spans="1:57" ht="33.75">
      <c r="A302" s="571"/>
      <c r="B302" s="572"/>
      <c r="C302" s="572"/>
      <c r="D302" s="572"/>
      <c r="E302" s="572"/>
      <c r="F302" s="572"/>
      <c r="G302" s="572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157" t="s">
        <v>876</v>
      </c>
      <c r="AD302" s="404">
        <f>+(1*100)/4</f>
        <v>25</v>
      </c>
      <c r="AE302" s="404">
        <f>+AD302*C4</f>
        <v>2.5</v>
      </c>
      <c r="AF302" s="404">
        <f>+AD302*D4</f>
        <v>11.25</v>
      </c>
      <c r="AG302" s="404">
        <f>+AD302*E4</f>
        <v>6.25</v>
      </c>
      <c r="AH302" s="404">
        <f>+AD302*F4</f>
        <v>5</v>
      </c>
      <c r="AI302" s="267" t="s">
        <v>884</v>
      </c>
      <c r="AJ302" s="307">
        <f>+(0.093*100)/1</f>
        <v>9.3000000000000007</v>
      </c>
      <c r="AK302" s="307">
        <v>0</v>
      </c>
      <c r="AL302" s="307">
        <v>5.12</v>
      </c>
      <c r="AM302" s="307">
        <f>+AJ302*E4</f>
        <v>2.3250000000000002</v>
      </c>
      <c r="AN302" s="307">
        <f>+AJ302*F4</f>
        <v>1.8600000000000003</v>
      </c>
      <c r="AO302" s="267" t="s">
        <v>897</v>
      </c>
      <c r="AP302" s="268" t="s">
        <v>202</v>
      </c>
      <c r="AQ302" s="5" t="s">
        <v>87</v>
      </c>
      <c r="AR302" s="268" t="s">
        <v>221</v>
      </c>
      <c r="AS302" s="268">
        <v>300</v>
      </c>
      <c r="AT302" s="268">
        <v>0</v>
      </c>
      <c r="AU302" s="268">
        <v>100</v>
      </c>
      <c r="AV302" s="268">
        <v>100</v>
      </c>
      <c r="AW302" s="268">
        <v>100</v>
      </c>
      <c r="AX302" s="268">
        <v>300</v>
      </c>
      <c r="AY302" s="272">
        <v>1500000000</v>
      </c>
      <c r="AZ302" s="272">
        <v>0</v>
      </c>
      <c r="BA302" s="272">
        <v>0</v>
      </c>
      <c r="BB302" s="272">
        <v>0</v>
      </c>
      <c r="BC302" s="266">
        <f t="shared" si="77"/>
        <v>1500000000</v>
      </c>
      <c r="BD302" s="267" t="s">
        <v>706</v>
      </c>
      <c r="BE302" s="267" t="s">
        <v>132</v>
      </c>
    </row>
    <row r="303" spans="1:57" ht="45">
      <c r="A303" s="571"/>
      <c r="B303" s="572"/>
      <c r="C303" s="572"/>
      <c r="D303" s="572"/>
      <c r="E303" s="572"/>
      <c r="F303" s="572"/>
      <c r="G303" s="572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04"/>
      <c r="AE303" s="202"/>
      <c r="AF303" s="202"/>
      <c r="AG303" s="202"/>
      <c r="AH303" s="202"/>
      <c r="AI303" s="267" t="s">
        <v>885</v>
      </c>
      <c r="AJ303" s="307">
        <f>+(0.652*100)/1</f>
        <v>65.2</v>
      </c>
      <c r="AK303" s="307">
        <f>+AJ303*C4</f>
        <v>6.5200000000000005</v>
      </c>
      <c r="AL303" s="307">
        <v>0</v>
      </c>
      <c r="AM303" s="307">
        <v>45.64</v>
      </c>
      <c r="AN303" s="307">
        <f>+AJ303*F4</f>
        <v>13.040000000000001</v>
      </c>
      <c r="AO303" s="267" t="s">
        <v>898</v>
      </c>
      <c r="AP303" s="268" t="s">
        <v>202</v>
      </c>
      <c r="AQ303" s="5" t="s">
        <v>88</v>
      </c>
      <c r="AR303" s="268">
        <v>0</v>
      </c>
      <c r="AS303" s="270">
        <v>0.5</v>
      </c>
      <c r="AT303" s="269">
        <v>0.05</v>
      </c>
      <c r="AU303" s="269">
        <v>0</v>
      </c>
      <c r="AV303" s="269">
        <v>0.25</v>
      </c>
      <c r="AW303" s="269">
        <v>0.2</v>
      </c>
      <c r="AX303" s="270">
        <v>0.5</v>
      </c>
      <c r="AY303" s="272">
        <v>0</v>
      </c>
      <c r="AZ303" s="272">
        <v>300000000</v>
      </c>
      <c r="BA303" s="272">
        <v>250000000</v>
      </c>
      <c r="BB303" s="272">
        <v>250000000</v>
      </c>
      <c r="BC303" s="266">
        <f t="shared" si="77"/>
        <v>800000000</v>
      </c>
      <c r="BD303" s="267" t="s">
        <v>706</v>
      </c>
      <c r="BE303" s="267" t="s">
        <v>132</v>
      </c>
    </row>
    <row r="304" spans="1:57" ht="22.5">
      <c r="A304" s="571"/>
      <c r="B304" s="572"/>
      <c r="C304" s="572"/>
      <c r="D304" s="572"/>
      <c r="E304" s="572"/>
      <c r="F304" s="572"/>
      <c r="G304" s="572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267" t="s">
        <v>886</v>
      </c>
      <c r="AJ304" s="307">
        <f>+(0.019*100)/1</f>
        <v>1.9</v>
      </c>
      <c r="AK304" s="307">
        <f>+AJ304*C4</f>
        <v>0.19</v>
      </c>
      <c r="AL304" s="307">
        <v>1.71</v>
      </c>
      <c r="AM304" s="307">
        <v>0</v>
      </c>
      <c r="AN304" s="307">
        <v>0</v>
      </c>
      <c r="AO304" s="267" t="s">
        <v>899</v>
      </c>
      <c r="AP304" s="268" t="s">
        <v>202</v>
      </c>
      <c r="AQ304" s="5" t="s">
        <v>87</v>
      </c>
      <c r="AR304" s="268" t="s">
        <v>872</v>
      </c>
      <c r="AS304" s="268">
        <v>12</v>
      </c>
      <c r="AT304" s="268">
        <v>3</v>
      </c>
      <c r="AU304" s="268">
        <v>9</v>
      </c>
      <c r="AV304" s="268">
        <v>0</v>
      </c>
      <c r="AW304" s="268">
        <v>0</v>
      </c>
      <c r="AX304" s="268">
        <v>12</v>
      </c>
      <c r="AY304" s="272">
        <v>10000000</v>
      </c>
      <c r="AZ304" s="272">
        <v>10000000</v>
      </c>
      <c r="BA304" s="272">
        <v>10000000</v>
      </c>
      <c r="BB304" s="272">
        <v>0</v>
      </c>
      <c r="BC304" s="266">
        <f t="shared" si="77"/>
        <v>30000000</v>
      </c>
      <c r="BD304" s="267" t="s">
        <v>706</v>
      </c>
      <c r="BE304" s="267" t="s">
        <v>132</v>
      </c>
    </row>
    <row r="305" spans="1:57" ht="22.5">
      <c r="A305" s="571"/>
      <c r="B305" s="572"/>
      <c r="C305" s="572"/>
      <c r="D305" s="572"/>
      <c r="E305" s="572"/>
      <c r="F305" s="572"/>
      <c r="G305" s="572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267" t="s">
        <v>887</v>
      </c>
      <c r="AJ305" s="307">
        <f>+(0.073*100)/1</f>
        <v>7.3</v>
      </c>
      <c r="AK305" s="307">
        <f>+AJ305*C4</f>
        <v>0.73</v>
      </c>
      <c r="AL305" s="307">
        <f>+AJ305*D4</f>
        <v>3.2850000000000001</v>
      </c>
      <c r="AM305" s="307">
        <f>+AJ305*E4</f>
        <v>1.825</v>
      </c>
      <c r="AN305" s="307">
        <f>+AJ305*F4</f>
        <v>1.46</v>
      </c>
      <c r="AO305" s="267" t="s">
        <v>900</v>
      </c>
      <c r="AP305" s="268" t="s">
        <v>202</v>
      </c>
      <c r="AQ305" s="5" t="s">
        <v>87</v>
      </c>
      <c r="AR305" s="268">
        <v>0</v>
      </c>
      <c r="AS305" s="268">
        <v>4</v>
      </c>
      <c r="AT305" s="268">
        <v>1</v>
      </c>
      <c r="AU305" s="268">
        <v>1</v>
      </c>
      <c r="AV305" s="268">
        <v>1</v>
      </c>
      <c r="AW305" s="268">
        <v>1</v>
      </c>
      <c r="AX305" s="268">
        <v>4</v>
      </c>
      <c r="AY305" s="272">
        <v>30000000</v>
      </c>
      <c r="AZ305" s="272">
        <v>30000000</v>
      </c>
      <c r="BA305" s="272">
        <v>30000000</v>
      </c>
      <c r="BB305" s="272">
        <v>30000000</v>
      </c>
      <c r="BC305" s="266">
        <f t="shared" si="77"/>
        <v>120000000</v>
      </c>
      <c r="BD305" s="267" t="s">
        <v>706</v>
      </c>
      <c r="BE305" s="267" t="s">
        <v>132</v>
      </c>
    </row>
    <row r="306" spans="1:57" ht="56.25">
      <c r="A306" s="571"/>
      <c r="B306" s="572"/>
      <c r="C306" s="572"/>
      <c r="D306" s="572"/>
      <c r="E306" s="572"/>
      <c r="F306" s="572"/>
      <c r="G306" s="572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267" t="s">
        <v>888</v>
      </c>
      <c r="AJ306" s="307">
        <f>+(0.089*100)/1</f>
        <v>8.9</v>
      </c>
      <c r="AK306" s="307">
        <f>+AJ306*C4</f>
        <v>0.89000000000000012</v>
      </c>
      <c r="AL306" s="307">
        <f>+AJ306*D4</f>
        <v>4.0049999999999999</v>
      </c>
      <c r="AM306" s="307">
        <f>+AJ306*E4</f>
        <v>2.2250000000000001</v>
      </c>
      <c r="AN306" s="307">
        <f>+AJ306*F4</f>
        <v>1.7800000000000002</v>
      </c>
      <c r="AO306" s="267" t="s">
        <v>901</v>
      </c>
      <c r="AP306" s="268" t="s">
        <v>202</v>
      </c>
      <c r="AQ306" s="5" t="s">
        <v>87</v>
      </c>
      <c r="AR306" s="268">
        <v>0</v>
      </c>
      <c r="AS306" s="268">
        <v>1</v>
      </c>
      <c r="AT306" s="268">
        <v>1</v>
      </c>
      <c r="AU306" s="268">
        <v>1</v>
      </c>
      <c r="AV306" s="268">
        <v>1</v>
      </c>
      <c r="AW306" s="268">
        <v>1</v>
      </c>
      <c r="AX306" s="268">
        <v>1</v>
      </c>
      <c r="AY306" s="272">
        <v>50000000</v>
      </c>
      <c r="AZ306" s="272">
        <v>30000000</v>
      </c>
      <c r="BA306" s="272">
        <v>40000000</v>
      </c>
      <c r="BB306" s="272">
        <v>50000000</v>
      </c>
      <c r="BC306" s="266">
        <f t="shared" si="77"/>
        <v>170000000</v>
      </c>
      <c r="BD306" s="267" t="s">
        <v>706</v>
      </c>
      <c r="BE306" s="267" t="s">
        <v>132</v>
      </c>
    </row>
    <row r="307" spans="1:57" ht="33.75">
      <c r="A307" s="571"/>
      <c r="B307" s="572"/>
      <c r="C307" s="572"/>
      <c r="D307" s="572"/>
      <c r="E307" s="572"/>
      <c r="F307" s="572"/>
      <c r="G307" s="572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267" t="s">
        <v>889</v>
      </c>
      <c r="AJ307" s="307">
        <f>+(0.055*100)/1</f>
        <v>5.5</v>
      </c>
      <c r="AK307" s="307">
        <f>+AJ307*C4</f>
        <v>0.55000000000000004</v>
      </c>
      <c r="AL307" s="307">
        <f>+AJ307*D4</f>
        <v>2.4750000000000001</v>
      </c>
      <c r="AM307" s="307">
        <f>+AJ307*E4</f>
        <v>1.375</v>
      </c>
      <c r="AN307" s="307">
        <f>+AJ307*F4</f>
        <v>1.1000000000000001</v>
      </c>
      <c r="AO307" s="267" t="s">
        <v>902</v>
      </c>
      <c r="AP307" s="268" t="s">
        <v>202</v>
      </c>
      <c r="AQ307" s="5" t="s">
        <v>88</v>
      </c>
      <c r="AR307" s="269">
        <v>0.28999999999999998</v>
      </c>
      <c r="AS307" s="270">
        <v>1</v>
      </c>
      <c r="AT307" s="269">
        <v>0.5</v>
      </c>
      <c r="AU307" s="269">
        <v>0.75</v>
      </c>
      <c r="AV307" s="269">
        <v>1</v>
      </c>
      <c r="AW307" s="269">
        <v>1</v>
      </c>
      <c r="AX307" s="270">
        <v>1</v>
      </c>
      <c r="AY307" s="272">
        <v>50000000</v>
      </c>
      <c r="AZ307" s="272">
        <v>0</v>
      </c>
      <c r="BA307" s="272">
        <v>40000000</v>
      </c>
      <c r="BB307" s="272">
        <v>50000000</v>
      </c>
      <c r="BC307" s="266">
        <f t="shared" si="77"/>
        <v>140000000</v>
      </c>
      <c r="BD307" s="267" t="s">
        <v>706</v>
      </c>
      <c r="BE307" s="267" t="s">
        <v>132</v>
      </c>
    </row>
    <row r="308" spans="1:57" ht="33.75">
      <c r="A308" s="571"/>
      <c r="B308" s="572"/>
      <c r="C308" s="572"/>
      <c r="D308" s="572"/>
      <c r="E308" s="572"/>
      <c r="F308" s="572"/>
      <c r="G308" s="572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267" t="s">
        <v>890</v>
      </c>
      <c r="AJ308" s="307">
        <f>+(0.019*100)/1</f>
        <v>1.9</v>
      </c>
      <c r="AK308" s="307">
        <v>0</v>
      </c>
      <c r="AL308" s="307">
        <v>1.05</v>
      </c>
      <c r="AM308" s="307">
        <v>0</v>
      </c>
      <c r="AN308" s="307">
        <v>0.85</v>
      </c>
      <c r="AO308" s="267" t="s">
        <v>892</v>
      </c>
      <c r="AP308" s="268" t="s">
        <v>202</v>
      </c>
      <c r="AQ308" s="5" t="s">
        <v>87</v>
      </c>
      <c r="AR308" s="268">
        <v>0</v>
      </c>
      <c r="AS308" s="268">
        <v>4</v>
      </c>
      <c r="AT308" s="268">
        <v>0</v>
      </c>
      <c r="AU308" s="268">
        <v>2</v>
      </c>
      <c r="AV308" s="268">
        <v>0</v>
      </c>
      <c r="AW308" s="268">
        <v>2</v>
      </c>
      <c r="AX308" s="268">
        <v>4</v>
      </c>
      <c r="AY308" s="272">
        <v>0</v>
      </c>
      <c r="AZ308" s="272">
        <v>10000000</v>
      </c>
      <c r="BA308" s="272">
        <v>0</v>
      </c>
      <c r="BB308" s="272">
        <v>10000000</v>
      </c>
      <c r="BC308" s="266">
        <f t="shared" si="77"/>
        <v>20000000</v>
      </c>
      <c r="BD308" s="267" t="s">
        <v>706</v>
      </c>
      <c r="BE308" s="267" t="s">
        <v>132</v>
      </c>
    </row>
    <row r="309" spans="1:57">
      <c r="A309" s="571"/>
      <c r="B309" s="572"/>
      <c r="C309" s="572"/>
      <c r="D309" s="572"/>
      <c r="E309" s="572"/>
      <c r="F309" s="572"/>
      <c r="G309" s="572"/>
      <c r="H309" s="222" t="s">
        <v>594</v>
      </c>
      <c r="I309" s="184"/>
      <c r="J309" s="184"/>
      <c r="K309" s="184"/>
      <c r="L309" s="184"/>
      <c r="M309" s="184"/>
      <c r="N309" s="184"/>
      <c r="O309" s="209"/>
      <c r="P309" s="165"/>
      <c r="Q309" s="165"/>
      <c r="R309" s="165"/>
      <c r="S309" s="165"/>
      <c r="T309" s="185"/>
      <c r="U309" s="174"/>
      <c r="V309" s="174"/>
      <c r="W309" s="275"/>
      <c r="X309" s="175"/>
      <c r="Y309" s="175"/>
      <c r="Z309" s="165"/>
      <c r="AA309" s="165"/>
      <c r="AB309" s="175"/>
      <c r="AC309" s="349" t="s">
        <v>1453</v>
      </c>
      <c r="AD309" s="247">
        <f>+AD302</f>
        <v>25</v>
      </c>
      <c r="AE309" s="165"/>
      <c r="AF309" s="165"/>
      <c r="AG309" s="165"/>
      <c r="AH309" s="165"/>
      <c r="AI309" s="126"/>
      <c r="AJ309" s="421">
        <f>SUM(AJ302:AJ308)</f>
        <v>100.00000000000001</v>
      </c>
      <c r="AK309" s="421"/>
      <c r="AL309" s="421"/>
      <c r="AM309" s="421"/>
      <c r="AN309" s="421"/>
      <c r="AO309" s="126"/>
      <c r="AP309" s="55"/>
      <c r="AQ309" s="55"/>
      <c r="AR309" s="179"/>
      <c r="AS309" s="78"/>
      <c r="AT309" s="78"/>
      <c r="AU309" s="78"/>
      <c r="AV309" s="78"/>
      <c r="AW309" s="55"/>
      <c r="AX309" s="78"/>
      <c r="AY309" s="276">
        <f>SUM(AY302:AY308)</f>
        <v>1640000000</v>
      </c>
      <c r="AZ309" s="276">
        <f t="shared" ref="AZ309:BC309" si="78">SUM(AZ302:AZ308)</f>
        <v>380000000</v>
      </c>
      <c r="BA309" s="276">
        <f t="shared" si="78"/>
        <v>370000000</v>
      </c>
      <c r="BB309" s="276">
        <f t="shared" si="78"/>
        <v>390000000</v>
      </c>
      <c r="BC309" s="276">
        <f t="shared" si="78"/>
        <v>2780000000</v>
      </c>
      <c r="BD309" s="126"/>
      <c r="BE309" s="52"/>
    </row>
    <row r="310" spans="1:57">
      <c r="A310" s="571"/>
      <c r="B310" s="572"/>
      <c r="C310" s="572"/>
      <c r="D310" s="572"/>
      <c r="E310" s="572"/>
      <c r="F310" s="572"/>
      <c r="G310" s="572"/>
      <c r="H310" s="223" t="s">
        <v>85</v>
      </c>
      <c r="I310" s="378">
        <f>+I286</f>
        <v>9.0909090909090917</v>
      </c>
      <c r="J310" s="262"/>
      <c r="K310" s="262"/>
      <c r="L310" s="262"/>
      <c r="M310" s="262"/>
      <c r="N310" s="262"/>
      <c r="O310" s="384">
        <f>SUM(O286:O309)</f>
        <v>100</v>
      </c>
      <c r="P310" s="262"/>
      <c r="Q310" s="262"/>
      <c r="R310" s="262"/>
      <c r="S310" s="262"/>
      <c r="T310" s="262"/>
      <c r="U310" s="262"/>
      <c r="V310" s="262"/>
      <c r="W310" s="262"/>
      <c r="X310" s="262"/>
      <c r="Y310" s="262"/>
      <c r="Z310" s="262"/>
      <c r="AA310" s="262"/>
      <c r="AB310" s="262"/>
      <c r="AC310" s="262"/>
      <c r="AD310" s="416">
        <f>+AD302+AD294+AD286</f>
        <v>100</v>
      </c>
      <c r="AE310" s="262"/>
      <c r="AF310" s="262"/>
      <c r="AG310" s="262"/>
      <c r="AH310" s="262"/>
      <c r="AI310" s="262"/>
      <c r="AJ310" s="241"/>
      <c r="AK310" s="241"/>
      <c r="AL310" s="241"/>
      <c r="AM310" s="241"/>
      <c r="AN310" s="241"/>
      <c r="AO310" s="262"/>
      <c r="AP310" s="262"/>
      <c r="AQ310" s="262"/>
      <c r="AR310" s="262"/>
      <c r="AS310" s="262"/>
      <c r="AT310" s="262"/>
      <c r="AU310" s="262"/>
      <c r="AV310" s="262"/>
      <c r="AW310" s="262"/>
      <c r="AX310" s="262"/>
      <c r="AY310" s="244">
        <f>+AY309+AY301+AY293</f>
        <v>3030000000</v>
      </c>
      <c r="AZ310" s="244">
        <f t="shared" ref="AZ310:BC310" si="79">+AZ309+AZ301+AZ293</f>
        <v>1834000000</v>
      </c>
      <c r="BA310" s="244">
        <f t="shared" si="79"/>
        <v>2177000020</v>
      </c>
      <c r="BB310" s="244">
        <f t="shared" si="79"/>
        <v>2180000000</v>
      </c>
      <c r="BC310" s="244">
        <f t="shared" si="79"/>
        <v>9221000020</v>
      </c>
      <c r="BD310" s="262"/>
      <c r="BE310" s="262"/>
    </row>
    <row r="311" spans="1:57" ht="75" customHeight="1">
      <c r="A311" s="571"/>
      <c r="B311" s="572"/>
      <c r="C311" s="572"/>
      <c r="D311" s="572"/>
      <c r="E311" s="572"/>
      <c r="F311" s="572"/>
      <c r="G311" s="572"/>
      <c r="H311" s="194" t="s">
        <v>903</v>
      </c>
      <c r="I311" s="404">
        <f>+(5*100)/44</f>
        <v>11.363636363636363</v>
      </c>
      <c r="J311" s="158">
        <f>+I311*C4</f>
        <v>1.1363636363636365</v>
      </c>
      <c r="K311" s="158">
        <f>+I311*D4</f>
        <v>5.1136363636363633</v>
      </c>
      <c r="L311" s="158">
        <f>+I311*E4</f>
        <v>2.8409090909090908</v>
      </c>
      <c r="M311" s="158">
        <f>+I311*F4</f>
        <v>2.2727272727272729</v>
      </c>
      <c r="N311" s="182" t="s">
        <v>904</v>
      </c>
      <c r="O311" s="404">
        <f>+(0.5*100)/5</f>
        <v>10</v>
      </c>
      <c r="P311" s="674">
        <f>+O311*C4</f>
        <v>1</v>
      </c>
      <c r="Q311" s="674">
        <f>+O311*D4</f>
        <v>4.5</v>
      </c>
      <c r="R311" s="674">
        <f>+O311*E4</f>
        <v>2.5</v>
      </c>
      <c r="S311" s="674">
        <f>+O311*F4</f>
        <v>2</v>
      </c>
      <c r="T311" s="593" t="s">
        <v>917</v>
      </c>
      <c r="U311" s="5" t="s">
        <v>202</v>
      </c>
      <c r="V311" s="5" t="s">
        <v>88</v>
      </c>
      <c r="W311" s="692">
        <v>0</v>
      </c>
      <c r="X311" s="38" t="s">
        <v>1492</v>
      </c>
      <c r="Y311" s="646">
        <v>532</v>
      </c>
      <c r="Z311" s="646">
        <v>2500</v>
      </c>
      <c r="AA311" s="646">
        <v>700</v>
      </c>
      <c r="AB311" s="646">
        <v>700</v>
      </c>
      <c r="AC311" s="693" t="s">
        <v>932</v>
      </c>
      <c r="AD311" s="404">
        <f>+(0.5*100)/5</f>
        <v>10</v>
      </c>
      <c r="AE311" s="404">
        <f>+AD311*C4</f>
        <v>1</v>
      </c>
      <c r="AF311" s="404">
        <f>+AD311*D4</f>
        <v>4.5</v>
      </c>
      <c r="AG311" s="404">
        <f>+AD311*E4</f>
        <v>2.5</v>
      </c>
      <c r="AH311" s="404">
        <f>+AD311*F4</f>
        <v>2</v>
      </c>
      <c r="AI311" s="662" t="s">
        <v>962</v>
      </c>
      <c r="AJ311" s="694">
        <f>+(0.5*100)/0.5</f>
        <v>100</v>
      </c>
      <c r="AK311" s="694">
        <f>+AJ311*C4</f>
        <v>10</v>
      </c>
      <c r="AL311" s="694">
        <f>+AJ311*D4</f>
        <v>45</v>
      </c>
      <c r="AM311" s="694">
        <f>+AJ311*E4</f>
        <v>25</v>
      </c>
      <c r="AN311" s="694">
        <f>+AJ311*F4</f>
        <v>20</v>
      </c>
      <c r="AO311" s="694" t="s">
        <v>963</v>
      </c>
      <c r="AP311" s="694" t="s">
        <v>202</v>
      </c>
      <c r="AQ311" s="694" t="s">
        <v>87</v>
      </c>
      <c r="AR311" s="694">
        <v>0</v>
      </c>
      <c r="AS311" s="694">
        <v>1</v>
      </c>
      <c r="AT311" s="695">
        <v>7.4999999999999997E-2</v>
      </c>
      <c r="AU311" s="695">
        <v>0.15</v>
      </c>
      <c r="AV311" s="695">
        <v>0.22499999999999998</v>
      </c>
      <c r="AW311" s="695">
        <v>0.3</v>
      </c>
      <c r="AX311" s="695">
        <v>0.3</v>
      </c>
      <c r="AY311" s="16">
        <v>0</v>
      </c>
      <c r="AZ311" s="16">
        <v>50000000</v>
      </c>
      <c r="BA311" s="16">
        <v>50000000</v>
      </c>
      <c r="BB311" s="16">
        <v>50000000</v>
      </c>
      <c r="BC311" s="16">
        <f>SUM(AY311:BB311)</f>
        <v>150000000</v>
      </c>
      <c r="BD311" s="147" t="s">
        <v>874</v>
      </c>
      <c r="BE311" s="2" t="s">
        <v>132</v>
      </c>
    </row>
    <row r="312" spans="1:57">
      <c r="A312" s="571"/>
      <c r="B312" s="572"/>
      <c r="C312" s="572"/>
      <c r="D312" s="572"/>
      <c r="E312" s="572"/>
      <c r="F312" s="572"/>
      <c r="G312" s="572"/>
      <c r="H312" s="6"/>
      <c r="I312" s="6"/>
      <c r="J312" s="6"/>
      <c r="K312" s="6"/>
      <c r="L312" s="6"/>
      <c r="M312" s="6"/>
      <c r="N312" s="184"/>
      <c r="O312" s="259"/>
      <c r="P312" s="165"/>
      <c r="Q312" s="165"/>
      <c r="R312" s="165"/>
      <c r="S312" s="165"/>
      <c r="T312" s="185"/>
      <c r="U312" s="174"/>
      <c r="V312" s="174"/>
      <c r="W312" s="277"/>
      <c r="X312" s="278"/>
      <c r="Y312" s="278"/>
      <c r="Z312" s="278"/>
      <c r="AA312" s="278"/>
      <c r="AB312" s="278"/>
      <c r="AC312" s="349" t="s">
        <v>1453</v>
      </c>
      <c r="AD312" s="420">
        <f>+AD311</f>
        <v>10</v>
      </c>
      <c r="AE312" s="165"/>
      <c r="AF312" s="165"/>
      <c r="AG312" s="165"/>
      <c r="AH312" s="165"/>
      <c r="AI312" s="126"/>
      <c r="AJ312" s="421">
        <f>SUM(AJ311)</f>
        <v>100</v>
      </c>
      <c r="AK312" s="421"/>
      <c r="AL312" s="421"/>
      <c r="AM312" s="421"/>
      <c r="AN312" s="421"/>
      <c r="AO312" s="126"/>
      <c r="AP312" s="55"/>
      <c r="AQ312" s="55"/>
      <c r="AR312" s="179"/>
      <c r="AS312" s="55"/>
      <c r="AT312" s="55"/>
      <c r="AU312" s="55"/>
      <c r="AV312" s="55"/>
      <c r="AW312" s="55"/>
      <c r="AX312" s="55"/>
      <c r="AY312" s="276">
        <f>SUM(AY311)</f>
        <v>0</v>
      </c>
      <c r="AZ312" s="276">
        <f t="shared" ref="AZ312:BC312" si="80">SUM(AZ311)</f>
        <v>50000000</v>
      </c>
      <c r="BA312" s="276">
        <f t="shared" si="80"/>
        <v>50000000</v>
      </c>
      <c r="BB312" s="276">
        <f t="shared" si="80"/>
        <v>50000000</v>
      </c>
      <c r="BC312" s="276">
        <f t="shared" si="80"/>
        <v>150000000</v>
      </c>
      <c r="BD312" s="126"/>
      <c r="BE312" s="52"/>
    </row>
    <row r="313" spans="1:57" ht="112.5" customHeight="1">
      <c r="A313" s="571"/>
      <c r="B313" s="572"/>
      <c r="C313" s="572"/>
      <c r="D313" s="572"/>
      <c r="E313" s="572"/>
      <c r="F313" s="572"/>
      <c r="G313" s="572"/>
      <c r="H313" s="6"/>
      <c r="I313" s="375"/>
      <c r="J313" s="6"/>
      <c r="K313" s="6"/>
      <c r="L313" s="6"/>
      <c r="M313" s="6"/>
      <c r="N313" s="199" t="s">
        <v>905</v>
      </c>
      <c r="O313" s="404">
        <f>+(1*100)/5</f>
        <v>20</v>
      </c>
      <c r="P313" s="158">
        <f>+O313*C4</f>
        <v>2</v>
      </c>
      <c r="Q313" s="158">
        <f>+O313*D4</f>
        <v>9</v>
      </c>
      <c r="R313" s="158">
        <f>+O313*E4</f>
        <v>5</v>
      </c>
      <c r="S313" s="158">
        <f>+O313*F4</f>
        <v>4</v>
      </c>
      <c r="T313" s="199" t="s">
        <v>918</v>
      </c>
      <c r="U313" s="199" t="s">
        <v>202</v>
      </c>
      <c r="V313" s="199" t="s">
        <v>88</v>
      </c>
      <c r="W313" s="696" t="s">
        <v>221</v>
      </c>
      <c r="X313" s="298">
        <v>0.2</v>
      </c>
      <c r="Y313" s="298">
        <v>0.2</v>
      </c>
      <c r="Z313" s="298">
        <v>0.2</v>
      </c>
      <c r="AA313" s="298">
        <v>0.2</v>
      </c>
      <c r="AB313" s="298">
        <v>0.2</v>
      </c>
      <c r="AC313" s="199" t="s">
        <v>933</v>
      </c>
      <c r="AD313" s="404">
        <f>+(0.75*100)/5</f>
        <v>15</v>
      </c>
      <c r="AE313" s="404">
        <f>+AD313*C4</f>
        <v>1.5</v>
      </c>
      <c r="AF313" s="404">
        <f>+AD313*D4</f>
        <v>6.75</v>
      </c>
      <c r="AG313" s="404">
        <f>+AD313*E4</f>
        <v>3.75</v>
      </c>
      <c r="AH313" s="404">
        <f>+AD313*F4</f>
        <v>3</v>
      </c>
      <c r="AI313" s="662" t="s">
        <v>936</v>
      </c>
      <c r="AJ313" s="694">
        <f>+(0.128*100)/1</f>
        <v>12.8</v>
      </c>
      <c r="AK313" s="694">
        <f>+AJ313*C4</f>
        <v>1.2800000000000002</v>
      </c>
      <c r="AL313" s="694">
        <f>+AJ313*D4</f>
        <v>5.7600000000000007</v>
      </c>
      <c r="AM313" s="694">
        <f>+AJ313*E4</f>
        <v>3.2</v>
      </c>
      <c r="AN313" s="694">
        <f>+AJ313*F4</f>
        <v>2.5600000000000005</v>
      </c>
      <c r="AO313" s="662" t="s">
        <v>949</v>
      </c>
      <c r="AP313" s="662" t="s">
        <v>203</v>
      </c>
      <c r="AQ313" s="662" t="s">
        <v>87</v>
      </c>
      <c r="AR313" s="662">
        <v>0</v>
      </c>
      <c r="AS313" s="662">
        <v>1</v>
      </c>
      <c r="AT313" s="662">
        <v>1</v>
      </c>
      <c r="AU313" s="662">
        <v>1</v>
      </c>
      <c r="AV313" s="662">
        <v>1</v>
      </c>
      <c r="AW313" s="662">
        <v>1</v>
      </c>
      <c r="AX313" s="662">
        <v>1</v>
      </c>
      <c r="AY313" s="637">
        <v>100000000</v>
      </c>
      <c r="AZ313" s="637">
        <v>100000000</v>
      </c>
      <c r="BA313" s="637">
        <v>100000000</v>
      </c>
      <c r="BB313" s="637">
        <v>100000000</v>
      </c>
      <c r="BC313" s="697">
        <f>SUM(AY313:BB313)</f>
        <v>400000000</v>
      </c>
      <c r="BD313" s="662" t="s">
        <v>874</v>
      </c>
      <c r="BE313" s="662" t="s">
        <v>112</v>
      </c>
    </row>
    <row r="314" spans="1:57" ht="45">
      <c r="A314" s="571"/>
      <c r="B314" s="572"/>
      <c r="C314" s="572"/>
      <c r="D314" s="572"/>
      <c r="E314" s="572"/>
      <c r="F314" s="572"/>
      <c r="G314" s="572"/>
      <c r="H314" s="6"/>
      <c r="I314" s="6"/>
      <c r="J314" s="6"/>
      <c r="K314" s="6"/>
      <c r="L314" s="6"/>
      <c r="M314" s="6"/>
      <c r="N314" s="200"/>
      <c r="O314" s="200"/>
      <c r="P314" s="200"/>
      <c r="Q314" s="200"/>
      <c r="R314" s="200"/>
      <c r="S314" s="200"/>
      <c r="T314" s="200"/>
      <c r="U314" s="200"/>
      <c r="V314" s="200"/>
      <c r="W314" s="200"/>
      <c r="X314" s="200"/>
      <c r="Y314" s="200"/>
      <c r="Z314" s="200"/>
      <c r="AA314" s="200"/>
      <c r="AB314" s="200"/>
      <c r="AC314" s="200"/>
      <c r="AD314" s="376"/>
      <c r="AE314" s="200"/>
      <c r="AF314" s="200"/>
      <c r="AG314" s="200"/>
      <c r="AH314" s="200"/>
      <c r="AI314" s="662" t="s">
        <v>937</v>
      </c>
      <c r="AJ314" s="694">
        <f>+(0.138*100)/1</f>
        <v>13.8</v>
      </c>
      <c r="AK314" s="694">
        <f>+AJ314*C4</f>
        <v>1.3800000000000001</v>
      </c>
      <c r="AL314" s="694">
        <v>12.42</v>
      </c>
      <c r="AM314" s="694">
        <v>0</v>
      </c>
      <c r="AN314" s="694">
        <v>0</v>
      </c>
      <c r="AO314" s="662" t="s">
        <v>950</v>
      </c>
      <c r="AP314" s="662" t="s">
        <v>202</v>
      </c>
      <c r="AQ314" s="662" t="s">
        <v>87</v>
      </c>
      <c r="AR314" s="662">
        <v>0</v>
      </c>
      <c r="AS314" s="662">
        <v>7</v>
      </c>
      <c r="AT314" s="662">
        <v>3</v>
      </c>
      <c r="AU314" s="662">
        <v>4</v>
      </c>
      <c r="AV314" s="662">
        <v>0</v>
      </c>
      <c r="AW314" s="662">
        <v>0</v>
      </c>
      <c r="AX314" s="662">
        <v>7</v>
      </c>
      <c r="AY314" s="637">
        <v>300000000</v>
      </c>
      <c r="AZ314" s="637">
        <v>100000000</v>
      </c>
      <c r="BA314" s="637">
        <v>100000000</v>
      </c>
      <c r="BB314" s="637">
        <v>100000000</v>
      </c>
      <c r="BC314" s="697">
        <f t="shared" ref="BC314:BC325" si="81">SUM(AY314:BB314)</f>
        <v>600000000</v>
      </c>
      <c r="BD314" s="662" t="s">
        <v>874</v>
      </c>
      <c r="BE314" s="662" t="s">
        <v>112</v>
      </c>
    </row>
    <row r="315" spans="1:57" ht="33.75">
      <c r="A315" s="571"/>
      <c r="B315" s="572"/>
      <c r="C315" s="572"/>
      <c r="D315" s="572"/>
      <c r="E315" s="572"/>
      <c r="F315" s="572"/>
      <c r="G315" s="572"/>
      <c r="H315" s="6"/>
      <c r="I315" s="6"/>
      <c r="J315" s="6"/>
      <c r="K315" s="6"/>
      <c r="L315" s="6"/>
      <c r="M315" s="6"/>
      <c r="N315" s="200"/>
      <c r="O315" s="200"/>
      <c r="P315" s="200"/>
      <c r="Q315" s="200"/>
      <c r="R315" s="200"/>
      <c r="S315" s="200"/>
      <c r="T315" s="200"/>
      <c r="U315" s="200"/>
      <c r="V315" s="200"/>
      <c r="W315" s="200"/>
      <c r="X315" s="200"/>
      <c r="Y315" s="200"/>
      <c r="Z315" s="200"/>
      <c r="AA315" s="200"/>
      <c r="AB315" s="200"/>
      <c r="AC315" s="200"/>
      <c r="AD315" s="200"/>
      <c r="AE315" s="200"/>
      <c r="AF315" s="200"/>
      <c r="AG315" s="200"/>
      <c r="AH315" s="200"/>
      <c r="AI315" s="662" t="s">
        <v>938</v>
      </c>
      <c r="AJ315" s="694">
        <f>+(0.129*100)/1</f>
        <v>12.9</v>
      </c>
      <c r="AK315" s="694">
        <f>+AJ315*C4</f>
        <v>1.29</v>
      </c>
      <c r="AL315" s="694">
        <f>+AJ315*D4</f>
        <v>5.8050000000000006</v>
      </c>
      <c r="AM315" s="694">
        <f>+AJ315*E4</f>
        <v>3.2250000000000001</v>
      </c>
      <c r="AN315" s="694">
        <f>+AJ315*F4</f>
        <v>2.58</v>
      </c>
      <c r="AO315" s="662" t="s">
        <v>951</v>
      </c>
      <c r="AP315" s="662" t="s">
        <v>203</v>
      </c>
      <c r="AQ315" s="662" t="s">
        <v>87</v>
      </c>
      <c r="AR315" s="662">
        <v>0</v>
      </c>
      <c r="AS315" s="662">
        <v>4</v>
      </c>
      <c r="AT315" s="662">
        <v>1</v>
      </c>
      <c r="AU315" s="662">
        <v>1</v>
      </c>
      <c r="AV315" s="662">
        <v>1</v>
      </c>
      <c r="AW315" s="662">
        <v>1</v>
      </c>
      <c r="AX315" s="662">
        <v>4</v>
      </c>
      <c r="AY315" s="637">
        <v>100000000</v>
      </c>
      <c r="AZ315" s="637">
        <v>100000000</v>
      </c>
      <c r="BA315" s="637">
        <v>100000000</v>
      </c>
      <c r="BB315" s="637">
        <v>100000000</v>
      </c>
      <c r="BC315" s="697">
        <f t="shared" si="81"/>
        <v>400000000</v>
      </c>
      <c r="BD315" s="662" t="s">
        <v>874</v>
      </c>
      <c r="BE315" s="662" t="s">
        <v>112</v>
      </c>
    </row>
    <row r="316" spans="1:57" ht="33.75">
      <c r="A316" s="571"/>
      <c r="B316" s="572"/>
      <c r="C316" s="572"/>
      <c r="D316" s="572"/>
      <c r="E316" s="572"/>
      <c r="F316" s="572"/>
      <c r="G316" s="572"/>
      <c r="H316" s="6"/>
      <c r="I316" s="6"/>
      <c r="J316" s="6"/>
      <c r="K316" s="6"/>
      <c r="L316" s="6"/>
      <c r="M316" s="6"/>
      <c r="N316" s="200"/>
      <c r="O316" s="200"/>
      <c r="P316" s="200"/>
      <c r="Q316" s="200"/>
      <c r="R316" s="200"/>
      <c r="S316" s="200"/>
      <c r="T316" s="200"/>
      <c r="U316" s="200"/>
      <c r="V316" s="200"/>
      <c r="W316" s="200"/>
      <c r="X316" s="200"/>
      <c r="Y316" s="200"/>
      <c r="Z316" s="200"/>
      <c r="AA316" s="200"/>
      <c r="AB316" s="200"/>
      <c r="AC316" s="200"/>
      <c r="AD316" s="200"/>
      <c r="AE316" s="200"/>
      <c r="AF316" s="200"/>
      <c r="AG316" s="200"/>
      <c r="AH316" s="200"/>
      <c r="AI316" s="662" t="s">
        <v>939</v>
      </c>
      <c r="AJ316" s="694">
        <f>+(0.061*100)/1</f>
        <v>6.1</v>
      </c>
      <c r="AK316" s="694">
        <f>+AJ316*C4</f>
        <v>0.61</v>
      </c>
      <c r="AL316" s="694">
        <f>+AJ316*D4</f>
        <v>2.7450000000000001</v>
      </c>
      <c r="AM316" s="694">
        <f>+AJ316*E4</f>
        <v>1.5249999999999999</v>
      </c>
      <c r="AN316" s="694">
        <f>+AJ316*F4</f>
        <v>1.22</v>
      </c>
      <c r="AO316" s="662" t="s">
        <v>952</v>
      </c>
      <c r="AP316" s="662" t="s">
        <v>202</v>
      </c>
      <c r="AQ316" s="662" t="s">
        <v>87</v>
      </c>
      <c r="AR316" s="662">
        <v>0</v>
      </c>
      <c r="AS316" s="662">
        <v>400</v>
      </c>
      <c r="AT316" s="662">
        <v>200</v>
      </c>
      <c r="AU316" s="662">
        <v>120</v>
      </c>
      <c r="AV316" s="662">
        <v>40</v>
      </c>
      <c r="AW316" s="662">
        <v>40</v>
      </c>
      <c r="AX316" s="662">
        <v>400</v>
      </c>
      <c r="AY316" s="637">
        <v>100000000</v>
      </c>
      <c r="AZ316" s="637">
        <v>100000000</v>
      </c>
      <c r="BA316" s="637">
        <v>0</v>
      </c>
      <c r="BB316" s="637">
        <v>0</v>
      </c>
      <c r="BC316" s="697">
        <f t="shared" si="81"/>
        <v>200000000</v>
      </c>
      <c r="BD316" s="662" t="s">
        <v>874</v>
      </c>
      <c r="BE316" s="662" t="s">
        <v>112</v>
      </c>
    </row>
    <row r="317" spans="1:57" ht="33.75">
      <c r="A317" s="571"/>
      <c r="B317" s="572"/>
      <c r="C317" s="572"/>
      <c r="D317" s="572"/>
      <c r="E317" s="572"/>
      <c r="F317" s="572"/>
      <c r="G317" s="572"/>
      <c r="H317" s="6"/>
      <c r="I317" s="6"/>
      <c r="J317" s="6"/>
      <c r="K317" s="6"/>
      <c r="L317" s="6"/>
      <c r="M317" s="6"/>
      <c r="N317" s="200"/>
      <c r="O317" s="200"/>
      <c r="P317" s="200"/>
      <c r="Q317" s="200"/>
      <c r="R317" s="200"/>
      <c r="S317" s="200"/>
      <c r="T317" s="200"/>
      <c r="U317" s="200"/>
      <c r="V317" s="200"/>
      <c r="W317" s="200"/>
      <c r="X317" s="200"/>
      <c r="Y317" s="200"/>
      <c r="Z317" s="200"/>
      <c r="AA317" s="200"/>
      <c r="AB317" s="200"/>
      <c r="AC317" s="200"/>
      <c r="AD317" s="200"/>
      <c r="AE317" s="200"/>
      <c r="AF317" s="200"/>
      <c r="AG317" s="200"/>
      <c r="AH317" s="200"/>
      <c r="AI317" s="662" t="s">
        <v>940</v>
      </c>
      <c r="AJ317" s="694">
        <f>+(0.088*100)/1</f>
        <v>8.7999999999999989</v>
      </c>
      <c r="AK317" s="694">
        <f>+AJ317*C4</f>
        <v>0.87999999999999989</v>
      </c>
      <c r="AL317" s="694">
        <f>+AJ317*D4</f>
        <v>3.9599999999999995</v>
      </c>
      <c r="AM317" s="694">
        <f>+AJ317*E4</f>
        <v>2.1999999999999997</v>
      </c>
      <c r="AN317" s="694">
        <f>+AJ317*F4</f>
        <v>1.7599999999999998</v>
      </c>
      <c r="AO317" s="662" t="s">
        <v>953</v>
      </c>
      <c r="AP317" s="662" t="s">
        <v>202</v>
      </c>
      <c r="AQ317" s="662" t="s">
        <v>88</v>
      </c>
      <c r="AR317" s="662">
        <v>0</v>
      </c>
      <c r="AS317" s="698">
        <v>0.2</v>
      </c>
      <c r="AT317" s="698">
        <v>0.05</v>
      </c>
      <c r="AU317" s="698">
        <v>0.1</v>
      </c>
      <c r="AV317" s="698">
        <v>0.15</v>
      </c>
      <c r="AW317" s="698">
        <v>0.2</v>
      </c>
      <c r="AX317" s="699">
        <v>0.2</v>
      </c>
      <c r="AY317" s="637">
        <v>0</v>
      </c>
      <c r="AZ317" s="637">
        <v>100000000</v>
      </c>
      <c r="BA317" s="637">
        <v>0</v>
      </c>
      <c r="BB317" s="637">
        <v>100000000</v>
      </c>
      <c r="BC317" s="697">
        <f t="shared" si="81"/>
        <v>200000000</v>
      </c>
      <c r="BD317" s="662" t="s">
        <v>874</v>
      </c>
      <c r="BE317" s="662" t="s">
        <v>112</v>
      </c>
    </row>
    <row r="318" spans="1:57" ht="33.75">
      <c r="A318" s="571"/>
      <c r="B318" s="572"/>
      <c r="C318" s="572"/>
      <c r="D318" s="572"/>
      <c r="E318" s="572"/>
      <c r="F318" s="572"/>
      <c r="G318" s="572"/>
      <c r="H318" s="6"/>
      <c r="I318" s="6"/>
      <c r="J318" s="6"/>
      <c r="K318" s="6"/>
      <c r="L318" s="6"/>
      <c r="M318" s="6"/>
      <c r="N318" s="200"/>
      <c r="O318" s="200"/>
      <c r="P318" s="200"/>
      <c r="Q318" s="200"/>
      <c r="R318" s="200"/>
      <c r="S318" s="200"/>
      <c r="T318" s="200"/>
      <c r="U318" s="200"/>
      <c r="V318" s="200"/>
      <c r="W318" s="200"/>
      <c r="X318" s="200"/>
      <c r="Y318" s="200"/>
      <c r="Z318" s="200"/>
      <c r="AA318" s="200"/>
      <c r="AB318" s="200"/>
      <c r="AC318" s="200"/>
      <c r="AD318" s="200"/>
      <c r="AE318" s="200"/>
      <c r="AF318" s="200"/>
      <c r="AG318" s="200"/>
      <c r="AH318" s="200"/>
      <c r="AI318" s="662" t="s">
        <v>941</v>
      </c>
      <c r="AJ318" s="694">
        <f>+(0.056*100)/1</f>
        <v>5.6000000000000005</v>
      </c>
      <c r="AK318" s="694">
        <f>+AJ318*C4</f>
        <v>0.56000000000000005</v>
      </c>
      <c r="AL318" s="694">
        <f>+AJ318*D4</f>
        <v>2.5200000000000005</v>
      </c>
      <c r="AM318" s="694">
        <f>+AJ318*E4</f>
        <v>1.4000000000000001</v>
      </c>
      <c r="AN318" s="694">
        <f>+AJ318*F4</f>
        <v>1.1200000000000001</v>
      </c>
      <c r="AO318" s="662" t="s">
        <v>954</v>
      </c>
      <c r="AP318" s="662" t="s">
        <v>203</v>
      </c>
      <c r="AQ318" s="662" t="s">
        <v>87</v>
      </c>
      <c r="AR318" s="662">
        <v>0</v>
      </c>
      <c r="AS318" s="662">
        <v>1</v>
      </c>
      <c r="AT318" s="662">
        <v>1</v>
      </c>
      <c r="AU318" s="662">
        <v>1</v>
      </c>
      <c r="AV318" s="662">
        <v>1</v>
      </c>
      <c r="AW318" s="662">
        <v>1</v>
      </c>
      <c r="AX318" s="662">
        <v>1</v>
      </c>
      <c r="AY318" s="637">
        <v>79999999.999999955</v>
      </c>
      <c r="AZ318" s="637">
        <v>50000000</v>
      </c>
      <c r="BA318" s="637">
        <v>40000000</v>
      </c>
      <c r="BB318" s="637">
        <v>30000000</v>
      </c>
      <c r="BC318" s="697">
        <f t="shared" si="81"/>
        <v>199999999.99999994</v>
      </c>
      <c r="BD318" s="662" t="s">
        <v>874</v>
      </c>
      <c r="BE318" s="662" t="s">
        <v>112</v>
      </c>
    </row>
    <row r="319" spans="1:57" ht="33.75">
      <c r="A319" s="571"/>
      <c r="B319" s="572"/>
      <c r="C319" s="572"/>
      <c r="D319" s="572"/>
      <c r="E319" s="572"/>
      <c r="F319" s="572"/>
      <c r="G319" s="572"/>
      <c r="H319" s="6"/>
      <c r="I319" s="6"/>
      <c r="J319" s="6"/>
      <c r="K319" s="6"/>
      <c r="L319" s="6"/>
      <c r="M319" s="6"/>
      <c r="N319" s="200"/>
      <c r="O319" s="200"/>
      <c r="P319" s="200"/>
      <c r="Q319" s="200"/>
      <c r="R319" s="200"/>
      <c r="S319" s="200"/>
      <c r="T319" s="200"/>
      <c r="U319" s="200"/>
      <c r="V319" s="200"/>
      <c r="W319" s="200"/>
      <c r="X319" s="200"/>
      <c r="Y319" s="200"/>
      <c r="Z319" s="200"/>
      <c r="AA319" s="200"/>
      <c r="AB319" s="200"/>
      <c r="AC319" s="200"/>
      <c r="AD319" s="200"/>
      <c r="AE319" s="200"/>
      <c r="AF319" s="200"/>
      <c r="AG319" s="200"/>
      <c r="AH319" s="200"/>
      <c r="AI319" s="662" t="s">
        <v>942</v>
      </c>
      <c r="AJ319" s="694">
        <f>+(0.021*100)/1</f>
        <v>2.1</v>
      </c>
      <c r="AK319" s="694">
        <v>1.1599999999999999</v>
      </c>
      <c r="AL319" s="694">
        <v>0</v>
      </c>
      <c r="AM319" s="694">
        <v>0.95</v>
      </c>
      <c r="AN319" s="694">
        <v>0</v>
      </c>
      <c r="AO319" s="662" t="s">
        <v>955</v>
      </c>
      <c r="AP319" s="662" t="s">
        <v>202</v>
      </c>
      <c r="AQ319" s="662" t="s">
        <v>87</v>
      </c>
      <c r="AR319" s="662">
        <v>0</v>
      </c>
      <c r="AS319" s="662">
        <v>2</v>
      </c>
      <c r="AT319" s="662">
        <v>1</v>
      </c>
      <c r="AU319" s="662">
        <v>0</v>
      </c>
      <c r="AV319" s="662">
        <v>1</v>
      </c>
      <c r="AW319" s="662">
        <v>0</v>
      </c>
      <c r="AX319" s="662">
        <v>2</v>
      </c>
      <c r="AY319" s="637">
        <v>50000000</v>
      </c>
      <c r="AZ319" s="637">
        <v>0</v>
      </c>
      <c r="BA319" s="637">
        <v>50000000</v>
      </c>
      <c r="BB319" s="637">
        <v>0</v>
      </c>
      <c r="BC319" s="697">
        <f t="shared" si="81"/>
        <v>100000000</v>
      </c>
      <c r="BD319" s="662" t="s">
        <v>874</v>
      </c>
      <c r="BE319" s="662" t="s">
        <v>112</v>
      </c>
    </row>
    <row r="320" spans="1:57" ht="33.75">
      <c r="A320" s="571"/>
      <c r="B320" s="572"/>
      <c r="C320" s="572"/>
      <c r="D320" s="572"/>
      <c r="E320" s="572"/>
      <c r="F320" s="572"/>
      <c r="G320" s="572"/>
      <c r="H320" s="6"/>
      <c r="I320" s="6"/>
      <c r="J320" s="6"/>
      <c r="K320" s="6"/>
      <c r="L320" s="6"/>
      <c r="M320" s="6"/>
      <c r="N320" s="200"/>
      <c r="O320" s="200"/>
      <c r="P320" s="200"/>
      <c r="Q320" s="200"/>
      <c r="R320" s="200"/>
      <c r="S320" s="200"/>
      <c r="T320" s="200"/>
      <c r="U320" s="200"/>
      <c r="V320" s="200"/>
      <c r="W320" s="200"/>
      <c r="X320" s="200"/>
      <c r="Y320" s="200"/>
      <c r="Z320" s="200"/>
      <c r="AA320" s="200"/>
      <c r="AB320" s="200"/>
      <c r="AC320" s="200"/>
      <c r="AD320" s="200"/>
      <c r="AE320" s="200"/>
      <c r="AF320" s="200"/>
      <c r="AG320" s="200"/>
      <c r="AH320" s="200"/>
      <c r="AI320" s="662" t="s">
        <v>943</v>
      </c>
      <c r="AJ320" s="694">
        <f>+(0.065*100)/1</f>
        <v>6.5</v>
      </c>
      <c r="AK320" s="694">
        <f>+AJ320*C4</f>
        <v>0.65</v>
      </c>
      <c r="AL320" s="694">
        <f>+AJ320*D4</f>
        <v>2.9250000000000003</v>
      </c>
      <c r="AM320" s="694">
        <f>+AJ320*E4</f>
        <v>1.625</v>
      </c>
      <c r="AN320" s="694">
        <f>+AJ320*F4</f>
        <v>1.3</v>
      </c>
      <c r="AO320" s="662" t="s">
        <v>956</v>
      </c>
      <c r="AP320" s="662" t="s">
        <v>203</v>
      </c>
      <c r="AQ320" s="662" t="s">
        <v>87</v>
      </c>
      <c r="AR320" s="662">
        <v>0</v>
      </c>
      <c r="AS320" s="662">
        <v>1</v>
      </c>
      <c r="AT320" s="662">
        <v>1</v>
      </c>
      <c r="AU320" s="662">
        <v>1</v>
      </c>
      <c r="AV320" s="662">
        <v>1</v>
      </c>
      <c r="AW320" s="662">
        <v>1</v>
      </c>
      <c r="AX320" s="662">
        <v>1</v>
      </c>
      <c r="AY320" s="637">
        <v>50000000</v>
      </c>
      <c r="AZ320" s="637">
        <v>50000000</v>
      </c>
      <c r="BA320" s="637">
        <v>50000000</v>
      </c>
      <c r="BB320" s="637">
        <v>50000000</v>
      </c>
      <c r="BC320" s="697">
        <f t="shared" si="81"/>
        <v>200000000</v>
      </c>
      <c r="BD320" s="662" t="s">
        <v>874</v>
      </c>
      <c r="BE320" s="662" t="s">
        <v>112</v>
      </c>
    </row>
    <row r="321" spans="1:57" ht="33.75">
      <c r="A321" s="571"/>
      <c r="B321" s="572"/>
      <c r="C321" s="572"/>
      <c r="D321" s="572"/>
      <c r="E321" s="572"/>
      <c r="F321" s="572"/>
      <c r="G321" s="572"/>
      <c r="H321" s="6"/>
      <c r="I321" s="6"/>
      <c r="J321" s="6"/>
      <c r="K321" s="6"/>
      <c r="L321" s="6"/>
      <c r="M321" s="6"/>
      <c r="N321" s="200"/>
      <c r="O321" s="200"/>
      <c r="P321" s="200"/>
      <c r="Q321" s="200"/>
      <c r="R321" s="200"/>
      <c r="S321" s="200"/>
      <c r="T321" s="200"/>
      <c r="U321" s="200"/>
      <c r="V321" s="200"/>
      <c r="W321" s="200"/>
      <c r="X321" s="200"/>
      <c r="Y321" s="200"/>
      <c r="Z321" s="200"/>
      <c r="AA321" s="200"/>
      <c r="AB321" s="200"/>
      <c r="AC321" s="200"/>
      <c r="AD321" s="200"/>
      <c r="AE321" s="200"/>
      <c r="AF321" s="200"/>
      <c r="AG321" s="200"/>
      <c r="AH321" s="200"/>
      <c r="AI321" s="662" t="s">
        <v>944</v>
      </c>
      <c r="AJ321" s="694">
        <f>+(0.062*100)/1</f>
        <v>6.2</v>
      </c>
      <c r="AK321" s="694">
        <f>+AJ321*C4</f>
        <v>0.62000000000000011</v>
      </c>
      <c r="AL321" s="694">
        <f>+AJ321*D4</f>
        <v>2.79</v>
      </c>
      <c r="AM321" s="694">
        <f>+AJ321*E4</f>
        <v>1.55</v>
      </c>
      <c r="AN321" s="694">
        <f>+AJ321*F4</f>
        <v>1.2400000000000002</v>
      </c>
      <c r="AO321" s="662" t="s">
        <v>957</v>
      </c>
      <c r="AP321" s="662" t="s">
        <v>203</v>
      </c>
      <c r="AQ321" s="662" t="s">
        <v>87</v>
      </c>
      <c r="AR321" s="662">
        <v>0</v>
      </c>
      <c r="AS321" s="662">
        <v>1</v>
      </c>
      <c r="AT321" s="662">
        <v>1</v>
      </c>
      <c r="AU321" s="662">
        <v>1</v>
      </c>
      <c r="AV321" s="662">
        <v>1</v>
      </c>
      <c r="AW321" s="662">
        <v>1</v>
      </c>
      <c r="AX321" s="662">
        <v>1</v>
      </c>
      <c r="AY321" s="637">
        <v>50000000</v>
      </c>
      <c r="AZ321" s="637">
        <v>50000000</v>
      </c>
      <c r="BA321" s="637">
        <v>50000000</v>
      </c>
      <c r="BB321" s="637">
        <v>50000000</v>
      </c>
      <c r="BC321" s="697">
        <f t="shared" si="81"/>
        <v>200000000</v>
      </c>
      <c r="BD321" s="662" t="s">
        <v>874</v>
      </c>
      <c r="BE321" s="662" t="s">
        <v>112</v>
      </c>
    </row>
    <row r="322" spans="1:57" ht="33.75">
      <c r="A322" s="571"/>
      <c r="B322" s="572"/>
      <c r="C322" s="572"/>
      <c r="D322" s="572"/>
      <c r="E322" s="572"/>
      <c r="F322" s="572"/>
      <c r="G322" s="572"/>
      <c r="H322" s="6"/>
      <c r="I322" s="6"/>
      <c r="J322" s="6"/>
      <c r="K322" s="6"/>
      <c r="L322" s="6"/>
      <c r="M322" s="6"/>
      <c r="N322" s="200"/>
      <c r="O322" s="200"/>
      <c r="P322" s="200"/>
      <c r="Q322" s="200"/>
      <c r="R322" s="200"/>
      <c r="S322" s="200"/>
      <c r="T322" s="200"/>
      <c r="U322" s="200"/>
      <c r="V322" s="200"/>
      <c r="W322" s="200"/>
      <c r="X322" s="200"/>
      <c r="Y322" s="200"/>
      <c r="Z322" s="200"/>
      <c r="AA322" s="200"/>
      <c r="AB322" s="200"/>
      <c r="AC322" s="200"/>
      <c r="AD322" s="200"/>
      <c r="AE322" s="200"/>
      <c r="AF322" s="200"/>
      <c r="AG322" s="200"/>
      <c r="AH322" s="200"/>
      <c r="AI322" s="662" t="s">
        <v>945</v>
      </c>
      <c r="AJ322" s="694">
        <f>+(0.032*100)/1</f>
        <v>3.2</v>
      </c>
      <c r="AK322" s="694">
        <f>+AJ322*C4</f>
        <v>0.32000000000000006</v>
      </c>
      <c r="AL322" s="694">
        <f>+AJ322*D4</f>
        <v>1.4400000000000002</v>
      </c>
      <c r="AM322" s="694">
        <f>+AJ322*E4</f>
        <v>0.8</v>
      </c>
      <c r="AN322" s="694">
        <f>+AJ322*F4</f>
        <v>0.64000000000000012</v>
      </c>
      <c r="AO322" s="662" t="s">
        <v>958</v>
      </c>
      <c r="AP322" s="662" t="s">
        <v>203</v>
      </c>
      <c r="AQ322" s="662" t="s">
        <v>87</v>
      </c>
      <c r="AR322" s="662">
        <v>0</v>
      </c>
      <c r="AS322" s="662">
        <v>1</v>
      </c>
      <c r="AT322" s="662">
        <v>1</v>
      </c>
      <c r="AU322" s="662">
        <v>1</v>
      </c>
      <c r="AV322" s="662">
        <v>1</v>
      </c>
      <c r="AW322" s="662">
        <v>1</v>
      </c>
      <c r="AX322" s="662">
        <v>1</v>
      </c>
      <c r="AY322" s="637">
        <v>25000000</v>
      </c>
      <c r="AZ322" s="637">
        <v>25000000</v>
      </c>
      <c r="BA322" s="637">
        <v>25000000</v>
      </c>
      <c r="BB322" s="637">
        <v>25000000</v>
      </c>
      <c r="BC322" s="697">
        <f t="shared" si="81"/>
        <v>100000000</v>
      </c>
      <c r="BD322" s="662" t="s">
        <v>874</v>
      </c>
      <c r="BE322" s="662" t="s">
        <v>112</v>
      </c>
    </row>
    <row r="323" spans="1:57" ht="33.75">
      <c r="A323" s="571"/>
      <c r="B323" s="572"/>
      <c r="C323" s="572"/>
      <c r="D323" s="572"/>
      <c r="E323" s="572"/>
      <c r="F323" s="572"/>
      <c r="G323" s="572"/>
      <c r="H323" s="6"/>
      <c r="I323" s="6"/>
      <c r="J323" s="6"/>
      <c r="K323" s="6"/>
      <c r="L323" s="6"/>
      <c r="M323" s="6"/>
      <c r="N323" s="200"/>
      <c r="O323" s="200"/>
      <c r="P323" s="200"/>
      <c r="Q323" s="200"/>
      <c r="R323" s="200"/>
      <c r="S323" s="200"/>
      <c r="T323" s="200"/>
      <c r="U323" s="200"/>
      <c r="V323" s="200"/>
      <c r="W323" s="200"/>
      <c r="X323" s="200"/>
      <c r="Y323" s="200"/>
      <c r="Z323" s="200"/>
      <c r="AA323" s="200"/>
      <c r="AB323" s="200"/>
      <c r="AC323" s="200"/>
      <c r="AD323" s="200"/>
      <c r="AE323" s="200"/>
      <c r="AF323" s="200"/>
      <c r="AG323" s="200"/>
      <c r="AH323" s="200"/>
      <c r="AI323" s="662" t="s">
        <v>946</v>
      </c>
      <c r="AJ323" s="694">
        <f>+(0.093*100)/1</f>
        <v>9.3000000000000007</v>
      </c>
      <c r="AK323" s="694">
        <v>0</v>
      </c>
      <c r="AL323" s="694">
        <v>0</v>
      </c>
      <c r="AM323" s="694">
        <v>5.12</v>
      </c>
      <c r="AN323" s="694">
        <v>4.18</v>
      </c>
      <c r="AO323" s="662" t="s">
        <v>959</v>
      </c>
      <c r="AP323" s="662" t="s">
        <v>202</v>
      </c>
      <c r="AQ323" s="662" t="s">
        <v>87</v>
      </c>
      <c r="AR323" s="662">
        <v>0</v>
      </c>
      <c r="AS323" s="662">
        <v>1</v>
      </c>
      <c r="AT323" s="662">
        <v>0</v>
      </c>
      <c r="AU323" s="662">
        <v>0</v>
      </c>
      <c r="AV323" s="662">
        <v>1</v>
      </c>
      <c r="AW323" s="662">
        <v>1</v>
      </c>
      <c r="AX323" s="662">
        <v>1</v>
      </c>
      <c r="AY323" s="637">
        <v>0</v>
      </c>
      <c r="AZ323" s="637">
        <v>100000000</v>
      </c>
      <c r="BA323" s="637">
        <v>100000000</v>
      </c>
      <c r="BB323" s="637">
        <v>0</v>
      </c>
      <c r="BC323" s="697">
        <f t="shared" si="81"/>
        <v>200000000</v>
      </c>
      <c r="BD323" s="662" t="s">
        <v>874</v>
      </c>
      <c r="BE323" s="662" t="s">
        <v>112</v>
      </c>
    </row>
    <row r="324" spans="1:57" ht="33.75">
      <c r="A324" s="571"/>
      <c r="B324" s="572"/>
      <c r="C324" s="572"/>
      <c r="D324" s="572"/>
      <c r="E324" s="572"/>
      <c r="F324" s="572"/>
      <c r="G324" s="572"/>
      <c r="H324" s="6"/>
      <c r="I324" s="6"/>
      <c r="J324" s="6"/>
      <c r="K324" s="6"/>
      <c r="L324" s="6"/>
      <c r="M324" s="6"/>
      <c r="N324" s="200"/>
      <c r="O324" s="200"/>
      <c r="P324" s="200"/>
      <c r="Q324" s="200"/>
      <c r="R324" s="200"/>
      <c r="S324" s="200"/>
      <c r="T324" s="200"/>
      <c r="U324" s="200"/>
      <c r="V324" s="200"/>
      <c r="W324" s="200"/>
      <c r="X324" s="200"/>
      <c r="Y324" s="200"/>
      <c r="Z324" s="200"/>
      <c r="AA324" s="200"/>
      <c r="AB324" s="200"/>
      <c r="AC324" s="200"/>
      <c r="AD324" s="200"/>
      <c r="AE324" s="200"/>
      <c r="AF324" s="200"/>
      <c r="AG324" s="200"/>
      <c r="AH324" s="200"/>
      <c r="AI324" s="662" t="s">
        <v>947</v>
      </c>
      <c r="AJ324" s="694">
        <f>+(0.065*100)/1</f>
        <v>6.5</v>
      </c>
      <c r="AK324" s="694">
        <v>3.58</v>
      </c>
      <c r="AL324" s="694">
        <v>0</v>
      </c>
      <c r="AM324" s="694">
        <v>2.93</v>
      </c>
      <c r="AN324" s="694">
        <v>0</v>
      </c>
      <c r="AO324" s="662" t="s">
        <v>960</v>
      </c>
      <c r="AP324" s="662" t="s">
        <v>202</v>
      </c>
      <c r="AQ324" s="662" t="s">
        <v>87</v>
      </c>
      <c r="AR324" s="662">
        <v>0</v>
      </c>
      <c r="AS324" s="662">
        <v>600</v>
      </c>
      <c r="AT324" s="662">
        <v>300</v>
      </c>
      <c r="AU324" s="662">
        <v>100</v>
      </c>
      <c r="AV324" s="662">
        <v>100</v>
      </c>
      <c r="AW324" s="662">
        <v>100</v>
      </c>
      <c r="AX324" s="662">
        <v>600</v>
      </c>
      <c r="AY324" s="637">
        <v>1500000000</v>
      </c>
      <c r="AZ324" s="637">
        <v>0</v>
      </c>
      <c r="BA324" s="637">
        <v>0</v>
      </c>
      <c r="BB324" s="637">
        <v>0</v>
      </c>
      <c r="BC324" s="697">
        <f t="shared" si="81"/>
        <v>1500000000</v>
      </c>
      <c r="BD324" s="662" t="s">
        <v>874</v>
      </c>
      <c r="BE324" s="662" t="s">
        <v>112</v>
      </c>
    </row>
    <row r="325" spans="1:57" ht="45">
      <c r="A325" s="571"/>
      <c r="B325" s="572"/>
      <c r="C325" s="572"/>
      <c r="D325" s="572"/>
      <c r="E325" s="572"/>
      <c r="F325" s="572"/>
      <c r="G325" s="572"/>
      <c r="H325" s="6"/>
      <c r="I325" s="6"/>
      <c r="J325" s="6"/>
      <c r="K325" s="6"/>
      <c r="L325" s="6"/>
      <c r="M325" s="6"/>
      <c r="N325" s="200"/>
      <c r="O325" s="200"/>
      <c r="P325" s="200"/>
      <c r="Q325" s="200"/>
      <c r="R325" s="200"/>
      <c r="S325" s="200"/>
      <c r="T325" s="200"/>
      <c r="U325" s="200"/>
      <c r="V325" s="200"/>
      <c r="W325" s="200"/>
      <c r="X325" s="200"/>
      <c r="Y325" s="200"/>
      <c r="Z325" s="200"/>
      <c r="AA325" s="200"/>
      <c r="AB325" s="200"/>
      <c r="AC325" s="200"/>
      <c r="AD325" s="200"/>
      <c r="AE325" s="200"/>
      <c r="AF325" s="200"/>
      <c r="AG325" s="200"/>
      <c r="AH325" s="200"/>
      <c r="AI325" s="662" t="s">
        <v>948</v>
      </c>
      <c r="AJ325" s="694">
        <f>+(0.063*100)/1</f>
        <v>6.3</v>
      </c>
      <c r="AK325" s="694">
        <f>+AJ325*C4</f>
        <v>0.63</v>
      </c>
      <c r="AL325" s="694">
        <f>+AJ325*D4</f>
        <v>2.835</v>
      </c>
      <c r="AM325" s="694">
        <f>+AJ325*E4</f>
        <v>1.575</v>
      </c>
      <c r="AN325" s="694">
        <f>+AJ325*F4</f>
        <v>1.26</v>
      </c>
      <c r="AO325" s="662" t="s">
        <v>961</v>
      </c>
      <c r="AP325" s="662" t="s">
        <v>202</v>
      </c>
      <c r="AQ325" s="662" t="s">
        <v>87</v>
      </c>
      <c r="AR325" s="662">
        <v>0</v>
      </c>
      <c r="AS325" s="662">
        <v>1</v>
      </c>
      <c r="AT325" s="662">
        <v>1</v>
      </c>
      <c r="AU325" s="662">
        <v>1</v>
      </c>
      <c r="AV325" s="662">
        <v>1</v>
      </c>
      <c r="AW325" s="662">
        <v>1</v>
      </c>
      <c r="AX325" s="662">
        <v>1</v>
      </c>
      <c r="AY325" s="637">
        <v>50000000</v>
      </c>
      <c r="AZ325" s="637">
        <v>50000000</v>
      </c>
      <c r="BA325" s="637">
        <v>50000000</v>
      </c>
      <c r="BB325" s="637">
        <v>50000000</v>
      </c>
      <c r="BC325" s="697">
        <f t="shared" si="81"/>
        <v>200000000</v>
      </c>
      <c r="BD325" s="662" t="s">
        <v>874</v>
      </c>
      <c r="BE325" s="662" t="s">
        <v>112</v>
      </c>
    </row>
    <row r="326" spans="1:57">
      <c r="A326" s="571"/>
      <c r="B326" s="572"/>
      <c r="C326" s="572"/>
      <c r="D326" s="572"/>
      <c r="E326" s="572"/>
      <c r="F326" s="572"/>
      <c r="G326" s="572"/>
      <c r="H326" s="6"/>
      <c r="I326" s="6"/>
      <c r="J326" s="6"/>
      <c r="K326" s="6"/>
      <c r="L326" s="6"/>
      <c r="M326" s="6"/>
      <c r="N326" s="200"/>
      <c r="O326" s="200"/>
      <c r="P326" s="200"/>
      <c r="Q326" s="200"/>
      <c r="R326" s="200"/>
      <c r="S326" s="200"/>
      <c r="T326" s="200"/>
      <c r="U326" s="200"/>
      <c r="V326" s="200"/>
      <c r="W326" s="200"/>
      <c r="X326" s="200"/>
      <c r="Y326" s="200"/>
      <c r="Z326" s="200"/>
      <c r="AA326" s="200"/>
      <c r="AB326" s="200"/>
      <c r="AC326" s="349" t="s">
        <v>1453</v>
      </c>
      <c r="AD326" s="420">
        <f>+AD313</f>
        <v>15</v>
      </c>
      <c r="AE326" s="209"/>
      <c r="AF326" s="209"/>
      <c r="AG326" s="209"/>
      <c r="AH326" s="209"/>
      <c r="AI326" s="126"/>
      <c r="AJ326" s="433">
        <f>SUM(AJ313:AJ325)</f>
        <v>100.1</v>
      </c>
      <c r="AK326" s="433"/>
      <c r="AL326" s="433"/>
      <c r="AM326" s="433"/>
      <c r="AN326" s="433"/>
      <c r="AO326" s="245"/>
      <c r="AP326" s="55"/>
      <c r="AQ326" s="55"/>
      <c r="AR326" s="288"/>
      <c r="AS326" s="279"/>
      <c r="AT326" s="110"/>
      <c r="AU326" s="110"/>
      <c r="AV326" s="110"/>
      <c r="AW326" s="110"/>
      <c r="AX326" s="211"/>
      <c r="AY326" s="230">
        <f>SUM(AY313:AY325)</f>
        <v>2405000000</v>
      </c>
      <c r="AZ326" s="230">
        <f t="shared" ref="AZ326:BB326" si="82">SUM(AZ313:AZ325)</f>
        <v>825000000</v>
      </c>
      <c r="BA326" s="230">
        <f t="shared" si="82"/>
        <v>665000000</v>
      </c>
      <c r="BB326" s="230">
        <f t="shared" si="82"/>
        <v>605000000</v>
      </c>
      <c r="BC326" s="230">
        <f>SUM(BC313:BC325)</f>
        <v>4500000000</v>
      </c>
      <c r="BD326" s="246"/>
      <c r="BE326" s="246"/>
    </row>
    <row r="327" spans="1:57" ht="67.5">
      <c r="A327" s="571"/>
      <c r="B327" s="572"/>
      <c r="C327" s="572"/>
      <c r="D327" s="572"/>
      <c r="E327" s="572"/>
      <c r="F327" s="572"/>
      <c r="G327" s="572"/>
      <c r="H327" s="6"/>
      <c r="I327" s="6"/>
      <c r="J327" s="6"/>
      <c r="K327" s="6"/>
      <c r="L327" s="6"/>
      <c r="M327" s="6"/>
      <c r="N327" s="200"/>
      <c r="O327" s="200"/>
      <c r="P327" s="200"/>
      <c r="Q327" s="200"/>
      <c r="R327" s="200"/>
      <c r="S327" s="200"/>
      <c r="T327" s="200"/>
      <c r="U327" s="200"/>
      <c r="V327" s="200"/>
      <c r="W327" s="200"/>
      <c r="X327" s="200"/>
      <c r="Y327" s="200"/>
      <c r="Z327" s="200"/>
      <c r="AA327" s="200"/>
      <c r="AB327" s="200"/>
      <c r="AC327" s="200" t="s">
        <v>934</v>
      </c>
      <c r="AD327" s="404">
        <f>+(0.25*100)/5</f>
        <v>5</v>
      </c>
      <c r="AE327" s="404">
        <f>+AD327*C4</f>
        <v>0.5</v>
      </c>
      <c r="AF327" s="404">
        <f>+AD327*D4</f>
        <v>2.25</v>
      </c>
      <c r="AG327" s="404">
        <f>+AD327*E4</f>
        <v>1.25</v>
      </c>
      <c r="AH327" s="404">
        <f>+AD327*F4</f>
        <v>1</v>
      </c>
      <c r="AI327" s="662" t="s">
        <v>964</v>
      </c>
      <c r="AJ327" s="694">
        <f>+(0.0266*100)/0.25</f>
        <v>10.639999999999999</v>
      </c>
      <c r="AK327" s="694">
        <v>5.85</v>
      </c>
      <c r="AL327" s="694">
        <v>4.79</v>
      </c>
      <c r="AM327" s="694">
        <v>0</v>
      </c>
      <c r="AN327" s="694">
        <v>0</v>
      </c>
      <c r="AO327" s="146" t="s">
        <v>971</v>
      </c>
      <c r="AP327" s="146" t="s">
        <v>202</v>
      </c>
      <c r="AQ327" s="146" t="s">
        <v>87</v>
      </c>
      <c r="AR327" s="146">
        <v>0</v>
      </c>
      <c r="AS327" s="146">
        <v>1000</v>
      </c>
      <c r="AT327" s="146">
        <v>500</v>
      </c>
      <c r="AU327" s="146">
        <v>500</v>
      </c>
      <c r="AV327" s="146">
        <v>0</v>
      </c>
      <c r="AW327" s="146">
        <v>0</v>
      </c>
      <c r="AX327" s="146">
        <v>1000</v>
      </c>
      <c r="AY327" s="635">
        <v>300000000</v>
      </c>
      <c r="AZ327" s="635">
        <v>0</v>
      </c>
      <c r="BA327" s="635">
        <v>200000000</v>
      </c>
      <c r="BB327" s="635">
        <v>0</v>
      </c>
      <c r="BC327" s="700">
        <f>SUM(AY327:BB327)</f>
        <v>500000000</v>
      </c>
      <c r="BD327" s="146" t="s">
        <v>874</v>
      </c>
      <c r="BE327" s="146" t="s">
        <v>132</v>
      </c>
    </row>
    <row r="328" spans="1:57" ht="88.5" customHeight="1">
      <c r="A328" s="571"/>
      <c r="B328" s="572"/>
      <c r="C328" s="572"/>
      <c r="D328" s="572"/>
      <c r="E328" s="572"/>
      <c r="F328" s="572"/>
      <c r="G328" s="572"/>
      <c r="H328" s="6"/>
      <c r="I328" s="6"/>
      <c r="J328" s="6"/>
      <c r="K328" s="6"/>
      <c r="L328" s="6"/>
      <c r="M328" s="6"/>
      <c r="N328" s="200"/>
      <c r="O328" s="200"/>
      <c r="P328" s="200"/>
      <c r="Q328" s="200"/>
      <c r="R328" s="200"/>
      <c r="S328" s="200"/>
      <c r="T328" s="200"/>
      <c r="U328" s="200"/>
      <c r="V328" s="200"/>
      <c r="W328" s="200"/>
      <c r="X328" s="200"/>
      <c r="Y328" s="200"/>
      <c r="Z328" s="200"/>
      <c r="AA328" s="200"/>
      <c r="AB328" s="200"/>
      <c r="AC328" s="200"/>
      <c r="AD328" s="376"/>
      <c r="AE328" s="200"/>
      <c r="AF328" s="200"/>
      <c r="AG328" s="200"/>
      <c r="AH328" s="200"/>
      <c r="AI328" s="662" t="s">
        <v>965</v>
      </c>
      <c r="AJ328" s="694">
        <f>+(0.029*100)/0.25</f>
        <v>11.600000000000001</v>
      </c>
      <c r="AK328" s="694">
        <v>6.38</v>
      </c>
      <c r="AL328" s="694">
        <v>2.61</v>
      </c>
      <c r="AM328" s="694">
        <v>2.61</v>
      </c>
      <c r="AN328" s="694">
        <v>0</v>
      </c>
      <c r="AO328" s="146" t="s">
        <v>972</v>
      </c>
      <c r="AP328" s="146" t="s">
        <v>202</v>
      </c>
      <c r="AQ328" s="146" t="s">
        <v>87</v>
      </c>
      <c r="AR328" s="146">
        <v>0</v>
      </c>
      <c r="AS328" s="146">
        <v>5</v>
      </c>
      <c r="AT328" s="146">
        <v>3</v>
      </c>
      <c r="AU328" s="146">
        <v>1</v>
      </c>
      <c r="AV328" s="146">
        <v>1</v>
      </c>
      <c r="AW328" s="146">
        <v>0</v>
      </c>
      <c r="AX328" s="146">
        <v>5</v>
      </c>
      <c r="AY328" s="635">
        <v>400000000</v>
      </c>
      <c r="AZ328" s="635">
        <v>0</v>
      </c>
      <c r="BA328" s="635">
        <v>200000000</v>
      </c>
      <c r="BB328" s="635">
        <v>0</v>
      </c>
      <c r="BC328" s="700">
        <f t="shared" ref="BC328:BC333" si="83">SUM(AY328:BB328)</f>
        <v>600000000</v>
      </c>
      <c r="BD328" s="146" t="s">
        <v>874</v>
      </c>
      <c r="BE328" s="146" t="s">
        <v>132</v>
      </c>
    </row>
    <row r="329" spans="1:57" ht="66.75" customHeight="1">
      <c r="A329" s="571"/>
      <c r="B329" s="572"/>
      <c r="C329" s="572"/>
      <c r="D329" s="572"/>
      <c r="E329" s="572"/>
      <c r="F329" s="572"/>
      <c r="G329" s="572"/>
      <c r="H329" s="6"/>
      <c r="I329" s="6"/>
      <c r="J329" s="6"/>
      <c r="K329" s="6"/>
      <c r="L329" s="6"/>
      <c r="M329" s="6"/>
      <c r="N329" s="200"/>
      <c r="O329" s="200"/>
      <c r="P329" s="200"/>
      <c r="Q329" s="200"/>
      <c r="R329" s="200"/>
      <c r="S329" s="200"/>
      <c r="T329" s="200"/>
      <c r="U329" s="200"/>
      <c r="V329" s="200"/>
      <c r="W329" s="200"/>
      <c r="X329" s="200"/>
      <c r="Y329" s="200"/>
      <c r="Z329" s="200"/>
      <c r="AA329" s="200"/>
      <c r="AB329" s="200"/>
      <c r="AC329" s="200"/>
      <c r="AD329" s="200"/>
      <c r="AE329" s="200"/>
      <c r="AF329" s="200"/>
      <c r="AG329" s="200"/>
      <c r="AH329" s="200"/>
      <c r="AI329" s="662" t="s">
        <v>966</v>
      </c>
      <c r="AJ329" s="694">
        <f>+(0.0906*100)/0.25</f>
        <v>36.24</v>
      </c>
      <c r="AK329" s="694">
        <v>0</v>
      </c>
      <c r="AL329" s="694">
        <v>20</v>
      </c>
      <c r="AM329" s="694">
        <v>16.239999999999998</v>
      </c>
      <c r="AN329" s="694">
        <v>0</v>
      </c>
      <c r="AO329" s="679" t="s">
        <v>973</v>
      </c>
      <c r="AP329" s="146" t="s">
        <v>202</v>
      </c>
      <c r="AQ329" s="146" t="s">
        <v>87</v>
      </c>
      <c r="AR329" s="146">
        <v>1</v>
      </c>
      <c r="AS329" s="146">
        <v>7</v>
      </c>
      <c r="AT329" s="146">
        <v>0</v>
      </c>
      <c r="AU329" s="146">
        <v>4</v>
      </c>
      <c r="AV329" s="146">
        <v>3</v>
      </c>
      <c r="AW329" s="146">
        <v>0</v>
      </c>
      <c r="AX329" s="146">
        <v>7</v>
      </c>
      <c r="AY329" s="272">
        <v>0</v>
      </c>
      <c r="AZ329" s="272">
        <v>200000000</v>
      </c>
      <c r="BA329" s="272"/>
      <c r="BB329" s="272"/>
      <c r="BC329" s="700">
        <f t="shared" si="83"/>
        <v>200000000</v>
      </c>
      <c r="BD329" s="701" t="s">
        <v>874</v>
      </c>
      <c r="BE329" s="701" t="s">
        <v>132</v>
      </c>
    </row>
    <row r="330" spans="1:57" ht="33.75">
      <c r="A330" s="571"/>
      <c r="B330" s="572"/>
      <c r="C330" s="572"/>
      <c r="D330" s="572"/>
      <c r="E330" s="572"/>
      <c r="F330" s="572"/>
      <c r="G330" s="572"/>
      <c r="H330" s="6"/>
      <c r="I330" s="6"/>
      <c r="J330" s="6"/>
      <c r="K330" s="6"/>
      <c r="L330" s="6"/>
      <c r="M330" s="6"/>
      <c r="N330" s="200"/>
      <c r="O330" s="200"/>
      <c r="P330" s="200"/>
      <c r="Q330" s="200"/>
      <c r="R330" s="200"/>
      <c r="S330" s="200"/>
      <c r="T330" s="200"/>
      <c r="U330" s="200"/>
      <c r="V330" s="200"/>
      <c r="W330" s="200"/>
      <c r="X330" s="200"/>
      <c r="Y330" s="200"/>
      <c r="Z330" s="200"/>
      <c r="AA330" s="200"/>
      <c r="AB330" s="200"/>
      <c r="AC330" s="200"/>
      <c r="AD330" s="200"/>
      <c r="AE330" s="200"/>
      <c r="AF330" s="200"/>
      <c r="AG330" s="200"/>
      <c r="AH330" s="200"/>
      <c r="AI330" s="662" t="s">
        <v>967</v>
      </c>
      <c r="AJ330" s="694">
        <f>+(0.0224*100)/0.25</f>
        <v>8.9599999999999991</v>
      </c>
      <c r="AK330" s="694">
        <f>+AJ330*C4</f>
        <v>0.89599999999999991</v>
      </c>
      <c r="AL330" s="694">
        <v>8.06</v>
      </c>
      <c r="AM330" s="694">
        <v>0</v>
      </c>
      <c r="AN330" s="694">
        <v>0</v>
      </c>
      <c r="AO330" s="679" t="s">
        <v>974</v>
      </c>
      <c r="AP330" s="146" t="s">
        <v>202</v>
      </c>
      <c r="AQ330" s="146" t="s">
        <v>87</v>
      </c>
      <c r="AR330" s="702">
        <v>0</v>
      </c>
      <c r="AS330" s="146">
        <v>1</v>
      </c>
      <c r="AT330" s="146">
        <v>1</v>
      </c>
      <c r="AU330" s="146">
        <v>1</v>
      </c>
      <c r="AV330" s="146">
        <v>0</v>
      </c>
      <c r="AW330" s="146">
        <v>0</v>
      </c>
      <c r="AX330" s="146">
        <v>1</v>
      </c>
      <c r="AY330" s="272">
        <v>200000000</v>
      </c>
      <c r="AZ330" s="272">
        <v>0</v>
      </c>
      <c r="BA330" s="272">
        <v>200000000</v>
      </c>
      <c r="BB330" s="272">
        <v>0</v>
      </c>
      <c r="BC330" s="700">
        <f t="shared" si="83"/>
        <v>400000000</v>
      </c>
      <c r="BD330" s="701" t="s">
        <v>874</v>
      </c>
      <c r="BE330" s="701" t="s">
        <v>132</v>
      </c>
    </row>
    <row r="331" spans="1:57" ht="33.75">
      <c r="A331" s="571"/>
      <c r="B331" s="572"/>
      <c r="C331" s="572"/>
      <c r="D331" s="572"/>
      <c r="E331" s="572"/>
      <c r="F331" s="572"/>
      <c r="G331" s="572"/>
      <c r="H331" s="6"/>
      <c r="I331" s="6"/>
      <c r="J331" s="6"/>
      <c r="K331" s="6"/>
      <c r="L331" s="6"/>
      <c r="M331" s="6"/>
      <c r="N331" s="200"/>
      <c r="O331" s="200"/>
      <c r="P331" s="200"/>
      <c r="Q331" s="200"/>
      <c r="R331" s="200"/>
      <c r="S331" s="200"/>
      <c r="T331" s="200"/>
      <c r="U331" s="200"/>
      <c r="V331" s="200"/>
      <c r="W331" s="200"/>
      <c r="X331" s="200"/>
      <c r="Y331" s="200"/>
      <c r="Z331" s="200"/>
      <c r="AA331" s="200"/>
      <c r="AB331" s="200"/>
      <c r="AC331" s="200"/>
      <c r="AD331" s="200"/>
      <c r="AE331" s="200"/>
      <c r="AF331" s="200"/>
      <c r="AG331" s="200"/>
      <c r="AH331" s="200"/>
      <c r="AI331" s="662" t="s">
        <v>968</v>
      </c>
      <c r="AJ331" s="694">
        <f>+(0.0079*100)/0.25</f>
        <v>3.16</v>
      </c>
      <c r="AK331" s="694">
        <f>+AJ331*C4</f>
        <v>0.31600000000000006</v>
      </c>
      <c r="AL331" s="694">
        <v>0</v>
      </c>
      <c r="AM331" s="694">
        <v>2.84</v>
      </c>
      <c r="AN331" s="694">
        <v>0</v>
      </c>
      <c r="AO331" s="679" t="s">
        <v>975</v>
      </c>
      <c r="AP331" s="146" t="s">
        <v>202</v>
      </c>
      <c r="AQ331" s="146" t="s">
        <v>88</v>
      </c>
      <c r="AR331" s="703">
        <v>0</v>
      </c>
      <c r="AS331" s="8">
        <v>0.2</v>
      </c>
      <c r="AT331" s="366">
        <v>0.1</v>
      </c>
      <c r="AU331" s="146">
        <v>0</v>
      </c>
      <c r="AV331" s="366">
        <v>0.2</v>
      </c>
      <c r="AW331" s="146">
        <v>0</v>
      </c>
      <c r="AX331" s="8">
        <v>0.2</v>
      </c>
      <c r="AY331" s="272">
        <v>50000000</v>
      </c>
      <c r="AZ331" s="272">
        <v>0</v>
      </c>
      <c r="BA331" s="272">
        <v>50000000</v>
      </c>
      <c r="BB331" s="272">
        <v>0</v>
      </c>
      <c r="BC331" s="700">
        <f t="shared" si="83"/>
        <v>100000000</v>
      </c>
      <c r="BD331" s="704" t="s">
        <v>874</v>
      </c>
      <c r="BE331" s="704" t="s">
        <v>132</v>
      </c>
    </row>
    <row r="332" spans="1:57" ht="56.25">
      <c r="A332" s="571"/>
      <c r="B332" s="572"/>
      <c r="C332" s="572"/>
      <c r="D332" s="572"/>
      <c r="E332" s="572"/>
      <c r="F332" s="572"/>
      <c r="G332" s="572"/>
      <c r="H332" s="6"/>
      <c r="I332" s="6"/>
      <c r="J332" s="6"/>
      <c r="K332" s="6"/>
      <c r="L332" s="6"/>
      <c r="M332" s="6"/>
      <c r="N332" s="200"/>
      <c r="O332" s="200"/>
      <c r="P332" s="200"/>
      <c r="Q332" s="200"/>
      <c r="R332" s="200"/>
      <c r="S332" s="200"/>
      <c r="T332" s="200"/>
      <c r="U332" s="200"/>
      <c r="V332" s="200"/>
      <c r="W332" s="200"/>
      <c r="X332" s="200"/>
      <c r="Y332" s="200"/>
      <c r="Z332" s="200"/>
      <c r="AA332" s="200"/>
      <c r="AB332" s="200"/>
      <c r="AC332" s="200"/>
      <c r="AD332" s="200"/>
      <c r="AE332" s="200"/>
      <c r="AF332" s="200"/>
      <c r="AG332" s="200"/>
      <c r="AH332" s="200"/>
      <c r="AI332" s="662" t="s">
        <v>969</v>
      </c>
      <c r="AJ332" s="694">
        <f>+(0.0668*100)/0.25</f>
        <v>26.72</v>
      </c>
      <c r="AK332" s="694">
        <f>+AJ332*C4</f>
        <v>2.6720000000000002</v>
      </c>
      <c r="AL332" s="694">
        <f>+AJ332*D4</f>
        <v>12.023999999999999</v>
      </c>
      <c r="AM332" s="694">
        <f>+AJ332*E4</f>
        <v>6.68</v>
      </c>
      <c r="AN332" s="694">
        <f>+AJ332*F4</f>
        <v>5.3440000000000003</v>
      </c>
      <c r="AO332" s="679" t="s">
        <v>976</v>
      </c>
      <c r="AP332" s="146" t="s">
        <v>202</v>
      </c>
      <c r="AQ332" s="146" t="s">
        <v>87</v>
      </c>
      <c r="AR332" s="702">
        <v>0</v>
      </c>
      <c r="AS332" s="146">
        <v>1</v>
      </c>
      <c r="AT332" s="146">
        <v>1</v>
      </c>
      <c r="AU332" s="146">
        <v>1</v>
      </c>
      <c r="AV332" s="146">
        <v>1</v>
      </c>
      <c r="AW332" s="146">
        <v>1</v>
      </c>
      <c r="AX332" s="146">
        <v>1</v>
      </c>
      <c r="AY332" s="272">
        <v>50000000</v>
      </c>
      <c r="AZ332" s="272">
        <v>50000000</v>
      </c>
      <c r="BA332" s="272">
        <v>30000000</v>
      </c>
      <c r="BB332" s="272">
        <v>50000000</v>
      </c>
      <c r="BC332" s="700">
        <f t="shared" si="83"/>
        <v>180000000</v>
      </c>
      <c r="BD332" s="704" t="s">
        <v>874</v>
      </c>
      <c r="BE332" s="704" t="s">
        <v>132</v>
      </c>
    </row>
    <row r="333" spans="1:57" ht="33.75">
      <c r="A333" s="571"/>
      <c r="B333" s="572"/>
      <c r="C333" s="572"/>
      <c r="D333" s="572"/>
      <c r="E333" s="572"/>
      <c r="F333" s="572"/>
      <c r="G333" s="572"/>
      <c r="H333" s="6"/>
      <c r="I333" s="6"/>
      <c r="J333" s="6"/>
      <c r="K333" s="6"/>
      <c r="L333" s="6"/>
      <c r="M333" s="6"/>
      <c r="N333" s="200"/>
      <c r="O333" s="200"/>
      <c r="P333" s="200"/>
      <c r="Q333" s="200"/>
      <c r="R333" s="200"/>
      <c r="S333" s="200"/>
      <c r="T333" s="200"/>
      <c r="U333" s="200"/>
      <c r="V333" s="200"/>
      <c r="W333" s="200"/>
      <c r="X333" s="200"/>
      <c r="Y333" s="200"/>
      <c r="Z333" s="200"/>
      <c r="AA333" s="200"/>
      <c r="AB333" s="200"/>
      <c r="AC333" s="200"/>
      <c r="AD333" s="200"/>
      <c r="AE333" s="200"/>
      <c r="AF333" s="200"/>
      <c r="AG333" s="200"/>
      <c r="AH333" s="200"/>
      <c r="AI333" s="662" t="s">
        <v>970</v>
      </c>
      <c r="AJ333" s="694">
        <f>+(0.0079*100)/0.25</f>
        <v>3.16</v>
      </c>
      <c r="AK333" s="694">
        <v>1.74</v>
      </c>
      <c r="AL333" s="694">
        <v>0</v>
      </c>
      <c r="AM333" s="694">
        <v>1.42</v>
      </c>
      <c r="AN333" s="694">
        <v>0</v>
      </c>
      <c r="AO333" s="146" t="s">
        <v>977</v>
      </c>
      <c r="AP333" s="198" t="s">
        <v>1454</v>
      </c>
      <c r="AQ333" s="146" t="s">
        <v>87</v>
      </c>
      <c r="AR333" s="146">
        <v>56</v>
      </c>
      <c r="AS333" s="146">
        <v>45</v>
      </c>
      <c r="AT333" s="146">
        <v>50</v>
      </c>
      <c r="AU333" s="146">
        <v>0</v>
      </c>
      <c r="AV333" s="146">
        <v>45</v>
      </c>
      <c r="AW333" s="146">
        <v>0</v>
      </c>
      <c r="AX333" s="146">
        <v>45</v>
      </c>
      <c r="AY333" s="303">
        <v>50000000</v>
      </c>
      <c r="AZ333" s="303">
        <v>0</v>
      </c>
      <c r="BA333" s="303">
        <v>50000000</v>
      </c>
      <c r="BB333" s="303">
        <v>0</v>
      </c>
      <c r="BC333" s="700">
        <f t="shared" si="83"/>
        <v>100000000</v>
      </c>
      <c r="BD333" s="157" t="s">
        <v>874</v>
      </c>
      <c r="BE333" s="157" t="s">
        <v>132</v>
      </c>
    </row>
    <row r="334" spans="1:57">
      <c r="A334" s="571"/>
      <c r="B334" s="572"/>
      <c r="C334" s="572"/>
      <c r="D334" s="572"/>
      <c r="E334" s="572"/>
      <c r="F334" s="572"/>
      <c r="G334" s="572"/>
      <c r="H334" s="6"/>
      <c r="I334" s="6"/>
      <c r="J334" s="6"/>
      <c r="K334" s="6"/>
      <c r="L334" s="6"/>
      <c r="M334" s="6"/>
      <c r="N334" s="184"/>
      <c r="O334" s="184"/>
      <c r="P334" s="184"/>
      <c r="Q334" s="184"/>
      <c r="R334" s="184"/>
      <c r="S334" s="184"/>
      <c r="T334" s="184"/>
      <c r="U334" s="184"/>
      <c r="V334" s="184"/>
      <c r="W334" s="184"/>
      <c r="X334" s="184"/>
      <c r="Y334" s="184"/>
      <c r="Z334" s="184"/>
      <c r="AA334" s="184"/>
      <c r="AB334" s="184"/>
      <c r="AC334" s="349" t="s">
        <v>1453</v>
      </c>
      <c r="AD334" s="420">
        <f>+AD327</f>
        <v>5</v>
      </c>
      <c r="AE334" s="174"/>
      <c r="AF334" s="174"/>
      <c r="AG334" s="174"/>
      <c r="AH334" s="174"/>
      <c r="AI334" s="248"/>
      <c r="AJ334" s="437">
        <f>SUM(AJ327:AJ333)</f>
        <v>100.47999999999999</v>
      </c>
      <c r="AK334" s="437"/>
      <c r="AL334" s="437"/>
      <c r="AM334" s="437"/>
      <c r="AN334" s="437"/>
      <c r="AO334" s="248"/>
      <c r="AP334" s="186"/>
      <c r="AQ334" s="228"/>
      <c r="AR334" s="280"/>
      <c r="AS334" s="281"/>
      <c r="AT334" s="281"/>
      <c r="AU334" s="281"/>
      <c r="AV334" s="281"/>
      <c r="AW334" s="281"/>
      <c r="AX334" s="281"/>
      <c r="AY334" s="234">
        <f>SUM(AY327:AY333)</f>
        <v>1050000000</v>
      </c>
      <c r="AZ334" s="234">
        <f t="shared" ref="AZ334:BC334" si="84">SUM(AZ327:AZ333)</f>
        <v>250000000</v>
      </c>
      <c r="BA334" s="234">
        <f t="shared" si="84"/>
        <v>730000000</v>
      </c>
      <c r="BB334" s="234">
        <f t="shared" si="84"/>
        <v>50000000</v>
      </c>
      <c r="BC334" s="234">
        <f t="shared" si="84"/>
        <v>2080000000</v>
      </c>
      <c r="BD334" s="174"/>
      <c r="BE334" s="174"/>
    </row>
    <row r="335" spans="1:57" ht="112.5" customHeight="1">
      <c r="A335" s="571"/>
      <c r="B335" s="572"/>
      <c r="C335" s="572"/>
      <c r="D335" s="572"/>
      <c r="E335" s="572"/>
      <c r="F335" s="572"/>
      <c r="G335" s="572"/>
      <c r="H335" s="6"/>
      <c r="I335" s="6"/>
      <c r="J335" s="6"/>
      <c r="K335" s="6"/>
      <c r="L335" s="6"/>
      <c r="M335" s="6"/>
      <c r="N335" s="705" t="s">
        <v>906</v>
      </c>
      <c r="O335" s="404">
        <f>+(0.5*100)/5</f>
        <v>10</v>
      </c>
      <c r="P335" s="158">
        <f>+O335*C4</f>
        <v>1</v>
      </c>
      <c r="Q335" s="158">
        <f>+O335*D4</f>
        <v>4.5</v>
      </c>
      <c r="R335" s="158">
        <f>+O335*E4</f>
        <v>2.5</v>
      </c>
      <c r="S335" s="158">
        <f>+O335*F4</f>
        <v>2</v>
      </c>
      <c r="T335" s="706" t="s">
        <v>919</v>
      </c>
      <c r="U335" s="192" t="s">
        <v>202</v>
      </c>
      <c r="V335" s="157" t="s">
        <v>88</v>
      </c>
      <c r="W335" s="707">
        <v>0</v>
      </c>
      <c r="X335" s="367">
        <v>0.2</v>
      </c>
      <c r="Y335" s="367">
        <v>0.2</v>
      </c>
      <c r="Z335" s="367">
        <v>0.2</v>
      </c>
      <c r="AA335" s="367">
        <v>0.2</v>
      </c>
      <c r="AB335" s="367">
        <v>0.2</v>
      </c>
      <c r="AC335" s="706" t="s">
        <v>935</v>
      </c>
      <c r="AD335" s="404">
        <f>+(0.5*100)/5</f>
        <v>10</v>
      </c>
      <c r="AE335" s="404">
        <f>+AD335*C4</f>
        <v>1</v>
      </c>
      <c r="AF335" s="404">
        <f>+AD335*D4</f>
        <v>4.5</v>
      </c>
      <c r="AG335" s="404">
        <f>+AD335*E4</f>
        <v>2.5</v>
      </c>
      <c r="AH335" s="404">
        <f>+AD335*F4</f>
        <v>2</v>
      </c>
      <c r="AI335" s="679" t="s">
        <v>978</v>
      </c>
      <c r="AJ335" s="694">
        <f>+(0.037*100)/0.5</f>
        <v>7.3999999999999995</v>
      </c>
      <c r="AK335" s="694">
        <f>+AJ335*C4</f>
        <v>0.74</v>
      </c>
      <c r="AL335" s="694">
        <f>+AJ335*D4</f>
        <v>3.3299999999999996</v>
      </c>
      <c r="AM335" s="694">
        <f>+AJ335*E4</f>
        <v>1.8499999999999999</v>
      </c>
      <c r="AN335" s="694">
        <f>+AJ335*F4</f>
        <v>1.48</v>
      </c>
      <c r="AO335" s="679" t="s">
        <v>986</v>
      </c>
      <c r="AP335" s="146" t="s">
        <v>202</v>
      </c>
      <c r="AQ335" s="147" t="s">
        <v>87</v>
      </c>
      <c r="AR335" s="702">
        <v>0</v>
      </c>
      <c r="AS335" s="146">
        <v>23</v>
      </c>
      <c r="AT335" s="146">
        <v>7</v>
      </c>
      <c r="AU335" s="146">
        <v>6</v>
      </c>
      <c r="AV335" s="146">
        <v>5</v>
      </c>
      <c r="AW335" s="146">
        <v>5</v>
      </c>
      <c r="AX335" s="146">
        <v>23</v>
      </c>
      <c r="AY335" s="272">
        <v>50000000</v>
      </c>
      <c r="AZ335" s="272">
        <v>50000000</v>
      </c>
      <c r="BA335" s="272">
        <v>50000000</v>
      </c>
      <c r="BB335" s="272">
        <v>50000000</v>
      </c>
      <c r="BC335" s="657">
        <f>SUM(AY335:BB335)</f>
        <v>200000000</v>
      </c>
      <c r="BD335" s="267"/>
      <c r="BE335" s="267"/>
    </row>
    <row r="336" spans="1:57" ht="123.75">
      <c r="A336" s="571"/>
      <c r="B336" s="572"/>
      <c r="C336" s="572"/>
      <c r="D336" s="572"/>
      <c r="E336" s="572"/>
      <c r="F336" s="572"/>
      <c r="G336" s="572"/>
      <c r="H336" s="6"/>
      <c r="I336" s="6"/>
      <c r="J336" s="6"/>
      <c r="K336" s="6"/>
      <c r="L336" s="6"/>
      <c r="M336" s="6"/>
      <c r="N336" s="706"/>
      <c r="O336" s="683"/>
      <c r="P336" s="683"/>
      <c r="Q336" s="683"/>
      <c r="R336" s="683"/>
      <c r="S336" s="683"/>
      <c r="T336" s="706"/>
      <c r="U336" s="4"/>
      <c r="V336" s="4"/>
      <c r="W336" s="706"/>
      <c r="X336" s="6"/>
      <c r="Y336" s="6"/>
      <c r="Z336" s="6"/>
      <c r="AA336" s="6"/>
      <c r="AB336" s="6"/>
      <c r="AC336" s="706"/>
      <c r="AD336" s="376"/>
      <c r="AE336" s="706"/>
      <c r="AF336" s="706"/>
      <c r="AG336" s="706"/>
      <c r="AH336" s="706"/>
      <c r="AI336" s="679" t="s">
        <v>979</v>
      </c>
      <c r="AJ336" s="694">
        <f>+(0.183*100)/0.5</f>
        <v>36.6</v>
      </c>
      <c r="AK336" s="694">
        <f>+AJ336*C4</f>
        <v>3.66</v>
      </c>
      <c r="AL336" s="694">
        <f>+AJ336*D4</f>
        <v>16.470000000000002</v>
      </c>
      <c r="AM336" s="694">
        <f>+AJ336*E4</f>
        <v>9.15</v>
      </c>
      <c r="AN336" s="694">
        <f>+AJ336*F4</f>
        <v>7.32</v>
      </c>
      <c r="AO336" s="679" t="s">
        <v>987</v>
      </c>
      <c r="AP336" s="146" t="s">
        <v>202</v>
      </c>
      <c r="AQ336" s="147" t="s">
        <v>87</v>
      </c>
      <c r="AR336" s="702">
        <v>0</v>
      </c>
      <c r="AS336" s="146">
        <v>90</v>
      </c>
      <c r="AT336" s="146">
        <v>22</v>
      </c>
      <c r="AU336" s="146">
        <v>24</v>
      </c>
      <c r="AV336" s="146">
        <v>24</v>
      </c>
      <c r="AW336" s="146">
        <v>20</v>
      </c>
      <c r="AX336" s="146">
        <v>90</v>
      </c>
      <c r="AY336" s="272">
        <v>250000000</v>
      </c>
      <c r="AZ336" s="272">
        <v>250000000</v>
      </c>
      <c r="BA336" s="272">
        <v>250000000</v>
      </c>
      <c r="BB336" s="272">
        <v>250000000</v>
      </c>
      <c r="BC336" s="657">
        <f t="shared" ref="BC336:BC342" si="85">SUM(AY336:BB336)</f>
        <v>1000000000</v>
      </c>
      <c r="BD336" s="267"/>
      <c r="BE336" s="267"/>
    </row>
    <row r="337" spans="1:57" ht="101.25">
      <c r="A337" s="571"/>
      <c r="B337" s="572"/>
      <c r="C337" s="572"/>
      <c r="D337" s="572"/>
      <c r="E337" s="572"/>
      <c r="F337" s="572"/>
      <c r="G337" s="572"/>
      <c r="H337" s="6"/>
      <c r="I337" s="6"/>
      <c r="J337" s="6"/>
      <c r="K337" s="6"/>
      <c r="L337" s="6"/>
      <c r="M337" s="6"/>
      <c r="N337" s="706"/>
      <c r="O337" s="683"/>
      <c r="P337" s="683"/>
      <c r="Q337" s="683"/>
      <c r="R337" s="683"/>
      <c r="S337" s="683"/>
      <c r="T337" s="706"/>
      <c r="U337" s="4"/>
      <c r="V337" s="708"/>
      <c r="W337" s="706"/>
      <c r="X337" s="6"/>
      <c r="Y337" s="6"/>
      <c r="Z337" s="6"/>
      <c r="AA337" s="6"/>
      <c r="AB337" s="6"/>
      <c r="AC337" s="706"/>
      <c r="AD337" s="706"/>
      <c r="AE337" s="706"/>
      <c r="AF337" s="706"/>
      <c r="AG337" s="706"/>
      <c r="AH337" s="706"/>
      <c r="AI337" s="679" t="s">
        <v>980</v>
      </c>
      <c r="AJ337" s="694">
        <f>+(0.072*100)/0.5</f>
        <v>14.399999999999999</v>
      </c>
      <c r="AK337" s="694">
        <f>+AJ337*C4</f>
        <v>1.44</v>
      </c>
      <c r="AL337" s="694">
        <f>+AJ337*D4</f>
        <v>6.4799999999999995</v>
      </c>
      <c r="AM337" s="694">
        <f>+AJ337*E4</f>
        <v>3.5999999999999996</v>
      </c>
      <c r="AN337" s="694">
        <f>+AJ337*F4</f>
        <v>2.88</v>
      </c>
      <c r="AO337" s="679" t="s">
        <v>988</v>
      </c>
      <c r="AP337" s="146" t="s">
        <v>202</v>
      </c>
      <c r="AQ337" s="147" t="s">
        <v>87</v>
      </c>
      <c r="AR337" s="702">
        <v>0</v>
      </c>
      <c r="AS337" s="146">
        <v>25</v>
      </c>
      <c r="AT337" s="146">
        <v>7</v>
      </c>
      <c r="AU337" s="146">
        <v>7</v>
      </c>
      <c r="AV337" s="146">
        <v>6</v>
      </c>
      <c r="AW337" s="146">
        <v>5</v>
      </c>
      <c r="AX337" s="146">
        <v>25</v>
      </c>
      <c r="AY337" s="272">
        <v>100000000</v>
      </c>
      <c r="AZ337" s="272">
        <v>100000000</v>
      </c>
      <c r="BA337" s="272">
        <v>100000000</v>
      </c>
      <c r="BB337" s="272">
        <v>100000000</v>
      </c>
      <c r="BC337" s="657">
        <f t="shared" si="85"/>
        <v>400000000</v>
      </c>
      <c r="BD337" s="267"/>
      <c r="BE337" s="267"/>
    </row>
    <row r="338" spans="1:57" ht="78.75">
      <c r="A338" s="571"/>
      <c r="B338" s="572"/>
      <c r="C338" s="572"/>
      <c r="D338" s="572"/>
      <c r="E338" s="572"/>
      <c r="F338" s="572"/>
      <c r="G338" s="572"/>
      <c r="H338" s="6"/>
      <c r="I338" s="6"/>
      <c r="J338" s="6"/>
      <c r="K338" s="6"/>
      <c r="L338" s="6"/>
      <c r="M338" s="6"/>
      <c r="N338" s="706"/>
      <c r="O338" s="683"/>
      <c r="P338" s="683"/>
      <c r="Q338" s="683"/>
      <c r="R338" s="683"/>
      <c r="S338" s="683"/>
      <c r="T338" s="706"/>
      <c r="U338" s="4"/>
      <c r="V338" s="708"/>
      <c r="W338" s="706"/>
      <c r="X338" s="6"/>
      <c r="Y338" s="6"/>
      <c r="Z338" s="6"/>
      <c r="AA338" s="6"/>
      <c r="AB338" s="6"/>
      <c r="AC338" s="706"/>
      <c r="AD338" s="706"/>
      <c r="AE338" s="706"/>
      <c r="AF338" s="706"/>
      <c r="AG338" s="706"/>
      <c r="AH338" s="706"/>
      <c r="AI338" s="679" t="s">
        <v>981</v>
      </c>
      <c r="AJ338" s="694">
        <f>+(0.026*100)/0.5</f>
        <v>5.2</v>
      </c>
      <c r="AK338" s="694">
        <f>+AJ338*C4</f>
        <v>0.52</v>
      </c>
      <c r="AL338" s="694">
        <f>+AJ338*D4</f>
        <v>2.3400000000000003</v>
      </c>
      <c r="AM338" s="694">
        <f>+AJ338*E4</f>
        <v>1.3</v>
      </c>
      <c r="AN338" s="694">
        <f>+AJ338*F4</f>
        <v>1.04</v>
      </c>
      <c r="AO338" s="679" t="s">
        <v>989</v>
      </c>
      <c r="AP338" s="146" t="s">
        <v>202</v>
      </c>
      <c r="AQ338" s="147" t="s">
        <v>87</v>
      </c>
      <c r="AR338" s="702">
        <v>0</v>
      </c>
      <c r="AS338" s="146">
        <v>10</v>
      </c>
      <c r="AT338" s="146">
        <v>3</v>
      </c>
      <c r="AU338" s="146">
        <v>3</v>
      </c>
      <c r="AV338" s="146">
        <v>2</v>
      </c>
      <c r="AW338" s="146">
        <v>2</v>
      </c>
      <c r="AX338" s="146">
        <v>10</v>
      </c>
      <c r="AY338" s="272">
        <v>50000000</v>
      </c>
      <c r="AZ338" s="272">
        <v>25000000</v>
      </c>
      <c r="BA338" s="272">
        <v>35000000</v>
      </c>
      <c r="BB338" s="272">
        <v>50000000</v>
      </c>
      <c r="BC338" s="657">
        <f t="shared" si="85"/>
        <v>160000000</v>
      </c>
      <c r="BD338" s="267"/>
      <c r="BE338" s="267"/>
    </row>
    <row r="339" spans="1:57" ht="67.5">
      <c r="A339" s="571"/>
      <c r="B339" s="572"/>
      <c r="C339" s="572"/>
      <c r="D339" s="572"/>
      <c r="E339" s="572"/>
      <c r="F339" s="572"/>
      <c r="G339" s="572"/>
      <c r="H339" s="6"/>
      <c r="I339" s="6"/>
      <c r="J339" s="6"/>
      <c r="K339" s="6"/>
      <c r="L339" s="6"/>
      <c r="M339" s="6"/>
      <c r="N339" s="706"/>
      <c r="O339" s="683"/>
      <c r="P339" s="683"/>
      <c r="Q339" s="683"/>
      <c r="R339" s="683"/>
      <c r="S339" s="683"/>
      <c r="T339" s="706"/>
      <c r="U339" s="4"/>
      <c r="V339" s="708"/>
      <c r="W339" s="706"/>
      <c r="X339" s="6"/>
      <c r="Y339" s="6"/>
      <c r="Z339" s="6"/>
      <c r="AA339" s="6"/>
      <c r="AB339" s="6"/>
      <c r="AC339" s="706"/>
      <c r="AD339" s="706"/>
      <c r="AE339" s="706"/>
      <c r="AF339" s="706"/>
      <c r="AG339" s="706"/>
      <c r="AH339" s="706"/>
      <c r="AI339" s="679" t="s">
        <v>982</v>
      </c>
      <c r="AJ339" s="694">
        <f>+(0.019*100)/0.5</f>
        <v>3.8</v>
      </c>
      <c r="AK339" s="694">
        <f>+AJ339*C4</f>
        <v>0.38</v>
      </c>
      <c r="AL339" s="694">
        <f>+AJ339*D4</f>
        <v>1.71</v>
      </c>
      <c r="AM339" s="694">
        <f>+AJ339*E4</f>
        <v>0.95</v>
      </c>
      <c r="AN339" s="694">
        <f>+AJ339*F4</f>
        <v>0.76</v>
      </c>
      <c r="AO339" s="595" t="s">
        <v>989</v>
      </c>
      <c r="AP339" s="146" t="s">
        <v>202</v>
      </c>
      <c r="AQ339" s="147" t="s">
        <v>87</v>
      </c>
      <c r="AR339" s="702">
        <v>0</v>
      </c>
      <c r="AS339" s="146">
        <v>10</v>
      </c>
      <c r="AT339" s="146">
        <v>3</v>
      </c>
      <c r="AU339" s="146">
        <v>3</v>
      </c>
      <c r="AV339" s="146">
        <v>2</v>
      </c>
      <c r="AW339" s="146">
        <v>2</v>
      </c>
      <c r="AX339" s="146">
        <v>10</v>
      </c>
      <c r="AY339" s="272">
        <v>50000000</v>
      </c>
      <c r="AZ339" s="272">
        <v>25000000</v>
      </c>
      <c r="BA339" s="272">
        <v>35000000</v>
      </c>
      <c r="BB339" s="272">
        <v>0</v>
      </c>
      <c r="BC339" s="657">
        <f t="shared" si="85"/>
        <v>110000000</v>
      </c>
      <c r="BD339" s="267"/>
      <c r="BE339" s="267"/>
    </row>
    <row r="340" spans="1:57" ht="78.75">
      <c r="A340" s="571"/>
      <c r="B340" s="572"/>
      <c r="C340" s="572"/>
      <c r="D340" s="572"/>
      <c r="E340" s="572"/>
      <c r="F340" s="572"/>
      <c r="G340" s="572"/>
      <c r="H340" s="6"/>
      <c r="I340" s="6"/>
      <c r="J340" s="6"/>
      <c r="K340" s="6"/>
      <c r="L340" s="6"/>
      <c r="M340" s="6"/>
      <c r="N340" s="706"/>
      <c r="O340" s="683"/>
      <c r="P340" s="683"/>
      <c r="Q340" s="683"/>
      <c r="R340" s="683"/>
      <c r="S340" s="683"/>
      <c r="T340" s="706"/>
      <c r="U340" s="4"/>
      <c r="V340" s="708"/>
      <c r="W340" s="706"/>
      <c r="X340" s="6"/>
      <c r="Y340" s="6"/>
      <c r="Z340" s="6"/>
      <c r="AA340" s="6"/>
      <c r="AB340" s="6"/>
      <c r="AC340" s="706"/>
      <c r="AD340" s="706"/>
      <c r="AE340" s="706"/>
      <c r="AF340" s="706"/>
      <c r="AG340" s="706"/>
      <c r="AH340" s="706"/>
      <c r="AI340" s="679" t="s">
        <v>983</v>
      </c>
      <c r="AJ340" s="694">
        <f>+(0.008*100)/0.5</f>
        <v>1.6</v>
      </c>
      <c r="AK340" s="694">
        <f>+AJ340*C4</f>
        <v>0.16000000000000003</v>
      </c>
      <c r="AL340" s="694">
        <f>+AJ340*D4</f>
        <v>0.72000000000000008</v>
      </c>
      <c r="AM340" s="694">
        <f>+AJ340*E4</f>
        <v>0.4</v>
      </c>
      <c r="AN340" s="694">
        <f>+AJ340*F4</f>
        <v>0.32000000000000006</v>
      </c>
      <c r="AO340" s="679" t="s">
        <v>990</v>
      </c>
      <c r="AP340" s="146" t="s">
        <v>202</v>
      </c>
      <c r="AQ340" s="147" t="s">
        <v>88</v>
      </c>
      <c r="AR340" s="702">
        <v>0</v>
      </c>
      <c r="AS340" s="146">
        <v>1</v>
      </c>
      <c r="AT340" s="146">
        <v>1</v>
      </c>
      <c r="AU340" s="146">
        <v>1</v>
      </c>
      <c r="AV340" s="146">
        <v>1</v>
      </c>
      <c r="AW340" s="146">
        <v>1</v>
      </c>
      <c r="AX340" s="146">
        <v>1</v>
      </c>
      <c r="AY340" s="272">
        <v>20000000</v>
      </c>
      <c r="AZ340" s="272">
        <v>10000000</v>
      </c>
      <c r="BA340" s="272">
        <v>10000000</v>
      </c>
      <c r="BB340" s="272">
        <v>10000000</v>
      </c>
      <c r="BC340" s="657">
        <f t="shared" si="85"/>
        <v>50000000</v>
      </c>
      <c r="BD340" s="267"/>
      <c r="BE340" s="267"/>
    </row>
    <row r="341" spans="1:57" ht="112.5">
      <c r="A341" s="571"/>
      <c r="B341" s="572"/>
      <c r="C341" s="572"/>
      <c r="D341" s="572"/>
      <c r="E341" s="572"/>
      <c r="F341" s="572"/>
      <c r="G341" s="572"/>
      <c r="H341" s="6"/>
      <c r="I341" s="6"/>
      <c r="J341" s="6"/>
      <c r="K341" s="6"/>
      <c r="L341" s="6"/>
      <c r="M341" s="6"/>
      <c r="N341" s="706"/>
      <c r="O341" s="683"/>
      <c r="P341" s="683"/>
      <c r="Q341" s="683"/>
      <c r="R341" s="683"/>
      <c r="S341" s="683"/>
      <c r="T341" s="706"/>
      <c r="U341" s="4"/>
      <c r="V341" s="708"/>
      <c r="W341" s="706"/>
      <c r="X341" s="6"/>
      <c r="Y341" s="6"/>
      <c r="Z341" s="6"/>
      <c r="AA341" s="6"/>
      <c r="AB341" s="6"/>
      <c r="AC341" s="706"/>
      <c r="AD341" s="706"/>
      <c r="AE341" s="706"/>
      <c r="AF341" s="706"/>
      <c r="AG341" s="706"/>
      <c r="AH341" s="706"/>
      <c r="AI341" s="679" t="s">
        <v>984</v>
      </c>
      <c r="AJ341" s="694">
        <f>+(0.125*100)/0.5</f>
        <v>25</v>
      </c>
      <c r="AK341" s="694">
        <f>+AJ341*C4</f>
        <v>2.5</v>
      </c>
      <c r="AL341" s="694">
        <f>+AJ341*D4</f>
        <v>11.25</v>
      </c>
      <c r="AM341" s="694">
        <f>+AJ341*E4</f>
        <v>6.25</v>
      </c>
      <c r="AN341" s="694">
        <f>+AJ341*F4</f>
        <v>5</v>
      </c>
      <c r="AO341" s="679" t="s">
        <v>991</v>
      </c>
      <c r="AP341" s="146" t="s">
        <v>202</v>
      </c>
      <c r="AQ341" s="147" t="s">
        <v>88</v>
      </c>
      <c r="AR341" s="702">
        <v>0</v>
      </c>
      <c r="AS341" s="146">
        <v>1</v>
      </c>
      <c r="AT341" s="146">
        <v>1</v>
      </c>
      <c r="AU341" s="146">
        <v>1</v>
      </c>
      <c r="AV341" s="146">
        <v>1</v>
      </c>
      <c r="AW341" s="146">
        <v>1</v>
      </c>
      <c r="AX341" s="146">
        <v>1</v>
      </c>
      <c r="AY341" s="272">
        <v>150000000</v>
      </c>
      <c r="AZ341" s="272">
        <v>200000000</v>
      </c>
      <c r="BA341" s="272">
        <v>150000000</v>
      </c>
      <c r="BB341" s="272">
        <v>150000000</v>
      </c>
      <c r="BC341" s="657">
        <f t="shared" si="85"/>
        <v>650000000</v>
      </c>
      <c r="BD341" s="267"/>
      <c r="BE341" s="267"/>
    </row>
    <row r="342" spans="1:57" ht="67.5">
      <c r="A342" s="571"/>
      <c r="B342" s="572"/>
      <c r="C342" s="572"/>
      <c r="D342" s="572"/>
      <c r="E342" s="572"/>
      <c r="F342" s="572"/>
      <c r="G342" s="572"/>
      <c r="H342" s="6"/>
      <c r="I342" s="6"/>
      <c r="J342" s="6"/>
      <c r="K342" s="6"/>
      <c r="L342" s="6"/>
      <c r="M342" s="6"/>
      <c r="N342" s="706"/>
      <c r="O342" s="685"/>
      <c r="P342" s="685"/>
      <c r="Q342" s="685"/>
      <c r="R342" s="685"/>
      <c r="S342" s="685"/>
      <c r="T342" s="709"/>
      <c r="U342" s="5"/>
      <c r="V342" s="710"/>
      <c r="W342" s="709"/>
      <c r="X342" s="7"/>
      <c r="Y342" s="7"/>
      <c r="Z342" s="7"/>
      <c r="AA342" s="7"/>
      <c r="AB342" s="7"/>
      <c r="AC342" s="709"/>
      <c r="AD342" s="709"/>
      <c r="AE342" s="709"/>
      <c r="AF342" s="709"/>
      <c r="AG342" s="709"/>
      <c r="AH342" s="709"/>
      <c r="AI342" s="679" t="s">
        <v>985</v>
      </c>
      <c r="AJ342" s="694">
        <f>+(0.031*100)/0.5</f>
        <v>6.2</v>
      </c>
      <c r="AK342" s="694">
        <f>+AJ342*C4</f>
        <v>0.62000000000000011</v>
      </c>
      <c r="AL342" s="694">
        <f>+AJ342*D4</f>
        <v>2.79</v>
      </c>
      <c r="AM342" s="694">
        <f>+AJ342*E4</f>
        <v>1.55</v>
      </c>
      <c r="AN342" s="694">
        <f>+AJ342*F4</f>
        <v>1.2400000000000002</v>
      </c>
      <c r="AO342" s="679" t="s">
        <v>992</v>
      </c>
      <c r="AP342" s="146" t="s">
        <v>202</v>
      </c>
      <c r="AQ342" s="147" t="s">
        <v>87</v>
      </c>
      <c r="AR342" s="702">
        <v>0</v>
      </c>
      <c r="AS342" s="146">
        <v>1</v>
      </c>
      <c r="AT342" s="146">
        <v>1</v>
      </c>
      <c r="AU342" s="146">
        <v>1</v>
      </c>
      <c r="AV342" s="146">
        <v>1</v>
      </c>
      <c r="AW342" s="146">
        <v>1</v>
      </c>
      <c r="AX342" s="146">
        <v>1</v>
      </c>
      <c r="AY342" s="272">
        <v>50000000</v>
      </c>
      <c r="AZ342" s="272">
        <v>50000000</v>
      </c>
      <c r="BA342" s="272">
        <v>20000000</v>
      </c>
      <c r="BB342" s="272">
        <v>50000000</v>
      </c>
      <c r="BC342" s="657">
        <f t="shared" si="85"/>
        <v>170000000</v>
      </c>
      <c r="BD342" s="267"/>
      <c r="BE342" s="267"/>
    </row>
    <row r="343" spans="1:57">
      <c r="A343" s="571"/>
      <c r="B343" s="572"/>
      <c r="C343" s="572"/>
      <c r="D343" s="572"/>
      <c r="E343" s="572"/>
      <c r="F343" s="572"/>
      <c r="G343" s="572"/>
      <c r="H343" s="6"/>
      <c r="I343" s="6"/>
      <c r="J343" s="6"/>
      <c r="K343" s="6"/>
      <c r="L343" s="6"/>
      <c r="M343" s="6"/>
      <c r="N343" s="285"/>
      <c r="O343" s="252"/>
      <c r="P343" s="252"/>
      <c r="Q343" s="252"/>
      <c r="R343" s="252"/>
      <c r="S343" s="252"/>
      <c r="T343" s="79"/>
      <c r="U343" s="79"/>
      <c r="V343" s="282"/>
      <c r="W343" s="55"/>
      <c r="X343" s="282"/>
      <c r="Y343" s="282"/>
      <c r="Z343" s="282"/>
      <c r="AA343" s="282"/>
      <c r="AB343" s="282"/>
      <c r="AC343" s="349" t="s">
        <v>1453</v>
      </c>
      <c r="AD343" s="421">
        <f>+AD335</f>
        <v>10</v>
      </c>
      <c r="AE343" s="283"/>
      <c r="AF343" s="283"/>
      <c r="AG343" s="283"/>
      <c r="AH343" s="283"/>
      <c r="AI343" s="284"/>
      <c r="AJ343" s="433">
        <f>SUM(AJ335:AJ342)</f>
        <v>100.2</v>
      </c>
      <c r="AK343" s="433"/>
      <c r="AL343" s="433"/>
      <c r="AM343" s="433"/>
      <c r="AN343" s="433"/>
      <c r="AO343" s="79"/>
      <c r="AP343" s="55"/>
      <c r="AQ343" s="126"/>
      <c r="AR343" s="55"/>
      <c r="AS343" s="55"/>
      <c r="AT343" s="55"/>
      <c r="AU343" s="55"/>
      <c r="AV343" s="55"/>
      <c r="AW343" s="55"/>
      <c r="AX343" s="55"/>
      <c r="AY343" s="253">
        <f>SUM(AY335:AY342)</f>
        <v>720000000</v>
      </c>
      <c r="AZ343" s="253">
        <f t="shared" ref="AZ343:BC343" si="86">SUM(AZ335:AZ342)</f>
        <v>710000000</v>
      </c>
      <c r="BA343" s="253">
        <f t="shared" si="86"/>
        <v>650000000</v>
      </c>
      <c r="BB343" s="253">
        <f t="shared" si="86"/>
        <v>660000000</v>
      </c>
      <c r="BC343" s="253">
        <f t="shared" si="86"/>
        <v>2740000000</v>
      </c>
      <c r="BD343" s="55"/>
      <c r="BE343" s="55"/>
    </row>
    <row r="344" spans="1:57" ht="56.25" customHeight="1">
      <c r="A344" s="571"/>
      <c r="B344" s="572"/>
      <c r="C344" s="572"/>
      <c r="D344" s="572"/>
      <c r="E344" s="572"/>
      <c r="F344" s="572"/>
      <c r="G344" s="572"/>
      <c r="H344" s="6"/>
      <c r="I344" s="6"/>
      <c r="J344" s="6"/>
      <c r="K344" s="6"/>
      <c r="L344" s="6"/>
      <c r="M344" s="6"/>
      <c r="N344" s="705" t="s">
        <v>907</v>
      </c>
      <c r="O344" s="711">
        <f>+(0.1*100)/5</f>
        <v>2</v>
      </c>
      <c r="P344" s="711">
        <f>+O344*C4</f>
        <v>0.2</v>
      </c>
      <c r="Q344" s="711">
        <f>+O344*D4</f>
        <v>0.9</v>
      </c>
      <c r="R344" s="711">
        <f>+O344*E4</f>
        <v>0.5</v>
      </c>
      <c r="S344" s="711">
        <f>+O344*F4</f>
        <v>0.4</v>
      </c>
      <c r="T344" s="705" t="s">
        <v>920</v>
      </c>
      <c r="U344" s="705" t="s">
        <v>202</v>
      </c>
      <c r="V344" s="705" t="s">
        <v>88</v>
      </c>
      <c r="W344" s="712">
        <v>0.65</v>
      </c>
      <c r="X344" s="712">
        <v>1</v>
      </c>
      <c r="Y344" s="712">
        <v>0.8</v>
      </c>
      <c r="Z344" s="712">
        <v>0.9</v>
      </c>
      <c r="AA344" s="712">
        <v>0.95</v>
      </c>
      <c r="AB344" s="712">
        <v>1</v>
      </c>
      <c r="AC344" s="705" t="s">
        <v>993</v>
      </c>
      <c r="AD344" s="711">
        <f>+(1.3*100)/5</f>
        <v>26</v>
      </c>
      <c r="AE344" s="711">
        <f>+AD344*C4</f>
        <v>2.6</v>
      </c>
      <c r="AF344" s="711">
        <f>+AD344*D4</f>
        <v>11.700000000000001</v>
      </c>
      <c r="AG344" s="711">
        <f>+AD344*E4</f>
        <v>6.5</v>
      </c>
      <c r="AH344" s="711">
        <f>+AD344*F4</f>
        <v>5.2</v>
      </c>
      <c r="AI344" s="705" t="s">
        <v>994</v>
      </c>
      <c r="AJ344" s="722">
        <f>+(0.005*100)/1</f>
        <v>0.5</v>
      </c>
      <c r="AK344" s="722">
        <f>+AJ344*C4</f>
        <v>0.05</v>
      </c>
      <c r="AL344" s="722">
        <f>+AJ344*D4</f>
        <v>0.22500000000000001</v>
      </c>
      <c r="AM344" s="722">
        <f>+AJ344*E4</f>
        <v>0.125</v>
      </c>
      <c r="AN344" s="722">
        <f>+AJ344*F4</f>
        <v>0.1</v>
      </c>
      <c r="AO344" s="705" t="s">
        <v>1030</v>
      </c>
      <c r="AP344" s="716" t="s">
        <v>202</v>
      </c>
      <c r="AQ344" s="705" t="s">
        <v>87</v>
      </c>
      <c r="AR344" s="716">
        <v>0</v>
      </c>
      <c r="AS344" s="716">
        <v>13</v>
      </c>
      <c r="AT344" s="716">
        <v>1</v>
      </c>
      <c r="AU344" s="716">
        <v>4</v>
      </c>
      <c r="AV344" s="716">
        <v>4</v>
      </c>
      <c r="AW344" s="716">
        <v>4</v>
      </c>
      <c r="AX344" s="716">
        <v>13</v>
      </c>
      <c r="AY344" s="723">
        <v>60244973.5</v>
      </c>
      <c r="AZ344" s="723">
        <v>19755026.5</v>
      </c>
      <c r="BA344" s="723">
        <v>0</v>
      </c>
      <c r="BB344" s="723">
        <v>0</v>
      </c>
      <c r="BC344" s="724">
        <f>SUM(AY344:BB344)</f>
        <v>80000000</v>
      </c>
      <c r="BD344" s="705" t="s">
        <v>874</v>
      </c>
      <c r="BE344" s="705" t="s">
        <v>112</v>
      </c>
    </row>
    <row r="345" spans="1:57" ht="33.75">
      <c r="A345" s="571"/>
      <c r="B345" s="572"/>
      <c r="C345" s="572"/>
      <c r="D345" s="572"/>
      <c r="E345" s="572"/>
      <c r="F345" s="572"/>
      <c r="G345" s="572"/>
      <c r="H345" s="6"/>
      <c r="I345" s="6"/>
      <c r="J345" s="6"/>
      <c r="K345" s="6"/>
      <c r="L345" s="6"/>
      <c r="M345" s="6"/>
      <c r="N345" s="706"/>
      <c r="O345" s="706"/>
      <c r="P345" s="706"/>
      <c r="Q345" s="706"/>
      <c r="R345" s="706"/>
      <c r="S345" s="706"/>
      <c r="T345" s="706"/>
      <c r="U345" s="706"/>
      <c r="V345" s="706"/>
      <c r="W345" s="706"/>
      <c r="X345" s="706"/>
      <c r="Y345" s="706"/>
      <c r="Z345" s="706"/>
      <c r="AA345" s="706"/>
      <c r="AB345" s="713"/>
      <c r="AC345" s="706"/>
      <c r="AD345" s="706"/>
      <c r="AE345" s="706"/>
      <c r="AF345" s="706"/>
      <c r="AG345" s="706"/>
      <c r="AH345" s="706"/>
      <c r="AI345" s="705" t="s">
        <v>995</v>
      </c>
      <c r="AJ345" s="722">
        <f>+(0.131*100)/1</f>
        <v>13.100000000000001</v>
      </c>
      <c r="AK345" s="722">
        <f>+AJ345*C4</f>
        <v>1.3100000000000003</v>
      </c>
      <c r="AL345" s="722">
        <f>+AJ345*D4</f>
        <v>5.8950000000000005</v>
      </c>
      <c r="AM345" s="722">
        <f>+AJ345*E4</f>
        <v>3.2750000000000004</v>
      </c>
      <c r="AN345" s="722">
        <f>+AJ345*F4</f>
        <v>2.6200000000000006</v>
      </c>
      <c r="AO345" s="705" t="s">
        <v>1031</v>
      </c>
      <c r="AP345" s="716" t="s">
        <v>202</v>
      </c>
      <c r="AQ345" s="705" t="s">
        <v>87</v>
      </c>
      <c r="AR345" s="716">
        <v>0</v>
      </c>
      <c r="AS345" s="716">
        <v>1500</v>
      </c>
      <c r="AT345" s="716">
        <v>400</v>
      </c>
      <c r="AU345" s="716">
        <v>600</v>
      </c>
      <c r="AV345" s="716">
        <v>300</v>
      </c>
      <c r="AW345" s="716">
        <v>200</v>
      </c>
      <c r="AX345" s="716">
        <v>1500</v>
      </c>
      <c r="AY345" s="723">
        <v>1000000000</v>
      </c>
      <c r="AZ345" s="723">
        <v>500000000</v>
      </c>
      <c r="BA345" s="723">
        <v>477788455.5</v>
      </c>
      <c r="BB345" s="723">
        <v>500000000</v>
      </c>
      <c r="BC345" s="724">
        <f t="shared" ref="BC345:BC380" si="87">SUM(AY345:BB345)</f>
        <v>2477788455.5</v>
      </c>
      <c r="BD345" s="705" t="s">
        <v>874</v>
      </c>
      <c r="BE345" s="705" t="s">
        <v>112</v>
      </c>
    </row>
    <row r="346" spans="1:57" ht="33.75">
      <c r="A346" s="571"/>
      <c r="B346" s="572"/>
      <c r="C346" s="572"/>
      <c r="D346" s="572"/>
      <c r="E346" s="572"/>
      <c r="F346" s="572"/>
      <c r="G346" s="572"/>
      <c r="H346" s="6"/>
      <c r="I346" s="6"/>
      <c r="J346" s="6"/>
      <c r="K346" s="6"/>
      <c r="L346" s="6"/>
      <c r="M346" s="6"/>
      <c r="N346" s="709"/>
      <c r="O346" s="709"/>
      <c r="P346" s="709"/>
      <c r="Q346" s="709"/>
      <c r="R346" s="709"/>
      <c r="S346" s="709"/>
      <c r="T346" s="709"/>
      <c r="U346" s="709"/>
      <c r="V346" s="709"/>
      <c r="W346" s="709"/>
      <c r="X346" s="709"/>
      <c r="Y346" s="709"/>
      <c r="Z346" s="709"/>
      <c r="AA346" s="709"/>
      <c r="AB346" s="714"/>
      <c r="AC346" s="706"/>
      <c r="AD346" s="706"/>
      <c r="AE346" s="706"/>
      <c r="AF346" s="706"/>
      <c r="AG346" s="706"/>
      <c r="AH346" s="706"/>
      <c r="AI346" s="705" t="s">
        <v>996</v>
      </c>
      <c r="AJ346" s="722">
        <f>+(0.003*100)/1</f>
        <v>0.3</v>
      </c>
      <c r="AK346" s="722">
        <v>0</v>
      </c>
      <c r="AL346" s="722">
        <v>0</v>
      </c>
      <c r="AM346" s="722">
        <v>0</v>
      </c>
      <c r="AN346" s="722">
        <f>+AJ346</f>
        <v>0.3</v>
      </c>
      <c r="AO346" s="705" t="s">
        <v>1032</v>
      </c>
      <c r="AP346" s="716" t="s">
        <v>202</v>
      </c>
      <c r="AQ346" s="705" t="s">
        <v>87</v>
      </c>
      <c r="AR346" s="716">
        <v>0</v>
      </c>
      <c r="AS346" s="716">
        <v>3</v>
      </c>
      <c r="AT346" s="716">
        <v>0</v>
      </c>
      <c r="AU346" s="716">
        <v>0</v>
      </c>
      <c r="AV346" s="716">
        <v>0</v>
      </c>
      <c r="AW346" s="716">
        <v>3</v>
      </c>
      <c r="AX346" s="716">
        <v>3</v>
      </c>
      <c r="AY346" s="723">
        <v>80000000</v>
      </c>
      <c r="AZ346" s="723">
        <v>0</v>
      </c>
      <c r="BA346" s="723">
        <v>0</v>
      </c>
      <c r="BB346" s="723">
        <v>0</v>
      </c>
      <c r="BC346" s="724">
        <f t="shared" si="87"/>
        <v>80000000</v>
      </c>
      <c r="BD346" s="705" t="s">
        <v>874</v>
      </c>
      <c r="BE346" s="705" t="s">
        <v>112</v>
      </c>
    </row>
    <row r="347" spans="1:57" ht="22.5" customHeight="1">
      <c r="A347" s="571"/>
      <c r="B347" s="572"/>
      <c r="C347" s="572"/>
      <c r="D347" s="572"/>
      <c r="E347" s="572"/>
      <c r="F347" s="572"/>
      <c r="G347" s="572"/>
      <c r="H347" s="6"/>
      <c r="I347" s="6"/>
      <c r="J347" s="6"/>
      <c r="K347" s="6"/>
      <c r="L347" s="6"/>
      <c r="M347" s="6"/>
      <c r="N347" s="705" t="s">
        <v>908</v>
      </c>
      <c r="O347" s="711">
        <f>+(0.1*100)/5</f>
        <v>2</v>
      </c>
      <c r="P347" s="711">
        <f>+O347*C4</f>
        <v>0.2</v>
      </c>
      <c r="Q347" s="711">
        <f>+O347*D4</f>
        <v>0.9</v>
      </c>
      <c r="R347" s="711">
        <f>+O347*E4</f>
        <v>0.5</v>
      </c>
      <c r="S347" s="711">
        <f>+O347*F4</f>
        <v>0.4</v>
      </c>
      <c r="T347" s="715" t="s">
        <v>921</v>
      </c>
      <c r="U347" s="705" t="s">
        <v>202</v>
      </c>
      <c r="V347" s="705" t="s">
        <v>87</v>
      </c>
      <c r="W347" s="716">
        <v>0</v>
      </c>
      <c r="X347" s="716">
        <v>6</v>
      </c>
      <c r="Y347" s="716">
        <v>3</v>
      </c>
      <c r="Z347" s="716">
        <v>3</v>
      </c>
      <c r="AA347" s="716">
        <v>0</v>
      </c>
      <c r="AB347" s="717">
        <v>0</v>
      </c>
      <c r="AC347" s="706"/>
      <c r="AD347" s="725"/>
      <c r="AE347" s="706"/>
      <c r="AF347" s="706"/>
      <c r="AG347" s="706"/>
      <c r="AH347" s="706"/>
      <c r="AI347" s="705" t="s">
        <v>997</v>
      </c>
      <c r="AJ347" s="722">
        <f>+(0.012*100)/1</f>
        <v>1.2</v>
      </c>
      <c r="AK347" s="722">
        <v>0.66</v>
      </c>
      <c r="AL347" s="722">
        <v>0</v>
      </c>
      <c r="AM347" s="722">
        <v>0.54</v>
      </c>
      <c r="AN347" s="722">
        <v>0</v>
      </c>
      <c r="AO347" s="705" t="s">
        <v>1033</v>
      </c>
      <c r="AP347" s="716" t="s">
        <v>202</v>
      </c>
      <c r="AQ347" s="705" t="s">
        <v>87</v>
      </c>
      <c r="AR347" s="716">
        <v>0</v>
      </c>
      <c r="AS347" s="716">
        <v>6</v>
      </c>
      <c r="AT347" s="716">
        <v>3</v>
      </c>
      <c r="AU347" s="716">
        <v>0</v>
      </c>
      <c r="AV347" s="716">
        <v>3</v>
      </c>
      <c r="AW347" s="716">
        <v>0</v>
      </c>
      <c r="AX347" s="716">
        <v>6</v>
      </c>
      <c r="AY347" s="723">
        <v>150000000</v>
      </c>
      <c r="AZ347" s="723">
        <v>100000000</v>
      </c>
      <c r="BA347" s="723">
        <v>0</v>
      </c>
      <c r="BB347" s="723">
        <v>0</v>
      </c>
      <c r="BC347" s="724">
        <f t="shared" si="87"/>
        <v>250000000</v>
      </c>
      <c r="BD347" s="705" t="s">
        <v>874</v>
      </c>
      <c r="BE347" s="705" t="s">
        <v>112</v>
      </c>
    </row>
    <row r="348" spans="1:57" ht="33.75">
      <c r="A348" s="571"/>
      <c r="B348" s="572"/>
      <c r="C348" s="572"/>
      <c r="D348" s="572"/>
      <c r="E348" s="572"/>
      <c r="F348" s="572"/>
      <c r="G348" s="572"/>
      <c r="H348" s="6"/>
      <c r="I348" s="6"/>
      <c r="J348" s="6"/>
      <c r="K348" s="6"/>
      <c r="L348" s="6"/>
      <c r="M348" s="6"/>
      <c r="N348" s="706"/>
      <c r="O348" s="706"/>
      <c r="P348" s="715"/>
      <c r="Q348" s="715"/>
      <c r="R348" s="715"/>
      <c r="S348" s="715"/>
      <c r="T348" s="715"/>
      <c r="U348" s="706"/>
      <c r="V348" s="706"/>
      <c r="W348" s="706"/>
      <c r="X348" s="706"/>
      <c r="Y348" s="706"/>
      <c r="Z348" s="706"/>
      <c r="AA348" s="706"/>
      <c r="AB348" s="713"/>
      <c r="AC348" s="706"/>
      <c r="AD348" s="706"/>
      <c r="AE348" s="706"/>
      <c r="AF348" s="706"/>
      <c r="AG348" s="706"/>
      <c r="AH348" s="706"/>
      <c r="AI348" s="705" t="s">
        <v>998</v>
      </c>
      <c r="AJ348" s="722">
        <f>+(0.036*100)/1</f>
        <v>3.5999999999999996</v>
      </c>
      <c r="AK348" s="722">
        <f>+AJ348*C4</f>
        <v>0.36</v>
      </c>
      <c r="AL348" s="722">
        <f>+AJ348*D4</f>
        <v>1.6199999999999999</v>
      </c>
      <c r="AM348" s="722">
        <f>+AJ348*E4</f>
        <v>0.89999999999999991</v>
      </c>
      <c r="AN348" s="722">
        <f>+AJ348*F4</f>
        <v>0.72</v>
      </c>
      <c r="AO348" s="705" t="s">
        <v>1034</v>
      </c>
      <c r="AP348" s="716" t="s">
        <v>202</v>
      </c>
      <c r="AQ348" s="705" t="s">
        <v>87</v>
      </c>
      <c r="AR348" s="716">
        <v>0</v>
      </c>
      <c r="AS348" s="716">
        <v>1</v>
      </c>
      <c r="AT348" s="716">
        <v>1</v>
      </c>
      <c r="AU348" s="716">
        <v>1</v>
      </c>
      <c r="AV348" s="716">
        <v>1</v>
      </c>
      <c r="AW348" s="716">
        <v>1</v>
      </c>
      <c r="AX348" s="716">
        <v>1</v>
      </c>
      <c r="AY348" s="723">
        <v>200000000</v>
      </c>
      <c r="AZ348" s="723">
        <v>150000000</v>
      </c>
      <c r="BA348" s="723">
        <v>130000000</v>
      </c>
      <c r="BB348" s="723">
        <v>132000000</v>
      </c>
      <c r="BC348" s="724">
        <f t="shared" si="87"/>
        <v>612000000</v>
      </c>
      <c r="BD348" s="705" t="s">
        <v>874</v>
      </c>
      <c r="BE348" s="705" t="s">
        <v>112</v>
      </c>
    </row>
    <row r="349" spans="1:57" ht="33.75">
      <c r="A349" s="571"/>
      <c r="B349" s="572"/>
      <c r="C349" s="572"/>
      <c r="D349" s="572"/>
      <c r="E349" s="572"/>
      <c r="F349" s="572"/>
      <c r="G349" s="572"/>
      <c r="H349" s="6"/>
      <c r="I349" s="6"/>
      <c r="J349" s="6"/>
      <c r="K349" s="6"/>
      <c r="L349" s="6"/>
      <c r="M349" s="6"/>
      <c r="N349" s="709"/>
      <c r="O349" s="709"/>
      <c r="P349" s="709"/>
      <c r="Q349" s="709"/>
      <c r="R349" s="709"/>
      <c r="S349" s="709"/>
      <c r="T349" s="709"/>
      <c r="U349" s="709"/>
      <c r="V349" s="709"/>
      <c r="W349" s="709"/>
      <c r="X349" s="709"/>
      <c r="Y349" s="709"/>
      <c r="Z349" s="709"/>
      <c r="AA349" s="709"/>
      <c r="AB349" s="714"/>
      <c r="AC349" s="706"/>
      <c r="AD349" s="706"/>
      <c r="AE349" s="706"/>
      <c r="AF349" s="706"/>
      <c r="AG349" s="706"/>
      <c r="AH349" s="706"/>
      <c r="AI349" s="705" t="s">
        <v>999</v>
      </c>
      <c r="AJ349" s="722">
        <f>+(0.018*100)/1</f>
        <v>1.7999999999999998</v>
      </c>
      <c r="AK349" s="722">
        <f>+AJ349*C4</f>
        <v>0.18</v>
      </c>
      <c r="AL349" s="722">
        <f>+AJ349*D4</f>
        <v>0.80999999999999994</v>
      </c>
      <c r="AM349" s="722">
        <f>+AJ349*E4</f>
        <v>0.44999999999999996</v>
      </c>
      <c r="AN349" s="722">
        <f>+AJ349*F4</f>
        <v>0.36</v>
      </c>
      <c r="AO349" s="705" t="s">
        <v>1035</v>
      </c>
      <c r="AP349" s="716" t="s">
        <v>202</v>
      </c>
      <c r="AQ349" s="705" t="s">
        <v>87</v>
      </c>
      <c r="AR349" s="716">
        <v>3</v>
      </c>
      <c r="AS349" s="716">
        <v>7</v>
      </c>
      <c r="AT349" s="716">
        <v>1</v>
      </c>
      <c r="AU349" s="716">
        <v>1</v>
      </c>
      <c r="AV349" s="716">
        <v>1</v>
      </c>
      <c r="AW349" s="716">
        <v>1</v>
      </c>
      <c r="AX349" s="716">
        <v>4</v>
      </c>
      <c r="AY349" s="723">
        <v>100000000</v>
      </c>
      <c r="AZ349" s="723">
        <v>100000000</v>
      </c>
      <c r="BA349" s="723">
        <v>50000000</v>
      </c>
      <c r="BB349" s="723">
        <v>50000000</v>
      </c>
      <c r="BC349" s="724">
        <f t="shared" si="87"/>
        <v>300000000</v>
      </c>
      <c r="BD349" s="705" t="s">
        <v>874</v>
      </c>
      <c r="BE349" s="705" t="s">
        <v>112</v>
      </c>
    </row>
    <row r="350" spans="1:57" ht="101.25" customHeight="1">
      <c r="A350" s="571"/>
      <c r="B350" s="572"/>
      <c r="C350" s="572"/>
      <c r="D350" s="572"/>
      <c r="E350" s="572"/>
      <c r="F350" s="572"/>
      <c r="G350" s="572"/>
      <c r="H350" s="6"/>
      <c r="I350" s="6"/>
      <c r="J350" s="6"/>
      <c r="K350" s="6"/>
      <c r="L350" s="6"/>
      <c r="M350" s="6"/>
      <c r="N350" s="705" t="s">
        <v>909</v>
      </c>
      <c r="O350" s="711">
        <f>+(0.2*100)/5</f>
        <v>4</v>
      </c>
      <c r="P350" s="711">
        <f>+O350*C4</f>
        <v>0.4</v>
      </c>
      <c r="Q350" s="711">
        <f>+O350*D4</f>
        <v>1.8</v>
      </c>
      <c r="R350" s="711">
        <f>+O350*E4</f>
        <v>1</v>
      </c>
      <c r="S350" s="711">
        <f>+O350*F4</f>
        <v>0.8</v>
      </c>
      <c r="T350" s="705" t="s">
        <v>922</v>
      </c>
      <c r="U350" s="705" t="s">
        <v>202</v>
      </c>
      <c r="V350" s="705" t="s">
        <v>87</v>
      </c>
      <c r="W350" s="716">
        <v>0</v>
      </c>
      <c r="X350" s="716">
        <v>6</v>
      </c>
      <c r="Y350" s="716">
        <v>1</v>
      </c>
      <c r="Z350" s="716">
        <v>2</v>
      </c>
      <c r="AA350" s="716">
        <v>2</v>
      </c>
      <c r="AB350" s="716">
        <v>1</v>
      </c>
      <c r="AC350" s="706"/>
      <c r="AD350" s="706"/>
      <c r="AE350" s="706"/>
      <c r="AF350" s="706"/>
      <c r="AG350" s="706"/>
      <c r="AH350" s="706"/>
      <c r="AI350" s="705" t="s">
        <v>1000</v>
      </c>
      <c r="AJ350" s="722">
        <f>+(0.011*100)/1</f>
        <v>1.0999999999999999</v>
      </c>
      <c r="AK350" s="722">
        <f>+AJ350*C4</f>
        <v>0.10999999999999999</v>
      </c>
      <c r="AL350" s="722">
        <f>+AJ350*D4</f>
        <v>0.49499999999999994</v>
      </c>
      <c r="AM350" s="722">
        <f>+AJ350*E4</f>
        <v>0.27499999999999997</v>
      </c>
      <c r="AN350" s="722">
        <f>+AJ350*F4</f>
        <v>0.21999999999999997</v>
      </c>
      <c r="AO350" s="705" t="s">
        <v>1036</v>
      </c>
      <c r="AP350" s="716" t="s">
        <v>202</v>
      </c>
      <c r="AQ350" s="705" t="s">
        <v>87</v>
      </c>
      <c r="AR350" s="716">
        <v>1150</v>
      </c>
      <c r="AS350" s="716">
        <v>1230</v>
      </c>
      <c r="AT350" s="716">
        <v>20</v>
      </c>
      <c r="AU350" s="716">
        <v>20</v>
      </c>
      <c r="AV350" s="716">
        <v>20</v>
      </c>
      <c r="AW350" s="716">
        <v>20</v>
      </c>
      <c r="AX350" s="716">
        <v>80</v>
      </c>
      <c r="AY350" s="723">
        <v>40000000</v>
      </c>
      <c r="AZ350" s="723">
        <v>40000000</v>
      </c>
      <c r="BA350" s="723">
        <v>40000000</v>
      </c>
      <c r="BB350" s="723">
        <v>40000000</v>
      </c>
      <c r="BC350" s="724">
        <f t="shared" si="87"/>
        <v>160000000</v>
      </c>
      <c r="BD350" s="705" t="s">
        <v>874</v>
      </c>
      <c r="BE350" s="705" t="s">
        <v>608</v>
      </c>
    </row>
    <row r="351" spans="1:57" ht="33.75">
      <c r="A351" s="571"/>
      <c r="B351" s="572"/>
      <c r="C351" s="572"/>
      <c r="D351" s="572"/>
      <c r="E351" s="572"/>
      <c r="F351" s="572"/>
      <c r="G351" s="572"/>
      <c r="H351" s="6"/>
      <c r="I351" s="6"/>
      <c r="J351" s="6"/>
      <c r="K351" s="6"/>
      <c r="L351" s="6"/>
      <c r="M351" s="6"/>
      <c r="N351" s="706"/>
      <c r="O351" s="706"/>
      <c r="P351" s="706"/>
      <c r="Q351" s="706"/>
      <c r="R351" s="706"/>
      <c r="S351" s="706"/>
      <c r="T351" s="706"/>
      <c r="U351" s="706"/>
      <c r="V351" s="706"/>
      <c r="W351" s="706"/>
      <c r="X351" s="706"/>
      <c r="Y351" s="706"/>
      <c r="Z351" s="706"/>
      <c r="AA351" s="706"/>
      <c r="AB351" s="706"/>
      <c r="AC351" s="706"/>
      <c r="AD351" s="706"/>
      <c r="AE351" s="706"/>
      <c r="AF351" s="706"/>
      <c r="AG351" s="706"/>
      <c r="AH351" s="706"/>
      <c r="AI351" s="705" t="s">
        <v>1001</v>
      </c>
      <c r="AJ351" s="722">
        <f>+(0.077*100)/1</f>
        <v>7.7</v>
      </c>
      <c r="AK351" s="722">
        <f>+AJ351*C4</f>
        <v>0.77</v>
      </c>
      <c r="AL351" s="722">
        <f>+AJ351*D4</f>
        <v>3.4650000000000003</v>
      </c>
      <c r="AM351" s="722">
        <f>+AJ351*E4</f>
        <v>1.925</v>
      </c>
      <c r="AN351" s="722">
        <f>+AJ351*F4</f>
        <v>1.54</v>
      </c>
      <c r="AO351" s="705" t="s">
        <v>1037</v>
      </c>
      <c r="AP351" s="716" t="s">
        <v>202</v>
      </c>
      <c r="AQ351" s="705" t="s">
        <v>87</v>
      </c>
      <c r="AR351" s="716" t="s">
        <v>1060</v>
      </c>
      <c r="AS351" s="716" t="s">
        <v>1060</v>
      </c>
      <c r="AT351" s="726">
        <v>1</v>
      </c>
      <c r="AU351" s="716">
        <v>1</v>
      </c>
      <c r="AV351" s="716">
        <v>1.2391304347826086</v>
      </c>
      <c r="AW351" s="716">
        <v>1</v>
      </c>
      <c r="AX351" s="716" t="s">
        <v>1060</v>
      </c>
      <c r="AY351" s="723">
        <v>1500000000</v>
      </c>
      <c r="AZ351" s="723">
        <v>350000000</v>
      </c>
      <c r="BA351" s="723">
        <v>150000000</v>
      </c>
      <c r="BB351" s="723">
        <v>300000000</v>
      </c>
      <c r="BC351" s="724">
        <f t="shared" si="87"/>
        <v>2300000000</v>
      </c>
      <c r="BD351" s="705" t="s">
        <v>874</v>
      </c>
      <c r="BE351" s="705" t="s">
        <v>608</v>
      </c>
    </row>
    <row r="352" spans="1:57" ht="33.75">
      <c r="A352" s="571"/>
      <c r="B352" s="572"/>
      <c r="C352" s="572"/>
      <c r="D352" s="572"/>
      <c r="E352" s="572"/>
      <c r="F352" s="572"/>
      <c r="G352" s="572"/>
      <c r="H352" s="6"/>
      <c r="I352" s="6"/>
      <c r="J352" s="6"/>
      <c r="K352" s="6"/>
      <c r="L352" s="6"/>
      <c r="M352" s="6"/>
      <c r="N352" s="706"/>
      <c r="O352" s="706"/>
      <c r="P352" s="706"/>
      <c r="Q352" s="706"/>
      <c r="R352" s="706"/>
      <c r="S352" s="706"/>
      <c r="T352" s="706"/>
      <c r="U352" s="706"/>
      <c r="V352" s="706"/>
      <c r="W352" s="706"/>
      <c r="X352" s="706"/>
      <c r="Y352" s="706"/>
      <c r="Z352" s="706"/>
      <c r="AA352" s="706"/>
      <c r="AB352" s="706"/>
      <c r="AC352" s="706"/>
      <c r="AD352" s="706"/>
      <c r="AE352" s="706"/>
      <c r="AF352" s="706"/>
      <c r="AG352" s="706"/>
      <c r="AH352" s="706"/>
      <c r="AI352" s="705" t="s">
        <v>1002</v>
      </c>
      <c r="AJ352" s="722">
        <f>+(0.051*100)/1</f>
        <v>5.0999999999999996</v>
      </c>
      <c r="AK352" s="722">
        <f>+AJ352*C4</f>
        <v>0.51</v>
      </c>
      <c r="AL352" s="722">
        <f>+AJ352*D4</f>
        <v>2.2949999999999999</v>
      </c>
      <c r="AM352" s="722">
        <f>+AJ352*E4</f>
        <v>1.2749999999999999</v>
      </c>
      <c r="AN352" s="722">
        <f>+AJ352*F4</f>
        <v>1.02</v>
      </c>
      <c r="AO352" s="705" t="s">
        <v>1038</v>
      </c>
      <c r="AP352" s="716" t="s">
        <v>202</v>
      </c>
      <c r="AQ352" s="705" t="s">
        <v>87</v>
      </c>
      <c r="AR352" s="716">
        <v>1352</v>
      </c>
      <c r="AS352" s="716">
        <v>1400</v>
      </c>
      <c r="AT352" s="716">
        <v>350</v>
      </c>
      <c r="AU352" s="716">
        <v>1400</v>
      </c>
      <c r="AV352" s="716">
        <v>1400</v>
      </c>
      <c r="AW352" s="716">
        <v>1400</v>
      </c>
      <c r="AX352" s="716">
        <v>1400</v>
      </c>
      <c r="AY352" s="723">
        <v>200000000</v>
      </c>
      <c r="AZ352" s="723">
        <v>200000000</v>
      </c>
      <c r="BA352" s="723">
        <v>200000000</v>
      </c>
      <c r="BB352" s="723">
        <v>200000000</v>
      </c>
      <c r="BC352" s="724">
        <f t="shared" si="87"/>
        <v>800000000</v>
      </c>
      <c r="BD352" s="705" t="s">
        <v>874</v>
      </c>
      <c r="BE352" s="705" t="s">
        <v>608</v>
      </c>
    </row>
    <row r="353" spans="1:57" ht="33.75">
      <c r="A353" s="571"/>
      <c r="B353" s="572"/>
      <c r="C353" s="572"/>
      <c r="D353" s="572"/>
      <c r="E353" s="572"/>
      <c r="F353" s="572"/>
      <c r="G353" s="572"/>
      <c r="H353" s="6"/>
      <c r="I353" s="6"/>
      <c r="J353" s="6"/>
      <c r="K353" s="6"/>
      <c r="L353" s="6"/>
      <c r="M353" s="6"/>
      <c r="N353" s="706"/>
      <c r="O353" s="706"/>
      <c r="P353" s="706"/>
      <c r="Q353" s="706"/>
      <c r="R353" s="706"/>
      <c r="S353" s="706"/>
      <c r="T353" s="706"/>
      <c r="U353" s="706"/>
      <c r="V353" s="706"/>
      <c r="W353" s="706"/>
      <c r="X353" s="706"/>
      <c r="Y353" s="706"/>
      <c r="Z353" s="706"/>
      <c r="AA353" s="706"/>
      <c r="AB353" s="706"/>
      <c r="AC353" s="706"/>
      <c r="AD353" s="706"/>
      <c r="AE353" s="706"/>
      <c r="AF353" s="706"/>
      <c r="AG353" s="706"/>
      <c r="AH353" s="706"/>
      <c r="AI353" s="705" t="s">
        <v>1003</v>
      </c>
      <c r="AJ353" s="722">
        <f>+(0.051*100)/1</f>
        <v>5.0999999999999996</v>
      </c>
      <c r="AK353" s="722">
        <f>+AJ353*C4</f>
        <v>0.51</v>
      </c>
      <c r="AL353" s="722">
        <f>+AJ353*D4</f>
        <v>2.2949999999999999</v>
      </c>
      <c r="AM353" s="722">
        <f>+AJ353*E4</f>
        <v>1.2749999999999999</v>
      </c>
      <c r="AN353" s="722">
        <f>+AJ353*F4</f>
        <v>1.02</v>
      </c>
      <c r="AO353" s="705" t="s">
        <v>1039</v>
      </c>
      <c r="AP353" s="716" t="s">
        <v>202</v>
      </c>
      <c r="AQ353" s="705" t="s">
        <v>87</v>
      </c>
      <c r="AR353" s="716">
        <v>1352</v>
      </c>
      <c r="AS353" s="716">
        <v>1400</v>
      </c>
      <c r="AT353" s="716">
        <v>350</v>
      </c>
      <c r="AU353" s="716">
        <v>1400</v>
      </c>
      <c r="AV353" s="716">
        <v>1400</v>
      </c>
      <c r="AW353" s="716">
        <v>1400</v>
      </c>
      <c r="AX353" s="716">
        <v>1400</v>
      </c>
      <c r="AY353" s="723">
        <v>200000000</v>
      </c>
      <c r="AZ353" s="723">
        <v>200000000</v>
      </c>
      <c r="BA353" s="723">
        <v>200000000</v>
      </c>
      <c r="BB353" s="723">
        <v>200000000</v>
      </c>
      <c r="BC353" s="724">
        <f t="shared" si="87"/>
        <v>800000000</v>
      </c>
      <c r="BD353" s="705" t="s">
        <v>874</v>
      </c>
      <c r="BE353" s="705" t="s">
        <v>608</v>
      </c>
    </row>
    <row r="354" spans="1:57" ht="33.75">
      <c r="A354" s="571"/>
      <c r="B354" s="572"/>
      <c r="C354" s="572"/>
      <c r="D354" s="572"/>
      <c r="E354" s="572"/>
      <c r="F354" s="572"/>
      <c r="G354" s="572"/>
      <c r="H354" s="6"/>
      <c r="I354" s="6"/>
      <c r="J354" s="6"/>
      <c r="K354" s="6"/>
      <c r="L354" s="6"/>
      <c r="M354" s="6"/>
      <c r="N354" s="706"/>
      <c r="O354" s="706"/>
      <c r="P354" s="706"/>
      <c r="Q354" s="706"/>
      <c r="R354" s="706"/>
      <c r="S354" s="706"/>
      <c r="T354" s="706"/>
      <c r="U354" s="706"/>
      <c r="V354" s="706"/>
      <c r="W354" s="706"/>
      <c r="X354" s="706"/>
      <c r="Y354" s="706"/>
      <c r="Z354" s="706"/>
      <c r="AA354" s="706"/>
      <c r="AB354" s="706"/>
      <c r="AC354" s="706"/>
      <c r="AD354" s="706"/>
      <c r="AE354" s="706"/>
      <c r="AF354" s="706"/>
      <c r="AG354" s="706"/>
      <c r="AH354" s="706"/>
      <c r="AI354" s="705" t="s">
        <v>1004</v>
      </c>
      <c r="AJ354" s="722">
        <f>+(0.04*100)/1</f>
        <v>4</v>
      </c>
      <c r="AK354" s="722">
        <f>+AJ354*C4</f>
        <v>0.4</v>
      </c>
      <c r="AL354" s="722">
        <f>+AJ354*D4</f>
        <v>1.8</v>
      </c>
      <c r="AM354" s="722">
        <v>0</v>
      </c>
      <c r="AN354" s="722">
        <v>1.8</v>
      </c>
      <c r="AO354" s="705" t="s">
        <v>1040</v>
      </c>
      <c r="AP354" s="716" t="s">
        <v>202</v>
      </c>
      <c r="AQ354" s="705" t="s">
        <v>87</v>
      </c>
      <c r="AR354" s="716" t="s">
        <v>1060</v>
      </c>
      <c r="AS354" s="716" t="s">
        <v>1060</v>
      </c>
      <c r="AT354" s="726">
        <v>6.4285714285714288</v>
      </c>
      <c r="AU354" s="726">
        <v>4</v>
      </c>
      <c r="AV354" s="716">
        <v>0</v>
      </c>
      <c r="AW354" s="716">
        <v>4</v>
      </c>
      <c r="AX354" s="716" t="s">
        <v>1060</v>
      </c>
      <c r="AY354" s="723">
        <v>600000000</v>
      </c>
      <c r="AZ354" s="723">
        <v>200000000</v>
      </c>
      <c r="BA354" s="723">
        <v>100000000</v>
      </c>
      <c r="BB354" s="723">
        <v>100000000</v>
      </c>
      <c r="BC354" s="724">
        <f t="shared" si="87"/>
        <v>1000000000</v>
      </c>
      <c r="BD354" s="705" t="s">
        <v>874</v>
      </c>
      <c r="BE354" s="705" t="s">
        <v>608</v>
      </c>
    </row>
    <row r="355" spans="1:57" ht="33.75">
      <c r="A355" s="571"/>
      <c r="B355" s="572"/>
      <c r="C355" s="572"/>
      <c r="D355" s="572"/>
      <c r="E355" s="572"/>
      <c r="F355" s="572"/>
      <c r="G355" s="572"/>
      <c r="H355" s="6"/>
      <c r="I355" s="6"/>
      <c r="J355" s="6"/>
      <c r="K355" s="6"/>
      <c r="L355" s="6"/>
      <c r="M355" s="6"/>
      <c r="N355" s="706"/>
      <c r="O355" s="706"/>
      <c r="P355" s="706"/>
      <c r="Q355" s="706"/>
      <c r="R355" s="706"/>
      <c r="S355" s="706"/>
      <c r="T355" s="706"/>
      <c r="U355" s="706"/>
      <c r="V355" s="706"/>
      <c r="W355" s="706"/>
      <c r="X355" s="706"/>
      <c r="Y355" s="706"/>
      <c r="Z355" s="706"/>
      <c r="AA355" s="706"/>
      <c r="AB355" s="706"/>
      <c r="AC355" s="706"/>
      <c r="AD355" s="706"/>
      <c r="AE355" s="706"/>
      <c r="AF355" s="706"/>
      <c r="AG355" s="706"/>
      <c r="AH355" s="706"/>
      <c r="AI355" s="705" t="s">
        <v>1005</v>
      </c>
      <c r="AJ355" s="722">
        <f>+(0.051*100)/1</f>
        <v>5.0999999999999996</v>
      </c>
      <c r="AK355" s="722">
        <f>+AJ355*C4</f>
        <v>0.51</v>
      </c>
      <c r="AL355" s="722">
        <f>+AJ355*D4</f>
        <v>2.2949999999999999</v>
      </c>
      <c r="AM355" s="722">
        <f>+AJ355*E4</f>
        <v>1.2749999999999999</v>
      </c>
      <c r="AN355" s="722">
        <f>+AJ355*F4</f>
        <v>1.02</v>
      </c>
      <c r="AO355" s="705" t="s">
        <v>1041</v>
      </c>
      <c r="AP355" s="716" t="s">
        <v>202</v>
      </c>
      <c r="AQ355" s="705" t="s">
        <v>87</v>
      </c>
      <c r="AR355" s="716">
        <v>0</v>
      </c>
      <c r="AS355" s="716">
        <v>4</v>
      </c>
      <c r="AT355" s="716">
        <v>1</v>
      </c>
      <c r="AU355" s="716">
        <v>1</v>
      </c>
      <c r="AV355" s="716">
        <v>1</v>
      </c>
      <c r="AW355" s="716">
        <v>1</v>
      </c>
      <c r="AX355" s="716">
        <v>4</v>
      </c>
      <c r="AY355" s="723">
        <v>200000000</v>
      </c>
      <c r="AZ355" s="723">
        <v>200000000</v>
      </c>
      <c r="BA355" s="723">
        <v>200000000</v>
      </c>
      <c r="BB355" s="723">
        <v>200000000</v>
      </c>
      <c r="BC355" s="724">
        <f t="shared" si="87"/>
        <v>800000000</v>
      </c>
      <c r="BD355" s="705" t="s">
        <v>874</v>
      </c>
      <c r="BE355" s="705" t="s">
        <v>608</v>
      </c>
    </row>
    <row r="356" spans="1:57" ht="33.75">
      <c r="A356" s="571"/>
      <c r="B356" s="572"/>
      <c r="C356" s="572"/>
      <c r="D356" s="572"/>
      <c r="E356" s="572"/>
      <c r="F356" s="572"/>
      <c r="G356" s="572"/>
      <c r="H356" s="6"/>
      <c r="I356" s="6"/>
      <c r="J356" s="6"/>
      <c r="K356" s="6"/>
      <c r="L356" s="6"/>
      <c r="M356" s="6"/>
      <c r="N356" s="706"/>
      <c r="O356" s="706"/>
      <c r="P356" s="706"/>
      <c r="Q356" s="706"/>
      <c r="R356" s="706"/>
      <c r="S356" s="706"/>
      <c r="T356" s="706"/>
      <c r="U356" s="706"/>
      <c r="V356" s="706"/>
      <c r="W356" s="706"/>
      <c r="X356" s="706"/>
      <c r="Y356" s="706"/>
      <c r="Z356" s="706"/>
      <c r="AA356" s="706"/>
      <c r="AB356" s="706"/>
      <c r="AC356" s="706"/>
      <c r="AD356" s="706"/>
      <c r="AE356" s="706"/>
      <c r="AF356" s="706"/>
      <c r="AG356" s="706"/>
      <c r="AH356" s="706"/>
      <c r="AI356" s="705" t="s">
        <v>1006</v>
      </c>
      <c r="AJ356" s="722">
        <f>+(0.018*100)/1</f>
        <v>1.7999999999999998</v>
      </c>
      <c r="AK356" s="722">
        <v>0.99</v>
      </c>
      <c r="AL356" s="722">
        <v>0</v>
      </c>
      <c r="AM356" s="722">
        <v>0.81</v>
      </c>
      <c r="AN356" s="722">
        <v>0</v>
      </c>
      <c r="AO356" s="705" t="s">
        <v>1042</v>
      </c>
      <c r="AP356" s="716" t="s">
        <v>202</v>
      </c>
      <c r="AQ356" s="705" t="s">
        <v>87</v>
      </c>
      <c r="AR356" s="716">
        <v>10</v>
      </c>
      <c r="AS356" s="716">
        <v>30</v>
      </c>
      <c r="AT356" s="716">
        <v>10</v>
      </c>
      <c r="AU356" s="716">
        <v>0</v>
      </c>
      <c r="AV356" s="716">
        <v>10</v>
      </c>
      <c r="AW356" s="716">
        <v>0</v>
      </c>
      <c r="AX356" s="716">
        <v>20</v>
      </c>
      <c r="AY356" s="723">
        <v>200000000</v>
      </c>
      <c r="AZ356" s="723">
        <v>0</v>
      </c>
      <c r="BA356" s="723">
        <v>200000000</v>
      </c>
      <c r="BB356" s="723">
        <v>0</v>
      </c>
      <c r="BC356" s="724">
        <f t="shared" si="87"/>
        <v>400000000</v>
      </c>
      <c r="BD356" s="705" t="s">
        <v>874</v>
      </c>
      <c r="BE356" s="705" t="s">
        <v>608</v>
      </c>
    </row>
    <row r="357" spans="1:57" ht="33.75">
      <c r="A357" s="571"/>
      <c r="B357" s="572"/>
      <c r="C357" s="572"/>
      <c r="D357" s="572"/>
      <c r="E357" s="572"/>
      <c r="F357" s="572"/>
      <c r="G357" s="572"/>
      <c r="H357" s="6"/>
      <c r="I357" s="6"/>
      <c r="J357" s="6"/>
      <c r="K357" s="6"/>
      <c r="L357" s="6"/>
      <c r="M357" s="6"/>
      <c r="N357" s="706"/>
      <c r="O357" s="706"/>
      <c r="P357" s="706"/>
      <c r="Q357" s="706"/>
      <c r="R357" s="706"/>
      <c r="S357" s="706"/>
      <c r="T357" s="706"/>
      <c r="U357" s="706"/>
      <c r="V357" s="706"/>
      <c r="W357" s="706"/>
      <c r="X357" s="706"/>
      <c r="Y357" s="706"/>
      <c r="Z357" s="706"/>
      <c r="AA357" s="706"/>
      <c r="AB357" s="706"/>
      <c r="AC357" s="706"/>
      <c r="AD357" s="706"/>
      <c r="AE357" s="706"/>
      <c r="AF357" s="706"/>
      <c r="AG357" s="706"/>
      <c r="AH357" s="706"/>
      <c r="AI357" s="705" t="s">
        <v>1007</v>
      </c>
      <c r="AJ357" s="722">
        <f>+(0.025*100)/1</f>
        <v>2.5</v>
      </c>
      <c r="AK357" s="722">
        <f>+AJ357*C4</f>
        <v>0.25</v>
      </c>
      <c r="AL357" s="722">
        <v>0</v>
      </c>
      <c r="AM357" s="722">
        <v>1.75</v>
      </c>
      <c r="AN357" s="722">
        <f>+AJ357*F4</f>
        <v>0.5</v>
      </c>
      <c r="AO357" s="705" t="s">
        <v>1043</v>
      </c>
      <c r="AP357" s="716" t="s">
        <v>202</v>
      </c>
      <c r="AQ357" s="705" t="s">
        <v>87</v>
      </c>
      <c r="AR357" s="716">
        <v>1</v>
      </c>
      <c r="AS357" s="716">
        <v>1</v>
      </c>
      <c r="AT357" s="716">
        <v>1</v>
      </c>
      <c r="AU357" s="716">
        <v>0</v>
      </c>
      <c r="AV357" s="716">
        <v>2</v>
      </c>
      <c r="AW357" s="716">
        <v>1</v>
      </c>
      <c r="AX357" s="716">
        <v>1</v>
      </c>
      <c r="AY357" s="723">
        <v>100000000</v>
      </c>
      <c r="AZ357" s="723">
        <v>100000000</v>
      </c>
      <c r="BA357" s="723">
        <v>100000000</v>
      </c>
      <c r="BB357" s="723">
        <v>100000000</v>
      </c>
      <c r="BC357" s="724">
        <f t="shared" si="87"/>
        <v>400000000</v>
      </c>
      <c r="BD357" s="705" t="s">
        <v>874</v>
      </c>
      <c r="BE357" s="705" t="s">
        <v>112</v>
      </c>
    </row>
    <row r="358" spans="1:57" ht="33.75">
      <c r="A358" s="571"/>
      <c r="B358" s="572"/>
      <c r="C358" s="572"/>
      <c r="D358" s="572"/>
      <c r="E358" s="572"/>
      <c r="F358" s="572"/>
      <c r="G358" s="572"/>
      <c r="H358" s="6"/>
      <c r="I358" s="6"/>
      <c r="J358" s="6"/>
      <c r="K358" s="6"/>
      <c r="L358" s="6"/>
      <c r="M358" s="6"/>
      <c r="N358" s="706"/>
      <c r="O358" s="706"/>
      <c r="P358" s="706"/>
      <c r="Q358" s="706"/>
      <c r="R358" s="706"/>
      <c r="S358" s="706"/>
      <c r="T358" s="706"/>
      <c r="U358" s="706"/>
      <c r="V358" s="706"/>
      <c r="W358" s="706"/>
      <c r="X358" s="706"/>
      <c r="Y358" s="706"/>
      <c r="Z358" s="706"/>
      <c r="AA358" s="706"/>
      <c r="AB358" s="706"/>
      <c r="AC358" s="706"/>
      <c r="AD358" s="706"/>
      <c r="AE358" s="706"/>
      <c r="AF358" s="706"/>
      <c r="AG358" s="706"/>
      <c r="AH358" s="706"/>
      <c r="AI358" s="705" t="s">
        <v>1506</v>
      </c>
      <c r="AJ358" s="722">
        <f>+(0.019*100)/1</f>
        <v>1.9</v>
      </c>
      <c r="AK358" s="722">
        <f>+AJ358*C4</f>
        <v>0.19</v>
      </c>
      <c r="AL358" s="722">
        <f>+AJ358*D4</f>
        <v>0.85499999999999998</v>
      </c>
      <c r="AM358" s="722">
        <f>+AJ358*E4</f>
        <v>0.47499999999999998</v>
      </c>
      <c r="AN358" s="722">
        <f>+AJ358*F4</f>
        <v>0.38</v>
      </c>
      <c r="AO358" s="705" t="s">
        <v>1044</v>
      </c>
      <c r="AP358" s="716" t="s">
        <v>202</v>
      </c>
      <c r="AQ358" s="705" t="s">
        <v>87</v>
      </c>
      <c r="AR358" s="716">
        <v>0</v>
      </c>
      <c r="AS358" s="716">
        <v>6</v>
      </c>
      <c r="AT358" s="716">
        <v>6</v>
      </c>
      <c r="AU358" s="716">
        <v>6</v>
      </c>
      <c r="AV358" s="716">
        <v>6</v>
      </c>
      <c r="AW358" s="716">
        <v>6</v>
      </c>
      <c r="AX358" s="716">
        <v>6</v>
      </c>
      <c r="AY358" s="723">
        <v>200000000</v>
      </c>
      <c r="AZ358" s="723">
        <v>100000000</v>
      </c>
      <c r="BA358" s="723">
        <v>50000000</v>
      </c>
      <c r="BB358" s="723">
        <v>50000000</v>
      </c>
      <c r="BC358" s="724">
        <f t="shared" si="87"/>
        <v>400000000</v>
      </c>
      <c r="BD358" s="705" t="s">
        <v>874</v>
      </c>
      <c r="BE358" s="705" t="s">
        <v>112</v>
      </c>
    </row>
    <row r="359" spans="1:57" ht="33.75">
      <c r="A359" s="571"/>
      <c r="B359" s="572"/>
      <c r="C359" s="572"/>
      <c r="D359" s="572"/>
      <c r="E359" s="572"/>
      <c r="F359" s="572"/>
      <c r="G359" s="572"/>
      <c r="H359" s="6"/>
      <c r="I359" s="6"/>
      <c r="J359" s="6"/>
      <c r="K359" s="6"/>
      <c r="L359" s="6"/>
      <c r="M359" s="6"/>
      <c r="N359" s="706"/>
      <c r="O359" s="706"/>
      <c r="P359" s="706"/>
      <c r="Q359" s="706"/>
      <c r="R359" s="706"/>
      <c r="S359" s="706"/>
      <c r="T359" s="706"/>
      <c r="U359" s="706"/>
      <c r="V359" s="706"/>
      <c r="W359" s="706"/>
      <c r="X359" s="706"/>
      <c r="Y359" s="706"/>
      <c r="Z359" s="706"/>
      <c r="AA359" s="706"/>
      <c r="AB359" s="706"/>
      <c r="AC359" s="706"/>
      <c r="AD359" s="706"/>
      <c r="AE359" s="706"/>
      <c r="AF359" s="706"/>
      <c r="AG359" s="706"/>
      <c r="AH359" s="706"/>
      <c r="AI359" s="705" t="s">
        <v>1008</v>
      </c>
      <c r="AJ359" s="722">
        <f>+(0.007*100)/1</f>
        <v>0.70000000000000007</v>
      </c>
      <c r="AK359" s="722">
        <f>+AJ359</f>
        <v>0.70000000000000007</v>
      </c>
      <c r="AL359" s="722">
        <v>0</v>
      </c>
      <c r="AM359" s="722">
        <v>0</v>
      </c>
      <c r="AN359" s="722">
        <v>0</v>
      </c>
      <c r="AO359" s="705" t="s">
        <v>1045</v>
      </c>
      <c r="AP359" s="716" t="s">
        <v>202</v>
      </c>
      <c r="AQ359" s="705" t="s">
        <v>87</v>
      </c>
      <c r="AR359" s="716">
        <v>1</v>
      </c>
      <c r="AS359" s="716">
        <v>3</v>
      </c>
      <c r="AT359" s="716">
        <v>2</v>
      </c>
      <c r="AU359" s="716">
        <v>0</v>
      </c>
      <c r="AV359" s="716">
        <v>0</v>
      </c>
      <c r="AW359" s="716">
        <v>0</v>
      </c>
      <c r="AX359" s="716">
        <v>2</v>
      </c>
      <c r="AY359" s="723">
        <v>500000000</v>
      </c>
      <c r="AZ359" s="723">
        <v>0</v>
      </c>
      <c r="BA359" s="723">
        <v>0</v>
      </c>
      <c r="BB359" s="723">
        <v>0</v>
      </c>
      <c r="BC359" s="724">
        <f t="shared" si="87"/>
        <v>500000000</v>
      </c>
      <c r="BD359" s="705" t="s">
        <v>874</v>
      </c>
      <c r="BE359" s="705" t="s">
        <v>112</v>
      </c>
    </row>
    <row r="360" spans="1:57" ht="33.75">
      <c r="A360" s="571"/>
      <c r="B360" s="572"/>
      <c r="C360" s="572"/>
      <c r="D360" s="572"/>
      <c r="E360" s="572"/>
      <c r="F360" s="572"/>
      <c r="G360" s="572"/>
      <c r="H360" s="6"/>
      <c r="I360" s="6"/>
      <c r="J360" s="6"/>
      <c r="K360" s="6"/>
      <c r="L360" s="6"/>
      <c r="M360" s="6"/>
      <c r="N360" s="706"/>
      <c r="O360" s="706"/>
      <c r="P360" s="706"/>
      <c r="Q360" s="706"/>
      <c r="R360" s="706"/>
      <c r="S360" s="706"/>
      <c r="T360" s="706"/>
      <c r="U360" s="706"/>
      <c r="V360" s="706"/>
      <c r="W360" s="706"/>
      <c r="X360" s="706"/>
      <c r="Y360" s="706"/>
      <c r="Z360" s="706"/>
      <c r="AA360" s="706"/>
      <c r="AB360" s="706"/>
      <c r="AC360" s="706"/>
      <c r="AD360" s="706"/>
      <c r="AE360" s="706"/>
      <c r="AF360" s="706"/>
      <c r="AG360" s="706"/>
      <c r="AH360" s="706"/>
      <c r="AI360" s="705" t="s">
        <v>1009</v>
      </c>
      <c r="AJ360" s="722">
        <f>+(0.003*100)/1</f>
        <v>0.3</v>
      </c>
      <c r="AK360" s="722">
        <f>+AJ360*C4</f>
        <v>0.03</v>
      </c>
      <c r="AL360" s="722">
        <v>0.28000000000000003</v>
      </c>
      <c r="AM360" s="722">
        <v>0</v>
      </c>
      <c r="AN360" s="722">
        <v>0</v>
      </c>
      <c r="AO360" s="705" t="s">
        <v>1046</v>
      </c>
      <c r="AP360" s="716" t="s">
        <v>202</v>
      </c>
      <c r="AQ360" s="705" t="s">
        <v>87</v>
      </c>
      <c r="AR360" s="716">
        <v>3</v>
      </c>
      <c r="AS360" s="716">
        <v>6</v>
      </c>
      <c r="AT360" s="716">
        <v>1</v>
      </c>
      <c r="AU360" s="716">
        <v>2</v>
      </c>
      <c r="AV360" s="716">
        <v>0</v>
      </c>
      <c r="AW360" s="716">
        <v>0</v>
      </c>
      <c r="AX360" s="716">
        <v>3</v>
      </c>
      <c r="AY360" s="723">
        <v>100000000</v>
      </c>
      <c r="AZ360" s="723">
        <v>0</v>
      </c>
      <c r="BA360" s="723">
        <v>0</v>
      </c>
      <c r="BB360" s="723">
        <v>0</v>
      </c>
      <c r="BC360" s="724">
        <f t="shared" si="87"/>
        <v>100000000</v>
      </c>
      <c r="BD360" s="705" t="s">
        <v>874</v>
      </c>
      <c r="BE360" s="705" t="s">
        <v>112</v>
      </c>
    </row>
    <row r="361" spans="1:57" ht="33.75">
      <c r="A361" s="571"/>
      <c r="B361" s="572"/>
      <c r="C361" s="572"/>
      <c r="D361" s="572"/>
      <c r="E361" s="572"/>
      <c r="F361" s="572"/>
      <c r="G361" s="572"/>
      <c r="H361" s="6"/>
      <c r="I361" s="6"/>
      <c r="J361" s="6"/>
      <c r="K361" s="6"/>
      <c r="L361" s="6"/>
      <c r="M361" s="6"/>
      <c r="N361" s="709"/>
      <c r="O361" s="709"/>
      <c r="P361" s="709"/>
      <c r="Q361" s="709"/>
      <c r="R361" s="709"/>
      <c r="S361" s="709"/>
      <c r="T361" s="709"/>
      <c r="U361" s="709"/>
      <c r="V361" s="709"/>
      <c r="W361" s="709"/>
      <c r="X361" s="709"/>
      <c r="Y361" s="709"/>
      <c r="Z361" s="709"/>
      <c r="AA361" s="709"/>
      <c r="AB361" s="709"/>
      <c r="AC361" s="727"/>
      <c r="AD361" s="706"/>
      <c r="AE361" s="706"/>
      <c r="AF361" s="706"/>
      <c r="AG361" s="706"/>
      <c r="AH361" s="706"/>
      <c r="AI361" s="705" t="s">
        <v>1010</v>
      </c>
      <c r="AJ361" s="722">
        <f>+(0.013*100)/1</f>
        <v>1.3</v>
      </c>
      <c r="AK361" s="722">
        <f>+AJ361*C4</f>
        <v>0.13</v>
      </c>
      <c r="AL361" s="722">
        <f>+AJ361*D4</f>
        <v>0.58500000000000008</v>
      </c>
      <c r="AM361" s="722">
        <f>+AJ361*E4</f>
        <v>0.32500000000000001</v>
      </c>
      <c r="AN361" s="722">
        <f>+AJ361*F4</f>
        <v>0.26</v>
      </c>
      <c r="AO361" s="705" t="s">
        <v>1047</v>
      </c>
      <c r="AP361" s="716" t="s">
        <v>203</v>
      </c>
      <c r="AQ361" s="705" t="s">
        <v>87</v>
      </c>
      <c r="AR361" s="716">
        <v>1</v>
      </c>
      <c r="AS361" s="716">
        <v>1</v>
      </c>
      <c r="AT361" s="716">
        <v>1</v>
      </c>
      <c r="AU361" s="716">
        <v>1</v>
      </c>
      <c r="AV361" s="716">
        <v>1</v>
      </c>
      <c r="AW361" s="716">
        <v>1</v>
      </c>
      <c r="AX361" s="716">
        <v>1</v>
      </c>
      <c r="AY361" s="723">
        <v>50000000</v>
      </c>
      <c r="AZ361" s="723">
        <v>50000000</v>
      </c>
      <c r="BA361" s="723">
        <v>50000000</v>
      </c>
      <c r="BB361" s="723">
        <v>50000000</v>
      </c>
      <c r="BC361" s="724">
        <f t="shared" si="87"/>
        <v>200000000</v>
      </c>
      <c r="BD361" s="705" t="s">
        <v>874</v>
      </c>
      <c r="BE361" s="705" t="s">
        <v>112</v>
      </c>
    </row>
    <row r="362" spans="1:57" ht="78.75">
      <c r="A362" s="571"/>
      <c r="B362" s="572"/>
      <c r="C362" s="572"/>
      <c r="D362" s="572"/>
      <c r="E362" s="572"/>
      <c r="F362" s="572"/>
      <c r="G362" s="572"/>
      <c r="H362" s="6"/>
      <c r="I362" s="6"/>
      <c r="J362" s="6"/>
      <c r="K362" s="6"/>
      <c r="L362" s="6"/>
      <c r="M362" s="6"/>
      <c r="N362" s="267" t="s">
        <v>910</v>
      </c>
      <c r="O362" s="415">
        <f>+(0.5*100)/5</f>
        <v>10</v>
      </c>
      <c r="P362" s="415">
        <f>+O362*C4</f>
        <v>1</v>
      </c>
      <c r="Q362" s="415">
        <f>+O362*D4</f>
        <v>4.5</v>
      </c>
      <c r="R362" s="415">
        <f>+O362*E4</f>
        <v>2.5</v>
      </c>
      <c r="S362" s="415">
        <f>+O362*F4</f>
        <v>2</v>
      </c>
      <c r="T362" s="267" t="s">
        <v>923</v>
      </c>
      <c r="U362" s="267" t="s">
        <v>202</v>
      </c>
      <c r="V362" s="267" t="s">
        <v>87</v>
      </c>
      <c r="W362" s="269" t="s">
        <v>221</v>
      </c>
      <c r="X362" s="718">
        <v>1</v>
      </c>
      <c r="Y362" s="718">
        <v>1</v>
      </c>
      <c r="Z362" s="718">
        <v>1</v>
      </c>
      <c r="AA362" s="718">
        <v>1</v>
      </c>
      <c r="AB362" s="718">
        <v>1</v>
      </c>
      <c r="AC362" s="706"/>
      <c r="AD362" s="706"/>
      <c r="AE362" s="706"/>
      <c r="AF362" s="706"/>
      <c r="AG362" s="706"/>
      <c r="AH362" s="706"/>
      <c r="AI362" s="705" t="s">
        <v>1011</v>
      </c>
      <c r="AJ362" s="722">
        <f>+(0.052*100)/1</f>
        <v>5.2</v>
      </c>
      <c r="AK362" s="722">
        <v>0</v>
      </c>
      <c r="AL362" s="722">
        <v>0</v>
      </c>
      <c r="AM362" s="722">
        <v>5.2</v>
      </c>
      <c r="AN362" s="722">
        <v>0</v>
      </c>
      <c r="AO362" s="705" t="s">
        <v>1048</v>
      </c>
      <c r="AP362" s="716" t="s">
        <v>202</v>
      </c>
      <c r="AQ362" s="705" t="s">
        <v>87</v>
      </c>
      <c r="AR362" s="716">
        <v>0</v>
      </c>
      <c r="AS362" s="716">
        <v>6</v>
      </c>
      <c r="AT362" s="716">
        <v>0</v>
      </c>
      <c r="AU362" s="716">
        <v>0</v>
      </c>
      <c r="AV362" s="716">
        <v>6</v>
      </c>
      <c r="AW362" s="716">
        <v>0</v>
      </c>
      <c r="AX362" s="716">
        <v>6</v>
      </c>
      <c r="AY362" s="723">
        <v>250000000</v>
      </c>
      <c r="AZ362" s="723">
        <v>250000000</v>
      </c>
      <c r="BA362" s="723">
        <v>100000000</v>
      </c>
      <c r="BB362" s="723">
        <v>250000000</v>
      </c>
      <c r="BC362" s="724">
        <f t="shared" si="87"/>
        <v>850000000</v>
      </c>
      <c r="BD362" s="705" t="s">
        <v>874</v>
      </c>
      <c r="BE362" s="705" t="s">
        <v>112</v>
      </c>
    </row>
    <row r="363" spans="1:57" ht="99.75" customHeight="1">
      <c r="A363" s="571"/>
      <c r="B363" s="572"/>
      <c r="C363" s="572"/>
      <c r="D363" s="572"/>
      <c r="E363" s="572"/>
      <c r="F363" s="572"/>
      <c r="G363" s="572"/>
      <c r="H363" s="6"/>
      <c r="I363" s="6"/>
      <c r="J363" s="6"/>
      <c r="K363" s="6"/>
      <c r="L363" s="6"/>
      <c r="M363" s="6"/>
      <c r="N363" s="719" t="s">
        <v>911</v>
      </c>
      <c r="O363" s="404">
        <f>+(0.2*100)/5</f>
        <v>4</v>
      </c>
      <c r="P363" s="404">
        <f>+O363*C4</f>
        <v>0.4</v>
      </c>
      <c r="Q363" s="404">
        <f>+O363*D4</f>
        <v>1.8</v>
      </c>
      <c r="R363" s="404">
        <f>+QO363*E4</f>
        <v>0</v>
      </c>
      <c r="S363" s="404">
        <f>+O363*F4</f>
        <v>0.8</v>
      </c>
      <c r="T363" s="719" t="s">
        <v>924</v>
      </c>
      <c r="U363" s="719" t="s">
        <v>202</v>
      </c>
      <c r="V363" s="719" t="s">
        <v>88</v>
      </c>
      <c r="W363" s="353" t="s">
        <v>221</v>
      </c>
      <c r="X363" s="720">
        <v>1</v>
      </c>
      <c r="Y363" s="720">
        <v>1</v>
      </c>
      <c r="Z363" s="720">
        <v>1</v>
      </c>
      <c r="AA363" s="720">
        <v>1</v>
      </c>
      <c r="AB363" s="720">
        <v>1</v>
      </c>
      <c r="AC363" s="706"/>
      <c r="AD363" s="706"/>
      <c r="AE363" s="706"/>
      <c r="AF363" s="706"/>
      <c r="AG363" s="706"/>
      <c r="AH363" s="706"/>
      <c r="AI363" s="705" t="s">
        <v>1012</v>
      </c>
      <c r="AJ363" s="722">
        <f>+(0.015*100)/1</f>
        <v>1.5</v>
      </c>
      <c r="AK363" s="722">
        <f>+AJ363*C4</f>
        <v>0.15000000000000002</v>
      </c>
      <c r="AL363" s="722">
        <f>+AJ363*D4</f>
        <v>0.67500000000000004</v>
      </c>
      <c r="AM363" s="722">
        <f>+AJ363*E4</f>
        <v>0.375</v>
      </c>
      <c r="AN363" s="722">
        <f>+AJ363</f>
        <v>1.5</v>
      </c>
      <c r="AO363" s="705" t="s">
        <v>1034</v>
      </c>
      <c r="AP363" s="716" t="s">
        <v>202</v>
      </c>
      <c r="AQ363" s="705" t="s">
        <v>87</v>
      </c>
      <c r="AR363" s="716">
        <v>0</v>
      </c>
      <c r="AS363" s="716">
        <v>1</v>
      </c>
      <c r="AT363" s="716">
        <v>1</v>
      </c>
      <c r="AU363" s="716">
        <v>1</v>
      </c>
      <c r="AV363" s="716">
        <v>1</v>
      </c>
      <c r="AW363" s="716">
        <v>1</v>
      </c>
      <c r="AX363" s="716">
        <v>1</v>
      </c>
      <c r="AY363" s="723">
        <v>120000000</v>
      </c>
      <c r="AZ363" s="723">
        <v>120000000</v>
      </c>
      <c r="BA363" s="723">
        <v>0</v>
      </c>
      <c r="BB363" s="723">
        <v>0</v>
      </c>
      <c r="BC363" s="724">
        <f t="shared" si="87"/>
        <v>240000000</v>
      </c>
      <c r="BD363" s="705" t="s">
        <v>874</v>
      </c>
      <c r="BE363" s="705" t="s">
        <v>237</v>
      </c>
    </row>
    <row r="364" spans="1:57" ht="45">
      <c r="A364" s="571"/>
      <c r="B364" s="572"/>
      <c r="C364" s="572"/>
      <c r="D364" s="572"/>
      <c r="E364" s="572"/>
      <c r="F364" s="572"/>
      <c r="G364" s="572"/>
      <c r="H364" s="6"/>
      <c r="I364" s="6"/>
      <c r="J364" s="6"/>
      <c r="K364" s="6"/>
      <c r="L364" s="6"/>
      <c r="M364" s="6"/>
      <c r="N364" s="721"/>
      <c r="O364" s="721"/>
      <c r="P364" s="721"/>
      <c r="Q364" s="721"/>
      <c r="R364" s="721"/>
      <c r="S364" s="721"/>
      <c r="T364" s="721"/>
      <c r="U364" s="721"/>
      <c r="V364" s="721"/>
      <c r="W364" s="721"/>
      <c r="X364" s="721"/>
      <c r="Y364" s="721"/>
      <c r="Z364" s="721"/>
      <c r="AA364" s="721"/>
      <c r="AB364" s="721"/>
      <c r="AC364" s="706"/>
      <c r="AD364" s="706"/>
      <c r="AE364" s="706"/>
      <c r="AF364" s="706"/>
      <c r="AG364" s="706"/>
      <c r="AH364" s="706"/>
      <c r="AI364" s="705" t="s">
        <v>1013</v>
      </c>
      <c r="AJ364" s="722">
        <f>+(0.005*100)/1</f>
        <v>0.5</v>
      </c>
      <c r="AK364" s="722">
        <v>0</v>
      </c>
      <c r="AL364" s="722">
        <v>0</v>
      </c>
      <c r="AM364" s="722">
        <v>0</v>
      </c>
      <c r="AN364" s="722">
        <f>+AJ364</f>
        <v>0.5</v>
      </c>
      <c r="AO364" s="705" t="s">
        <v>1049</v>
      </c>
      <c r="AP364" s="716" t="s">
        <v>202</v>
      </c>
      <c r="AQ364" s="705" t="s">
        <v>87</v>
      </c>
      <c r="AR364" s="716">
        <v>0</v>
      </c>
      <c r="AS364" s="716">
        <v>1</v>
      </c>
      <c r="AT364" s="716">
        <v>0</v>
      </c>
      <c r="AU364" s="716">
        <v>0</v>
      </c>
      <c r="AV364" s="716">
        <v>0</v>
      </c>
      <c r="AW364" s="716">
        <v>1</v>
      </c>
      <c r="AX364" s="716">
        <v>1</v>
      </c>
      <c r="AY364" s="723">
        <v>50000000</v>
      </c>
      <c r="AZ364" s="723">
        <v>50000000</v>
      </c>
      <c r="BA364" s="723">
        <v>0</v>
      </c>
      <c r="BB364" s="723">
        <v>0</v>
      </c>
      <c r="BC364" s="724">
        <f t="shared" si="87"/>
        <v>100000000</v>
      </c>
      <c r="BD364" s="705" t="s">
        <v>874</v>
      </c>
      <c r="BE364" s="705" t="s">
        <v>237</v>
      </c>
    </row>
    <row r="365" spans="1:57" ht="33.75">
      <c r="A365" s="571"/>
      <c r="B365" s="572"/>
      <c r="C365" s="572"/>
      <c r="D365" s="572"/>
      <c r="E365" s="572"/>
      <c r="F365" s="572"/>
      <c r="G365" s="572"/>
      <c r="H365" s="6"/>
      <c r="I365" s="6"/>
      <c r="J365" s="6"/>
      <c r="K365" s="6"/>
      <c r="L365" s="6"/>
      <c r="M365" s="6"/>
      <c r="N365" s="721"/>
      <c r="O365" s="721"/>
      <c r="P365" s="721"/>
      <c r="Q365" s="721"/>
      <c r="R365" s="721"/>
      <c r="S365" s="721"/>
      <c r="T365" s="721"/>
      <c r="U365" s="721"/>
      <c r="V365" s="721"/>
      <c r="W365" s="721"/>
      <c r="X365" s="721"/>
      <c r="Y365" s="721"/>
      <c r="Z365" s="721"/>
      <c r="AA365" s="721"/>
      <c r="AB365" s="721"/>
      <c r="AC365" s="706"/>
      <c r="AD365" s="706"/>
      <c r="AE365" s="706"/>
      <c r="AF365" s="706"/>
      <c r="AG365" s="706"/>
      <c r="AH365" s="706"/>
      <c r="AI365" s="705" t="s">
        <v>1014</v>
      </c>
      <c r="AJ365" s="722">
        <f>+(0.004*100)/1</f>
        <v>0.4</v>
      </c>
      <c r="AK365" s="722">
        <f>+AJ365*C4</f>
        <v>4.0000000000000008E-2</v>
      </c>
      <c r="AL365" s="722">
        <f>+AJ365*D4</f>
        <v>0.18000000000000002</v>
      </c>
      <c r="AM365" s="722">
        <f>+AJ365*E4</f>
        <v>0.1</v>
      </c>
      <c r="AN365" s="722">
        <f>+AJ365*F4</f>
        <v>8.0000000000000016E-2</v>
      </c>
      <c r="AO365" s="705" t="s">
        <v>1507</v>
      </c>
      <c r="AP365" s="716" t="s">
        <v>202</v>
      </c>
      <c r="AQ365" s="705" t="s">
        <v>88</v>
      </c>
      <c r="AR365" s="716" t="s">
        <v>221</v>
      </c>
      <c r="AS365" s="712">
        <v>1</v>
      </c>
      <c r="AT365" s="712">
        <v>1</v>
      </c>
      <c r="AU365" s="712">
        <v>1</v>
      </c>
      <c r="AV365" s="712">
        <v>1</v>
      </c>
      <c r="AW365" s="712">
        <v>1</v>
      </c>
      <c r="AX365" s="716">
        <v>1</v>
      </c>
      <c r="AY365" s="723">
        <v>0</v>
      </c>
      <c r="AZ365" s="723">
        <v>0</v>
      </c>
      <c r="BA365" s="723">
        <v>0</v>
      </c>
      <c r="BB365" s="723">
        <v>0</v>
      </c>
      <c r="BC365" s="724">
        <f t="shared" si="87"/>
        <v>0</v>
      </c>
      <c r="BD365" s="705" t="s">
        <v>874</v>
      </c>
      <c r="BE365" s="705" t="s">
        <v>237</v>
      </c>
    </row>
    <row r="366" spans="1:57" ht="33.75">
      <c r="A366" s="571"/>
      <c r="B366" s="572"/>
      <c r="C366" s="572"/>
      <c r="D366" s="572"/>
      <c r="E366" s="572"/>
      <c r="F366" s="572"/>
      <c r="G366" s="572"/>
      <c r="H366" s="6"/>
      <c r="I366" s="6"/>
      <c r="J366" s="6"/>
      <c r="K366" s="6"/>
      <c r="L366" s="6"/>
      <c r="M366" s="6"/>
      <c r="N366" s="721"/>
      <c r="O366" s="721"/>
      <c r="P366" s="721"/>
      <c r="Q366" s="721"/>
      <c r="R366" s="721"/>
      <c r="S366" s="721"/>
      <c r="T366" s="721"/>
      <c r="U366" s="721"/>
      <c r="V366" s="721"/>
      <c r="W366" s="721"/>
      <c r="X366" s="721"/>
      <c r="Y366" s="721"/>
      <c r="Z366" s="721"/>
      <c r="AA366" s="721"/>
      <c r="AB366" s="721"/>
      <c r="AC366" s="706"/>
      <c r="AD366" s="706"/>
      <c r="AE366" s="706"/>
      <c r="AF366" s="706"/>
      <c r="AG366" s="706"/>
      <c r="AH366" s="706"/>
      <c r="AI366" s="705" t="s">
        <v>1015</v>
      </c>
      <c r="AJ366" s="722">
        <f>+(0.004*100)/1</f>
        <v>0.4</v>
      </c>
      <c r="AK366" s="722">
        <f>+AJ366*C4</f>
        <v>4.0000000000000008E-2</v>
      </c>
      <c r="AL366" s="722">
        <f>+AJ366*D4</f>
        <v>0.18000000000000002</v>
      </c>
      <c r="AM366" s="722">
        <f>+AJ366*E4</f>
        <v>0.1</v>
      </c>
      <c r="AN366" s="722">
        <f>+AJ366*F4</f>
        <v>8.0000000000000016E-2</v>
      </c>
      <c r="AO366" s="705" t="s">
        <v>1050</v>
      </c>
      <c r="AP366" s="716" t="s">
        <v>202</v>
      </c>
      <c r="AQ366" s="705" t="s">
        <v>87</v>
      </c>
      <c r="AR366" s="716" t="s">
        <v>221</v>
      </c>
      <c r="AS366" s="712">
        <v>1</v>
      </c>
      <c r="AT366" s="712">
        <v>1</v>
      </c>
      <c r="AU366" s="712">
        <v>1</v>
      </c>
      <c r="AV366" s="712">
        <v>1</v>
      </c>
      <c r="AW366" s="712">
        <v>1</v>
      </c>
      <c r="AX366" s="716">
        <v>1</v>
      </c>
      <c r="AY366" s="723">
        <v>0</v>
      </c>
      <c r="AZ366" s="723">
        <v>0</v>
      </c>
      <c r="BA366" s="723">
        <v>0</v>
      </c>
      <c r="BB366" s="723">
        <v>0</v>
      </c>
      <c r="BC366" s="724">
        <f t="shared" si="87"/>
        <v>0</v>
      </c>
      <c r="BD366" s="705" t="s">
        <v>874</v>
      </c>
      <c r="BE366" s="705" t="s">
        <v>237</v>
      </c>
    </row>
    <row r="367" spans="1:57" ht="56.25">
      <c r="A367" s="571"/>
      <c r="B367" s="572"/>
      <c r="C367" s="572"/>
      <c r="D367" s="572"/>
      <c r="E367" s="572"/>
      <c r="F367" s="572"/>
      <c r="G367" s="572"/>
      <c r="H367" s="6"/>
      <c r="I367" s="6"/>
      <c r="J367" s="6"/>
      <c r="K367" s="6"/>
      <c r="L367" s="6"/>
      <c r="M367" s="6"/>
      <c r="N367" s="721"/>
      <c r="O367" s="721"/>
      <c r="P367" s="721"/>
      <c r="Q367" s="721"/>
      <c r="R367" s="721"/>
      <c r="S367" s="721"/>
      <c r="T367" s="721"/>
      <c r="U367" s="721"/>
      <c r="V367" s="721"/>
      <c r="W367" s="721"/>
      <c r="X367" s="721"/>
      <c r="Y367" s="721"/>
      <c r="Z367" s="721"/>
      <c r="AA367" s="721"/>
      <c r="AB367" s="721"/>
      <c r="AC367" s="706"/>
      <c r="AD367" s="706"/>
      <c r="AE367" s="706"/>
      <c r="AF367" s="706"/>
      <c r="AG367" s="706"/>
      <c r="AH367" s="706"/>
      <c r="AI367" s="705" t="s">
        <v>1016</v>
      </c>
      <c r="AJ367" s="722">
        <f>+(0.026*100)/1</f>
        <v>2.6</v>
      </c>
      <c r="AK367" s="722">
        <v>0</v>
      </c>
      <c r="AL367" s="722">
        <v>0</v>
      </c>
      <c r="AM367" s="722">
        <v>0</v>
      </c>
      <c r="AN367" s="722">
        <f>+AJ367</f>
        <v>2.6</v>
      </c>
      <c r="AO367" s="705" t="s">
        <v>1051</v>
      </c>
      <c r="AP367" s="716" t="s">
        <v>202</v>
      </c>
      <c r="AQ367" s="705" t="s">
        <v>87</v>
      </c>
      <c r="AR367" s="716">
        <v>0</v>
      </c>
      <c r="AS367" s="716">
        <v>1</v>
      </c>
      <c r="AT367" s="716">
        <v>0</v>
      </c>
      <c r="AU367" s="716">
        <v>0</v>
      </c>
      <c r="AV367" s="716">
        <v>0</v>
      </c>
      <c r="AW367" s="716">
        <v>1</v>
      </c>
      <c r="AX367" s="716">
        <v>1</v>
      </c>
      <c r="AY367" s="723">
        <v>200000000</v>
      </c>
      <c r="AZ367" s="723">
        <v>100000000</v>
      </c>
      <c r="BA367" s="723">
        <v>100000000</v>
      </c>
      <c r="BB367" s="723">
        <v>100000000</v>
      </c>
      <c r="BC367" s="724">
        <f t="shared" si="87"/>
        <v>500000000</v>
      </c>
      <c r="BD367" s="705" t="s">
        <v>874</v>
      </c>
      <c r="BE367" s="705" t="s">
        <v>237</v>
      </c>
    </row>
    <row r="368" spans="1:57" ht="33.75">
      <c r="A368" s="571"/>
      <c r="B368" s="572"/>
      <c r="C368" s="572"/>
      <c r="D368" s="572"/>
      <c r="E368" s="572"/>
      <c r="F368" s="572"/>
      <c r="G368" s="572"/>
      <c r="H368" s="6"/>
      <c r="I368" s="6"/>
      <c r="J368" s="6"/>
      <c r="K368" s="6"/>
      <c r="L368" s="6"/>
      <c r="M368" s="6"/>
      <c r="N368" s="721"/>
      <c r="O368" s="721"/>
      <c r="P368" s="721"/>
      <c r="Q368" s="721"/>
      <c r="R368" s="721"/>
      <c r="S368" s="721"/>
      <c r="T368" s="721"/>
      <c r="U368" s="721"/>
      <c r="V368" s="721"/>
      <c r="W368" s="721"/>
      <c r="X368" s="721"/>
      <c r="Y368" s="721"/>
      <c r="Z368" s="721"/>
      <c r="AA368" s="721"/>
      <c r="AB368" s="721"/>
      <c r="AC368" s="706"/>
      <c r="AD368" s="706"/>
      <c r="AE368" s="706"/>
      <c r="AF368" s="706"/>
      <c r="AG368" s="706"/>
      <c r="AH368" s="706"/>
      <c r="AI368" s="705" t="s">
        <v>1017</v>
      </c>
      <c r="AJ368" s="722">
        <f>+(0.022*100)/1</f>
        <v>2.1999999999999997</v>
      </c>
      <c r="AK368" s="722">
        <v>0</v>
      </c>
      <c r="AL368" s="722">
        <v>0</v>
      </c>
      <c r="AM368" s="722">
        <v>0</v>
      </c>
      <c r="AN368" s="722">
        <f>+AJ368</f>
        <v>2.1999999999999997</v>
      </c>
      <c r="AO368" s="705" t="s">
        <v>1052</v>
      </c>
      <c r="AP368" s="716" t="s">
        <v>202</v>
      </c>
      <c r="AQ368" s="705" t="s">
        <v>87</v>
      </c>
      <c r="AR368" s="716">
        <v>1</v>
      </c>
      <c r="AS368" s="716">
        <v>4</v>
      </c>
      <c r="AT368" s="716">
        <v>0</v>
      </c>
      <c r="AU368" s="716">
        <v>0</v>
      </c>
      <c r="AV368" s="716">
        <v>0</v>
      </c>
      <c r="AW368" s="716">
        <v>4</v>
      </c>
      <c r="AX368" s="716">
        <v>4</v>
      </c>
      <c r="AY368" s="723">
        <v>200000000</v>
      </c>
      <c r="AZ368" s="723">
        <v>200000000</v>
      </c>
      <c r="BA368" s="723">
        <v>0</v>
      </c>
      <c r="BB368" s="723">
        <v>0</v>
      </c>
      <c r="BC368" s="724">
        <f t="shared" si="87"/>
        <v>400000000</v>
      </c>
      <c r="BD368" s="705" t="s">
        <v>874</v>
      </c>
      <c r="BE368" s="705" t="s">
        <v>237</v>
      </c>
    </row>
    <row r="369" spans="1:57" ht="45">
      <c r="A369" s="571"/>
      <c r="B369" s="572"/>
      <c r="C369" s="572"/>
      <c r="D369" s="572"/>
      <c r="E369" s="572"/>
      <c r="F369" s="572"/>
      <c r="G369" s="572"/>
      <c r="H369" s="6"/>
      <c r="I369" s="6"/>
      <c r="J369" s="6"/>
      <c r="K369" s="6"/>
      <c r="L369" s="6"/>
      <c r="M369" s="6"/>
      <c r="N369" s="721"/>
      <c r="O369" s="721"/>
      <c r="P369" s="721"/>
      <c r="Q369" s="721"/>
      <c r="R369" s="721"/>
      <c r="S369" s="721"/>
      <c r="T369" s="721"/>
      <c r="U369" s="721"/>
      <c r="V369" s="721"/>
      <c r="W369" s="721"/>
      <c r="X369" s="721"/>
      <c r="Y369" s="721"/>
      <c r="Z369" s="721"/>
      <c r="AA369" s="721"/>
      <c r="AB369" s="721"/>
      <c r="AC369" s="706"/>
      <c r="AD369" s="706"/>
      <c r="AE369" s="706"/>
      <c r="AF369" s="706"/>
      <c r="AG369" s="706"/>
      <c r="AH369" s="706"/>
      <c r="AI369" s="705" t="s">
        <v>1018</v>
      </c>
      <c r="AJ369" s="722">
        <f>+(0.026*100)/1</f>
        <v>2.6</v>
      </c>
      <c r="AK369" s="722">
        <v>0</v>
      </c>
      <c r="AL369" s="722">
        <v>0</v>
      </c>
      <c r="AM369" s="722">
        <v>0</v>
      </c>
      <c r="AN369" s="722">
        <f>+AJ369</f>
        <v>2.6</v>
      </c>
      <c r="AO369" s="705" t="s">
        <v>63</v>
      </c>
      <c r="AP369" s="716" t="s">
        <v>202</v>
      </c>
      <c r="AQ369" s="705" t="s">
        <v>87</v>
      </c>
      <c r="AR369" s="716">
        <v>0</v>
      </c>
      <c r="AS369" s="716">
        <v>1</v>
      </c>
      <c r="AT369" s="716">
        <v>0</v>
      </c>
      <c r="AU369" s="716">
        <v>0</v>
      </c>
      <c r="AV369" s="716">
        <v>0</v>
      </c>
      <c r="AW369" s="716">
        <v>1</v>
      </c>
      <c r="AX369" s="716">
        <v>1</v>
      </c>
      <c r="AY369" s="723">
        <v>200000000</v>
      </c>
      <c r="AZ369" s="723">
        <v>100000000</v>
      </c>
      <c r="BA369" s="723">
        <v>100000000</v>
      </c>
      <c r="BB369" s="723">
        <v>100000000</v>
      </c>
      <c r="BC369" s="724">
        <f t="shared" si="87"/>
        <v>500000000</v>
      </c>
      <c r="BD369" s="705" t="s">
        <v>874</v>
      </c>
      <c r="BE369" s="705" t="s">
        <v>237</v>
      </c>
    </row>
    <row r="370" spans="1:57" ht="60.75" customHeight="1">
      <c r="A370" s="571"/>
      <c r="B370" s="572"/>
      <c r="C370" s="572"/>
      <c r="D370" s="572"/>
      <c r="E370" s="572"/>
      <c r="F370" s="572"/>
      <c r="G370" s="572"/>
      <c r="H370" s="6"/>
      <c r="I370" s="6"/>
      <c r="J370" s="6"/>
      <c r="K370" s="6"/>
      <c r="L370" s="6"/>
      <c r="M370" s="6"/>
      <c r="N370" s="721"/>
      <c r="O370" s="721"/>
      <c r="P370" s="721"/>
      <c r="Q370" s="721"/>
      <c r="R370" s="721"/>
      <c r="S370" s="721"/>
      <c r="T370" s="721"/>
      <c r="U370" s="721"/>
      <c r="V370" s="721"/>
      <c r="W370" s="721"/>
      <c r="X370" s="721"/>
      <c r="Y370" s="721"/>
      <c r="Z370" s="721"/>
      <c r="AA370" s="721"/>
      <c r="AB370" s="721"/>
      <c r="AC370" s="706"/>
      <c r="AD370" s="706"/>
      <c r="AE370" s="706"/>
      <c r="AF370" s="706"/>
      <c r="AG370" s="706"/>
      <c r="AH370" s="706"/>
      <c r="AI370" s="705" t="s">
        <v>1019</v>
      </c>
      <c r="AJ370" s="722">
        <f>+(0.027*100)/1</f>
        <v>2.7</v>
      </c>
      <c r="AK370" s="722">
        <v>0</v>
      </c>
      <c r="AL370" s="722">
        <v>0</v>
      </c>
      <c r="AM370" s="722">
        <v>0</v>
      </c>
      <c r="AN370" s="722">
        <f>+AJ370</f>
        <v>2.7</v>
      </c>
      <c r="AO370" s="705" t="s">
        <v>63</v>
      </c>
      <c r="AP370" s="716" t="s">
        <v>202</v>
      </c>
      <c r="AQ370" s="705" t="s">
        <v>87</v>
      </c>
      <c r="AR370" s="716">
        <v>0</v>
      </c>
      <c r="AS370" s="716">
        <v>1</v>
      </c>
      <c r="AT370" s="716">
        <v>0</v>
      </c>
      <c r="AU370" s="716">
        <v>0</v>
      </c>
      <c r="AV370" s="716">
        <v>0</v>
      </c>
      <c r="AW370" s="716">
        <v>1</v>
      </c>
      <c r="AX370" s="716">
        <v>1</v>
      </c>
      <c r="AY370" s="723">
        <v>250000000</v>
      </c>
      <c r="AZ370" s="723">
        <v>250000000</v>
      </c>
      <c r="BA370" s="723">
        <v>0</v>
      </c>
      <c r="BB370" s="723">
        <v>0</v>
      </c>
      <c r="BC370" s="724">
        <f t="shared" si="87"/>
        <v>500000000</v>
      </c>
      <c r="BD370" s="705" t="s">
        <v>874</v>
      </c>
      <c r="BE370" s="705" t="s">
        <v>132</v>
      </c>
    </row>
    <row r="371" spans="1:57" ht="33.75">
      <c r="A371" s="571"/>
      <c r="B371" s="572"/>
      <c r="C371" s="572"/>
      <c r="D371" s="572"/>
      <c r="E371" s="572"/>
      <c r="F371" s="572"/>
      <c r="G371" s="572"/>
      <c r="H371" s="6"/>
      <c r="I371" s="6"/>
      <c r="J371" s="6"/>
      <c r="K371" s="6"/>
      <c r="L371" s="6"/>
      <c r="M371" s="6"/>
      <c r="N371" s="721"/>
      <c r="O371" s="721"/>
      <c r="P371" s="721"/>
      <c r="Q371" s="721"/>
      <c r="R371" s="721"/>
      <c r="S371" s="721"/>
      <c r="T371" s="721"/>
      <c r="U371" s="721"/>
      <c r="V371" s="721"/>
      <c r="W371" s="721"/>
      <c r="X371" s="721"/>
      <c r="Y371" s="721"/>
      <c r="Z371" s="721"/>
      <c r="AA371" s="721"/>
      <c r="AB371" s="721"/>
      <c r="AC371" s="706"/>
      <c r="AD371" s="706"/>
      <c r="AE371" s="706"/>
      <c r="AF371" s="706"/>
      <c r="AG371" s="706"/>
      <c r="AH371" s="706"/>
      <c r="AI371" s="705" t="s">
        <v>1020</v>
      </c>
      <c r="AJ371" s="722">
        <f>+(0.072*100)/1</f>
        <v>7.1999999999999993</v>
      </c>
      <c r="AK371" s="722">
        <f>+AJ371*C4</f>
        <v>0.72</v>
      </c>
      <c r="AL371" s="722">
        <f>+AJ371*D4</f>
        <v>3.2399999999999998</v>
      </c>
      <c r="AM371" s="722">
        <f>+AJ371*E4</f>
        <v>1.7999999999999998</v>
      </c>
      <c r="AN371" s="722">
        <f>+AJ371*F4</f>
        <v>1.44</v>
      </c>
      <c r="AO371" s="705" t="s">
        <v>1053</v>
      </c>
      <c r="AP371" s="716" t="s">
        <v>202</v>
      </c>
      <c r="AQ371" s="705" t="s">
        <v>87</v>
      </c>
      <c r="AR371" s="716">
        <v>4</v>
      </c>
      <c r="AS371" s="716">
        <v>4</v>
      </c>
      <c r="AT371" s="716">
        <v>1</v>
      </c>
      <c r="AU371" s="716">
        <v>1</v>
      </c>
      <c r="AV371" s="716">
        <v>1</v>
      </c>
      <c r="AW371" s="716">
        <v>1</v>
      </c>
      <c r="AX371" s="716">
        <v>4</v>
      </c>
      <c r="AY371" s="723">
        <v>1200000000</v>
      </c>
      <c r="AZ371" s="723">
        <v>500000000</v>
      </c>
      <c r="BA371" s="723">
        <v>400000000</v>
      </c>
      <c r="BB371" s="723">
        <v>0</v>
      </c>
      <c r="BC371" s="724">
        <f t="shared" si="87"/>
        <v>2100000000</v>
      </c>
      <c r="BD371" s="705" t="s">
        <v>874</v>
      </c>
      <c r="BE371" s="705" t="s">
        <v>205</v>
      </c>
    </row>
    <row r="372" spans="1:57" ht="33.75">
      <c r="A372" s="571"/>
      <c r="B372" s="572"/>
      <c r="C372" s="572"/>
      <c r="D372" s="572"/>
      <c r="E372" s="572"/>
      <c r="F372" s="572"/>
      <c r="G372" s="572"/>
      <c r="H372" s="6"/>
      <c r="I372" s="6"/>
      <c r="J372" s="6"/>
      <c r="K372" s="6"/>
      <c r="L372" s="6"/>
      <c r="M372" s="6"/>
      <c r="N372" s="721"/>
      <c r="O372" s="721"/>
      <c r="P372" s="721"/>
      <c r="Q372" s="721"/>
      <c r="R372" s="721"/>
      <c r="S372" s="721"/>
      <c r="T372" s="721"/>
      <c r="U372" s="721"/>
      <c r="V372" s="721"/>
      <c r="W372" s="721"/>
      <c r="X372" s="721"/>
      <c r="Y372" s="721"/>
      <c r="Z372" s="721"/>
      <c r="AA372" s="721"/>
      <c r="AB372" s="721"/>
      <c r="AC372" s="706"/>
      <c r="AD372" s="706"/>
      <c r="AE372" s="706"/>
      <c r="AF372" s="706"/>
      <c r="AG372" s="706"/>
      <c r="AH372" s="706"/>
      <c r="AI372" s="705" t="s">
        <v>1021</v>
      </c>
      <c r="AJ372" s="722">
        <f>+(0.038*100)/1</f>
        <v>3.8</v>
      </c>
      <c r="AK372" s="722">
        <f>+AJ372*C4</f>
        <v>0.38</v>
      </c>
      <c r="AL372" s="722">
        <f>+AJ372*D4</f>
        <v>1.71</v>
      </c>
      <c r="AM372" s="722">
        <f>+AJ372*E4</f>
        <v>0.95</v>
      </c>
      <c r="AN372" s="722">
        <f>+AJ372*F4</f>
        <v>0.76</v>
      </c>
      <c r="AO372" s="705" t="s">
        <v>1054</v>
      </c>
      <c r="AP372" s="716" t="s">
        <v>202</v>
      </c>
      <c r="AQ372" s="705" t="s">
        <v>87</v>
      </c>
      <c r="AR372" s="716">
        <v>4</v>
      </c>
      <c r="AS372" s="716">
        <v>4</v>
      </c>
      <c r="AT372" s="716">
        <v>1</v>
      </c>
      <c r="AU372" s="716">
        <v>1</v>
      </c>
      <c r="AV372" s="716">
        <v>1</v>
      </c>
      <c r="AW372" s="716">
        <v>1</v>
      </c>
      <c r="AX372" s="716">
        <v>4</v>
      </c>
      <c r="AY372" s="723">
        <v>400000000</v>
      </c>
      <c r="AZ372" s="723">
        <v>200000000</v>
      </c>
      <c r="BA372" s="723">
        <v>200000000</v>
      </c>
      <c r="BB372" s="723">
        <v>0</v>
      </c>
      <c r="BC372" s="724">
        <f t="shared" si="87"/>
        <v>800000000</v>
      </c>
      <c r="BD372" s="705" t="s">
        <v>874</v>
      </c>
      <c r="BE372" s="705" t="s">
        <v>205</v>
      </c>
    </row>
    <row r="373" spans="1:57" ht="33.75">
      <c r="A373" s="571"/>
      <c r="B373" s="572"/>
      <c r="C373" s="572"/>
      <c r="D373" s="572"/>
      <c r="E373" s="572"/>
      <c r="F373" s="572"/>
      <c r="G373" s="572"/>
      <c r="H373" s="6"/>
      <c r="I373" s="6"/>
      <c r="J373" s="6"/>
      <c r="K373" s="6"/>
      <c r="L373" s="6"/>
      <c r="M373" s="6"/>
      <c r="N373" s="721"/>
      <c r="O373" s="721"/>
      <c r="P373" s="721"/>
      <c r="Q373" s="721"/>
      <c r="R373" s="721"/>
      <c r="S373" s="721"/>
      <c r="T373" s="721"/>
      <c r="U373" s="721"/>
      <c r="V373" s="721"/>
      <c r="W373" s="721"/>
      <c r="X373" s="721"/>
      <c r="Y373" s="721"/>
      <c r="Z373" s="721"/>
      <c r="AA373" s="721"/>
      <c r="AB373" s="721"/>
      <c r="AC373" s="706"/>
      <c r="AD373" s="706"/>
      <c r="AE373" s="706"/>
      <c r="AF373" s="706"/>
      <c r="AG373" s="706"/>
      <c r="AH373" s="706"/>
      <c r="AI373" s="705" t="s">
        <v>1022</v>
      </c>
      <c r="AJ373" s="722">
        <f>+(0.006*100)/1</f>
        <v>0.6</v>
      </c>
      <c r="AK373" s="722">
        <f>+AJ373*C4</f>
        <v>0.06</v>
      </c>
      <c r="AL373" s="722">
        <v>0.54</v>
      </c>
      <c r="AM373" s="722">
        <v>0</v>
      </c>
      <c r="AN373" s="722">
        <v>0</v>
      </c>
      <c r="AO373" s="705" t="s">
        <v>1055</v>
      </c>
      <c r="AP373" s="716" t="s">
        <v>202</v>
      </c>
      <c r="AQ373" s="705" t="s">
        <v>87</v>
      </c>
      <c r="AR373" s="716">
        <v>0</v>
      </c>
      <c r="AS373" s="716">
        <v>1</v>
      </c>
      <c r="AT373" s="716">
        <v>1</v>
      </c>
      <c r="AU373" s="716">
        <v>1</v>
      </c>
      <c r="AV373" s="716">
        <v>0</v>
      </c>
      <c r="AW373" s="716">
        <v>0</v>
      </c>
      <c r="AX373" s="716">
        <v>1</v>
      </c>
      <c r="AY373" s="723">
        <v>300000000</v>
      </c>
      <c r="AZ373" s="723">
        <v>0</v>
      </c>
      <c r="BA373" s="723">
        <v>0</v>
      </c>
      <c r="BB373" s="723">
        <v>0</v>
      </c>
      <c r="BC373" s="724">
        <f t="shared" si="87"/>
        <v>300000000</v>
      </c>
      <c r="BD373" s="705" t="s">
        <v>874</v>
      </c>
      <c r="BE373" s="705" t="s">
        <v>112</v>
      </c>
    </row>
    <row r="374" spans="1:57" ht="33.75">
      <c r="A374" s="571"/>
      <c r="B374" s="572"/>
      <c r="C374" s="572"/>
      <c r="D374" s="572"/>
      <c r="E374" s="572"/>
      <c r="F374" s="572"/>
      <c r="G374" s="572"/>
      <c r="H374" s="6"/>
      <c r="I374" s="6"/>
      <c r="J374" s="6"/>
      <c r="K374" s="6"/>
      <c r="L374" s="6"/>
      <c r="M374" s="6"/>
      <c r="N374" s="652"/>
      <c r="O374" s="652"/>
      <c r="P374" s="652"/>
      <c r="Q374" s="652"/>
      <c r="R374" s="652"/>
      <c r="S374" s="652"/>
      <c r="T374" s="652"/>
      <c r="U374" s="652"/>
      <c r="V374" s="652"/>
      <c r="W374" s="652"/>
      <c r="X374" s="652"/>
      <c r="Y374" s="652"/>
      <c r="Z374" s="652"/>
      <c r="AA374" s="652"/>
      <c r="AB374" s="652"/>
      <c r="AC374" s="706"/>
      <c r="AD374" s="706"/>
      <c r="AE374" s="706"/>
      <c r="AF374" s="706"/>
      <c r="AG374" s="706"/>
      <c r="AH374" s="706"/>
      <c r="AI374" s="705" t="s">
        <v>1023</v>
      </c>
      <c r="AJ374" s="722">
        <f>+(0.015*100)/1</f>
        <v>1.5</v>
      </c>
      <c r="AK374" s="722">
        <f>+AJ374*C4</f>
        <v>0.15000000000000002</v>
      </c>
      <c r="AL374" s="722">
        <f>+AJ374*D4</f>
        <v>0.67500000000000004</v>
      </c>
      <c r="AM374" s="722">
        <f>+AJ374*E4</f>
        <v>0.375</v>
      </c>
      <c r="AN374" s="722">
        <f>+AJ374*F4</f>
        <v>0.30000000000000004</v>
      </c>
      <c r="AO374" s="705" t="s">
        <v>1056</v>
      </c>
      <c r="AP374" s="716" t="s">
        <v>202</v>
      </c>
      <c r="AQ374" s="705" t="s">
        <v>87</v>
      </c>
      <c r="AR374" s="716">
        <v>1</v>
      </c>
      <c r="AS374" s="716">
        <v>4</v>
      </c>
      <c r="AT374" s="716">
        <v>1</v>
      </c>
      <c r="AU374" s="716">
        <v>1</v>
      </c>
      <c r="AV374" s="716">
        <v>1</v>
      </c>
      <c r="AW374" s="716">
        <v>1</v>
      </c>
      <c r="AX374" s="716">
        <v>4</v>
      </c>
      <c r="AY374" s="723">
        <v>60000000</v>
      </c>
      <c r="AZ374" s="723">
        <v>60000000</v>
      </c>
      <c r="BA374" s="723">
        <v>60000000</v>
      </c>
      <c r="BB374" s="723">
        <v>60000000</v>
      </c>
      <c r="BC374" s="724">
        <f t="shared" si="87"/>
        <v>240000000</v>
      </c>
      <c r="BD374" s="705" t="s">
        <v>874</v>
      </c>
      <c r="BE374" s="705" t="s">
        <v>704</v>
      </c>
    </row>
    <row r="375" spans="1:57" ht="67.5">
      <c r="A375" s="571"/>
      <c r="B375" s="572"/>
      <c r="C375" s="572"/>
      <c r="D375" s="572"/>
      <c r="E375" s="572"/>
      <c r="F375" s="572"/>
      <c r="G375" s="572"/>
      <c r="H375" s="6"/>
      <c r="I375" s="6"/>
      <c r="J375" s="6"/>
      <c r="K375" s="6"/>
      <c r="L375" s="6"/>
      <c r="M375" s="6"/>
      <c r="N375" s="157" t="s">
        <v>912</v>
      </c>
      <c r="O375" s="404">
        <f>+(0.2*100)/5</f>
        <v>4</v>
      </c>
      <c r="P375" s="404">
        <f>+O375*C4</f>
        <v>0.4</v>
      </c>
      <c r="Q375" s="404">
        <f>+O375*D4</f>
        <v>1.8</v>
      </c>
      <c r="R375" s="404">
        <f>+O375*E4</f>
        <v>1</v>
      </c>
      <c r="S375" s="404">
        <f>+O375*F4</f>
        <v>0.8</v>
      </c>
      <c r="T375" s="157" t="s">
        <v>925</v>
      </c>
      <c r="U375" s="157" t="s">
        <v>202</v>
      </c>
      <c r="V375" s="157" t="s">
        <v>87</v>
      </c>
      <c r="W375" s="198" t="s">
        <v>221</v>
      </c>
      <c r="X375" s="298">
        <v>1</v>
      </c>
      <c r="Y375" s="298">
        <v>1</v>
      </c>
      <c r="Z375" s="298">
        <v>1</v>
      </c>
      <c r="AA375" s="298">
        <v>1</v>
      </c>
      <c r="AB375" s="298">
        <v>1</v>
      </c>
      <c r="AC375" s="706"/>
      <c r="AD375" s="706"/>
      <c r="AE375" s="706"/>
      <c r="AF375" s="706"/>
      <c r="AG375" s="706"/>
      <c r="AH375" s="706"/>
      <c r="AI375" s="705" t="s">
        <v>1024</v>
      </c>
      <c r="AJ375" s="722">
        <f>+(0.004*100)/1</f>
        <v>0.4</v>
      </c>
      <c r="AK375" s="722">
        <f>+AJ375*C4</f>
        <v>4.0000000000000008E-2</v>
      </c>
      <c r="AL375" s="722">
        <f>+AJ375*D4</f>
        <v>0.18000000000000002</v>
      </c>
      <c r="AM375" s="722">
        <f>+AJ375*E4</f>
        <v>0.1</v>
      </c>
      <c r="AN375" s="722">
        <f>+AJ375*F4</f>
        <v>8.0000000000000016E-2</v>
      </c>
      <c r="AO375" s="705" t="s">
        <v>1057</v>
      </c>
      <c r="AP375" s="716" t="s">
        <v>202</v>
      </c>
      <c r="AQ375" s="705" t="s">
        <v>87</v>
      </c>
      <c r="AR375" s="716">
        <v>1</v>
      </c>
      <c r="AS375" s="716">
        <v>4</v>
      </c>
      <c r="AT375" s="716">
        <v>1</v>
      </c>
      <c r="AU375" s="716">
        <v>1</v>
      </c>
      <c r="AV375" s="716">
        <v>1</v>
      </c>
      <c r="AW375" s="716">
        <v>1</v>
      </c>
      <c r="AX375" s="716">
        <v>4</v>
      </c>
      <c r="AY375" s="723">
        <v>0</v>
      </c>
      <c r="AZ375" s="723">
        <v>0</v>
      </c>
      <c r="BA375" s="723">
        <v>0</v>
      </c>
      <c r="BB375" s="723">
        <v>0</v>
      </c>
      <c r="BC375" s="724">
        <f t="shared" si="87"/>
        <v>0</v>
      </c>
      <c r="BD375" s="705" t="s">
        <v>874</v>
      </c>
      <c r="BE375" s="705" t="s">
        <v>112</v>
      </c>
    </row>
    <row r="376" spans="1:57" ht="114" customHeight="1">
      <c r="A376" s="571"/>
      <c r="B376" s="572"/>
      <c r="C376" s="572"/>
      <c r="D376" s="572"/>
      <c r="E376" s="572"/>
      <c r="F376" s="572"/>
      <c r="G376" s="572"/>
      <c r="H376" s="6"/>
      <c r="I376" s="6"/>
      <c r="J376" s="6"/>
      <c r="K376" s="6"/>
      <c r="L376" s="6"/>
      <c r="M376" s="6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706"/>
      <c r="AD376" s="706"/>
      <c r="AE376" s="706"/>
      <c r="AF376" s="706"/>
      <c r="AG376" s="706"/>
      <c r="AH376" s="706"/>
      <c r="AI376" s="705" t="s">
        <v>1025</v>
      </c>
      <c r="AJ376" s="722">
        <f>+(0.022*100)/1</f>
        <v>2.1999999999999997</v>
      </c>
      <c r="AK376" s="722">
        <f>+AJ376*C4</f>
        <v>0.21999999999999997</v>
      </c>
      <c r="AL376" s="722">
        <f>+AJ376*D4</f>
        <v>0.98999999999999988</v>
      </c>
      <c r="AM376" s="722">
        <f>+AJ376*E4</f>
        <v>0.54999999999999993</v>
      </c>
      <c r="AN376" s="722">
        <f>+AJ376*F4</f>
        <v>0.43999999999999995</v>
      </c>
      <c r="AO376" s="705" t="s">
        <v>82</v>
      </c>
      <c r="AP376" s="716" t="s">
        <v>203</v>
      </c>
      <c r="AQ376" s="705" t="s">
        <v>87</v>
      </c>
      <c r="AR376" s="716">
        <v>1</v>
      </c>
      <c r="AS376" s="716">
        <v>1</v>
      </c>
      <c r="AT376" s="716">
        <v>1</v>
      </c>
      <c r="AU376" s="716">
        <v>1</v>
      </c>
      <c r="AV376" s="716">
        <v>1</v>
      </c>
      <c r="AW376" s="716">
        <v>1</v>
      </c>
      <c r="AX376" s="716">
        <v>1</v>
      </c>
      <c r="AY376" s="723">
        <v>250000000</v>
      </c>
      <c r="AZ376" s="723">
        <v>100000000</v>
      </c>
      <c r="BA376" s="723">
        <v>100000000</v>
      </c>
      <c r="BB376" s="723">
        <v>50000000</v>
      </c>
      <c r="BC376" s="724">
        <f t="shared" si="87"/>
        <v>500000000</v>
      </c>
      <c r="BD376" s="705" t="s">
        <v>874</v>
      </c>
      <c r="BE376" s="705" t="s">
        <v>112</v>
      </c>
    </row>
    <row r="377" spans="1:57" ht="33.75">
      <c r="A377" s="571"/>
      <c r="B377" s="572"/>
      <c r="C377" s="572"/>
      <c r="D377" s="572"/>
      <c r="E377" s="572"/>
      <c r="F377" s="572"/>
      <c r="G377" s="572"/>
      <c r="H377" s="6"/>
      <c r="I377" s="6"/>
      <c r="J377" s="6"/>
      <c r="K377" s="6"/>
      <c r="L377" s="6"/>
      <c r="M377" s="6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706"/>
      <c r="AD377" s="706"/>
      <c r="AE377" s="706"/>
      <c r="AF377" s="706"/>
      <c r="AG377" s="706"/>
      <c r="AH377" s="706"/>
      <c r="AI377" s="705" t="s">
        <v>1026</v>
      </c>
      <c r="AJ377" s="722">
        <f>+(0.013*100)/1</f>
        <v>1.3</v>
      </c>
      <c r="AK377" s="722">
        <f>+AJ377*C4</f>
        <v>0.13</v>
      </c>
      <c r="AL377" s="722">
        <f>+AJ377*D4</f>
        <v>0.58500000000000008</v>
      </c>
      <c r="AM377" s="722">
        <v>0.59</v>
      </c>
      <c r="AN377" s="722">
        <v>0</v>
      </c>
      <c r="AO377" s="705" t="s">
        <v>1058</v>
      </c>
      <c r="AP377" s="716" t="s">
        <v>202</v>
      </c>
      <c r="AQ377" s="705" t="s">
        <v>87</v>
      </c>
      <c r="AR377" s="716">
        <v>0</v>
      </c>
      <c r="AS377" s="716">
        <v>4</v>
      </c>
      <c r="AT377" s="716">
        <v>2</v>
      </c>
      <c r="AU377" s="716">
        <v>1</v>
      </c>
      <c r="AV377" s="716">
        <v>1</v>
      </c>
      <c r="AW377" s="716">
        <v>0</v>
      </c>
      <c r="AX377" s="716">
        <v>4</v>
      </c>
      <c r="AY377" s="723">
        <v>140000000</v>
      </c>
      <c r="AZ377" s="723">
        <v>70000000</v>
      </c>
      <c r="BA377" s="723">
        <v>70000000</v>
      </c>
      <c r="BB377" s="723">
        <v>0</v>
      </c>
      <c r="BC377" s="724">
        <f t="shared" si="87"/>
        <v>280000000</v>
      </c>
      <c r="BD377" s="705" t="s">
        <v>874</v>
      </c>
      <c r="BE377" s="705" t="s">
        <v>112</v>
      </c>
    </row>
    <row r="378" spans="1:57" ht="33.75">
      <c r="A378" s="571"/>
      <c r="B378" s="572"/>
      <c r="C378" s="572"/>
      <c r="D378" s="572"/>
      <c r="E378" s="572"/>
      <c r="F378" s="572"/>
      <c r="G378" s="572"/>
      <c r="H378" s="6"/>
      <c r="I378" s="6"/>
      <c r="J378" s="6"/>
      <c r="K378" s="6"/>
      <c r="L378" s="6"/>
      <c r="M378" s="6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706"/>
      <c r="AD378" s="706"/>
      <c r="AE378" s="706"/>
      <c r="AF378" s="706"/>
      <c r="AG378" s="706"/>
      <c r="AH378" s="706"/>
      <c r="AI378" s="705" t="s">
        <v>1027</v>
      </c>
      <c r="AJ378" s="722">
        <f>+(0.026*100)/1</f>
        <v>2.6</v>
      </c>
      <c r="AK378" s="722">
        <f>+AJ378*C4</f>
        <v>0.26</v>
      </c>
      <c r="AL378" s="722">
        <f>+AJ378*D4</f>
        <v>1.1700000000000002</v>
      </c>
      <c r="AM378" s="722">
        <f>+AJ378*E4</f>
        <v>0.65</v>
      </c>
      <c r="AN378" s="722">
        <f>+AJ378*F4</f>
        <v>0.52</v>
      </c>
      <c r="AO378" s="705" t="s">
        <v>63</v>
      </c>
      <c r="AP378" s="716" t="s">
        <v>203</v>
      </c>
      <c r="AQ378" s="705" t="s">
        <v>87</v>
      </c>
      <c r="AR378" s="716">
        <v>0</v>
      </c>
      <c r="AS378" s="716">
        <v>1</v>
      </c>
      <c r="AT378" s="716">
        <v>1</v>
      </c>
      <c r="AU378" s="716">
        <v>1</v>
      </c>
      <c r="AV378" s="716">
        <v>1</v>
      </c>
      <c r="AW378" s="716">
        <v>1</v>
      </c>
      <c r="AX378" s="716">
        <v>1</v>
      </c>
      <c r="AY378" s="723">
        <v>200000000</v>
      </c>
      <c r="AZ378" s="723">
        <v>100000000</v>
      </c>
      <c r="BA378" s="723">
        <v>100000000</v>
      </c>
      <c r="BB378" s="723">
        <v>100000000</v>
      </c>
      <c r="BC378" s="724">
        <f t="shared" si="87"/>
        <v>500000000</v>
      </c>
      <c r="BD378" s="705" t="s">
        <v>874</v>
      </c>
      <c r="BE378" s="705" t="s">
        <v>112</v>
      </c>
    </row>
    <row r="379" spans="1:57" ht="67.5">
      <c r="A379" s="571"/>
      <c r="B379" s="572"/>
      <c r="C379" s="572"/>
      <c r="D379" s="572"/>
      <c r="E379" s="572"/>
      <c r="F379" s="572"/>
      <c r="G379" s="572"/>
      <c r="H379" s="6"/>
      <c r="I379" s="6"/>
      <c r="J379" s="6"/>
      <c r="K379" s="6"/>
      <c r="L379" s="6"/>
      <c r="M379" s="6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706"/>
      <c r="AD379" s="706"/>
      <c r="AE379" s="706"/>
      <c r="AF379" s="706"/>
      <c r="AG379" s="706"/>
      <c r="AH379" s="706"/>
      <c r="AI379" s="705" t="s">
        <v>1028</v>
      </c>
      <c r="AJ379" s="722">
        <f>+(0.026*100)/1</f>
        <v>2.6</v>
      </c>
      <c r="AK379" s="722">
        <f>+AJ379*C4</f>
        <v>0.26</v>
      </c>
      <c r="AL379" s="722">
        <f>+AJ379*D4</f>
        <v>1.1700000000000002</v>
      </c>
      <c r="AM379" s="722">
        <f>+AJ379*E4</f>
        <v>0.65</v>
      </c>
      <c r="AN379" s="722">
        <f>+AJ379*F4</f>
        <v>0.52</v>
      </c>
      <c r="AO379" s="705" t="s">
        <v>1059</v>
      </c>
      <c r="AP379" s="716" t="s">
        <v>202</v>
      </c>
      <c r="AQ379" s="705" t="s">
        <v>88</v>
      </c>
      <c r="AR379" s="712">
        <v>0</v>
      </c>
      <c r="AS379" s="728">
        <v>1</v>
      </c>
      <c r="AT379" s="712">
        <v>0.4</v>
      </c>
      <c r="AU379" s="712">
        <v>0.6</v>
      </c>
      <c r="AV379" s="712">
        <v>0.8</v>
      </c>
      <c r="AW379" s="712">
        <v>1</v>
      </c>
      <c r="AX379" s="728">
        <v>1</v>
      </c>
      <c r="AY379" s="723">
        <v>200000000</v>
      </c>
      <c r="AZ379" s="723">
        <v>100000000</v>
      </c>
      <c r="BA379" s="723">
        <v>100000000</v>
      </c>
      <c r="BB379" s="723">
        <v>100000000</v>
      </c>
      <c r="BC379" s="724">
        <f t="shared" si="87"/>
        <v>500000000</v>
      </c>
      <c r="BD379" s="705" t="s">
        <v>874</v>
      </c>
      <c r="BE379" s="705" t="s">
        <v>112</v>
      </c>
    </row>
    <row r="380" spans="1:57" ht="33.75">
      <c r="A380" s="571"/>
      <c r="B380" s="572"/>
      <c r="C380" s="572"/>
      <c r="D380" s="572"/>
      <c r="E380" s="572"/>
      <c r="F380" s="572"/>
      <c r="G380" s="572"/>
      <c r="H380" s="6"/>
      <c r="I380" s="6"/>
      <c r="J380" s="6"/>
      <c r="K380" s="6"/>
      <c r="L380" s="6"/>
      <c r="M380" s="6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709"/>
      <c r="AD380" s="709"/>
      <c r="AE380" s="709"/>
      <c r="AF380" s="709"/>
      <c r="AG380" s="709"/>
      <c r="AH380" s="709"/>
      <c r="AI380" s="705" t="s">
        <v>1029</v>
      </c>
      <c r="AJ380" s="722">
        <f>+(0.024*100)/1</f>
        <v>2.4</v>
      </c>
      <c r="AK380" s="722">
        <f>+AJ380*C4</f>
        <v>0.24</v>
      </c>
      <c r="AL380" s="722">
        <f>+AJ380*D4</f>
        <v>1.08</v>
      </c>
      <c r="AM380" s="722">
        <f>+AJ380*E4</f>
        <v>0.6</v>
      </c>
      <c r="AN380" s="722">
        <f>+AJ380*F4</f>
        <v>0.48</v>
      </c>
      <c r="AO380" s="705" t="s">
        <v>743</v>
      </c>
      <c r="AP380" s="716" t="s">
        <v>203</v>
      </c>
      <c r="AQ380" s="705" t="s">
        <v>87</v>
      </c>
      <c r="AR380" s="716">
        <v>0</v>
      </c>
      <c r="AS380" s="716">
        <v>1</v>
      </c>
      <c r="AT380" s="716">
        <v>1</v>
      </c>
      <c r="AU380" s="716">
        <v>1</v>
      </c>
      <c r="AV380" s="716">
        <v>1</v>
      </c>
      <c r="AW380" s="716">
        <v>1</v>
      </c>
      <c r="AX380" s="716">
        <v>1</v>
      </c>
      <c r="AY380" s="723">
        <v>100000000</v>
      </c>
      <c r="AZ380" s="723">
        <v>100000000</v>
      </c>
      <c r="BA380" s="723">
        <v>100000000</v>
      </c>
      <c r="BB380" s="723">
        <v>100000000</v>
      </c>
      <c r="BC380" s="724">
        <f t="shared" si="87"/>
        <v>400000000</v>
      </c>
      <c r="BD380" s="705" t="s">
        <v>874</v>
      </c>
      <c r="BE380" s="705" t="s">
        <v>112</v>
      </c>
    </row>
    <row r="381" spans="1:57">
      <c r="A381" s="571"/>
      <c r="B381" s="572"/>
      <c r="C381" s="572"/>
      <c r="D381" s="572"/>
      <c r="E381" s="572"/>
      <c r="F381" s="572"/>
      <c r="G381" s="572"/>
      <c r="H381" s="6"/>
      <c r="I381" s="6"/>
      <c r="J381" s="6"/>
      <c r="K381" s="6"/>
      <c r="L381" s="6"/>
      <c r="M381" s="6"/>
      <c r="N381" s="290"/>
      <c r="O381" s="290"/>
      <c r="P381" s="290"/>
      <c r="Q381" s="290"/>
      <c r="R381" s="290"/>
      <c r="S381" s="290"/>
      <c r="T381" s="290"/>
      <c r="U381" s="290"/>
      <c r="V381" s="290"/>
      <c r="W381" s="290"/>
      <c r="X381" s="290"/>
      <c r="Y381" s="290"/>
      <c r="Z381" s="290"/>
      <c r="AA381" s="290"/>
      <c r="AB381" s="290"/>
      <c r="AC381" s="349" t="s">
        <v>1453</v>
      </c>
      <c r="AD381" s="425">
        <f>+AD344</f>
        <v>26</v>
      </c>
      <c r="AE381" s="290"/>
      <c r="AF381" s="290"/>
      <c r="AG381" s="290"/>
      <c r="AH381" s="290"/>
      <c r="AI381" s="290"/>
      <c r="AJ381" s="441">
        <f>SUM(AJ344:AJ380)</f>
        <v>99.800000000000011</v>
      </c>
      <c r="AK381" s="441"/>
      <c r="AL381" s="441"/>
      <c r="AM381" s="441"/>
      <c r="AN381" s="441"/>
      <c r="AO381" s="290"/>
      <c r="AP381" s="299"/>
      <c r="AQ381" s="290"/>
      <c r="AR381" s="290"/>
      <c r="AS381" s="290"/>
      <c r="AT381" s="290"/>
      <c r="AU381" s="290"/>
      <c r="AV381" s="290"/>
      <c r="AW381" s="290"/>
      <c r="AX381" s="290"/>
      <c r="AY381" s="290"/>
      <c r="AZ381" s="290"/>
      <c r="BA381" s="290"/>
      <c r="BB381" s="290"/>
      <c r="BC381" s="290"/>
      <c r="BD381" s="290"/>
      <c r="BE381" s="290"/>
    </row>
    <row r="382" spans="1:57" ht="67.5" customHeight="1">
      <c r="A382" s="571"/>
      <c r="B382" s="572"/>
      <c r="C382" s="572"/>
      <c r="D382" s="572"/>
      <c r="E382" s="572"/>
      <c r="F382" s="572"/>
      <c r="G382" s="572"/>
      <c r="H382" s="6"/>
      <c r="I382" s="6"/>
      <c r="J382" s="6"/>
      <c r="K382" s="6"/>
      <c r="L382" s="6"/>
      <c r="M382" s="6"/>
      <c r="N382" s="157" t="s">
        <v>913</v>
      </c>
      <c r="O382" s="404">
        <f>+(0.5*100)/5</f>
        <v>10</v>
      </c>
      <c r="P382" s="404">
        <f>+O382*C4</f>
        <v>1</v>
      </c>
      <c r="Q382" s="404">
        <f>+O382*D4</f>
        <v>4.5</v>
      </c>
      <c r="R382" s="404">
        <f>+O382*E4</f>
        <v>2.5</v>
      </c>
      <c r="S382" s="404">
        <f>+O382*F4</f>
        <v>2</v>
      </c>
      <c r="T382" s="376" t="s">
        <v>926</v>
      </c>
      <c r="U382" s="157" t="s">
        <v>202</v>
      </c>
      <c r="V382" s="157" t="s">
        <v>88</v>
      </c>
      <c r="W382" s="198" t="s">
        <v>221</v>
      </c>
      <c r="X382" s="298">
        <v>0.5</v>
      </c>
      <c r="Y382" s="298">
        <v>0.5</v>
      </c>
      <c r="Z382" s="298">
        <v>0.5</v>
      </c>
      <c r="AA382" s="298">
        <v>0.5</v>
      </c>
      <c r="AB382" s="298">
        <v>0.5</v>
      </c>
      <c r="AC382" s="705" t="s">
        <v>1061</v>
      </c>
      <c r="AD382" s="711">
        <f>+(0.5*100)/5</f>
        <v>10</v>
      </c>
      <c r="AE382" s="711">
        <f>+AD382*C4</f>
        <v>1</v>
      </c>
      <c r="AF382" s="711">
        <f>+AD382*D4</f>
        <v>4.5</v>
      </c>
      <c r="AG382" s="711">
        <f>+AD382*E4</f>
        <v>2.5</v>
      </c>
      <c r="AH382" s="711">
        <f>+AD382*F4</f>
        <v>2</v>
      </c>
      <c r="AI382" s="705" t="s">
        <v>1062</v>
      </c>
      <c r="AJ382" s="722">
        <f>+(0.027*100)/0.5</f>
        <v>5.4</v>
      </c>
      <c r="AK382" s="722">
        <v>0</v>
      </c>
      <c r="AL382" s="722">
        <v>2.97</v>
      </c>
      <c r="AM382" s="722">
        <f>+AJ382*E4</f>
        <v>1.35</v>
      </c>
      <c r="AN382" s="722">
        <f>+AJ382*F4</f>
        <v>1.08</v>
      </c>
      <c r="AO382" s="705" t="s">
        <v>1079</v>
      </c>
      <c r="AP382" s="716" t="s">
        <v>202</v>
      </c>
      <c r="AQ382" s="705" t="s">
        <v>87</v>
      </c>
      <c r="AR382" s="716">
        <v>46</v>
      </c>
      <c r="AS382" s="716">
        <v>90</v>
      </c>
      <c r="AT382" s="716">
        <v>0</v>
      </c>
      <c r="AU382" s="716">
        <v>15</v>
      </c>
      <c r="AV382" s="716">
        <v>15</v>
      </c>
      <c r="AW382" s="716">
        <v>14</v>
      </c>
      <c r="AX382" s="716">
        <v>44</v>
      </c>
      <c r="AY382" s="723">
        <v>300000000</v>
      </c>
      <c r="AZ382" s="723">
        <v>0</v>
      </c>
      <c r="BA382" s="723">
        <v>150000000</v>
      </c>
      <c r="BB382" s="723">
        <v>150000000</v>
      </c>
      <c r="BC382" s="724">
        <f>SUM(AY382:BB382)</f>
        <v>600000000</v>
      </c>
      <c r="BD382" s="705" t="s">
        <v>874</v>
      </c>
      <c r="BE382" s="705" t="s">
        <v>608</v>
      </c>
    </row>
    <row r="383" spans="1:57" ht="33.75">
      <c r="A383" s="571"/>
      <c r="B383" s="572"/>
      <c r="C383" s="572"/>
      <c r="D383" s="572"/>
      <c r="E383" s="572"/>
      <c r="F383" s="572"/>
      <c r="G383" s="572"/>
      <c r="H383" s="6"/>
      <c r="I383" s="6"/>
      <c r="J383" s="6"/>
      <c r="K383" s="6"/>
      <c r="L383" s="6"/>
      <c r="M383" s="6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192"/>
      <c r="Y383" s="192"/>
      <c r="Z383" s="192"/>
      <c r="AA383" s="192"/>
      <c r="AB383" s="192"/>
      <c r="AC383" s="706"/>
      <c r="AD383" s="725"/>
      <c r="AE383" s="706"/>
      <c r="AF383" s="706"/>
      <c r="AG383" s="706"/>
      <c r="AH383" s="706"/>
      <c r="AI383" s="705" t="s">
        <v>1063</v>
      </c>
      <c r="AJ383" s="722">
        <f>+(0.013*100)/0.5</f>
        <v>2.6</v>
      </c>
      <c r="AK383" s="722">
        <f>+AJ383*C4</f>
        <v>0.26</v>
      </c>
      <c r="AL383" s="722">
        <f>+AJ383*D4</f>
        <v>1.1700000000000002</v>
      </c>
      <c r="AM383" s="722">
        <f>+AJ383*E4</f>
        <v>0.65</v>
      </c>
      <c r="AN383" s="722">
        <f>+AJ383*F4</f>
        <v>0.52</v>
      </c>
      <c r="AO383" s="705" t="s">
        <v>1080</v>
      </c>
      <c r="AP383" s="716" t="s">
        <v>202</v>
      </c>
      <c r="AQ383" s="705" t="s">
        <v>87</v>
      </c>
      <c r="AR383" s="716" t="s">
        <v>221</v>
      </c>
      <c r="AS383" s="712">
        <v>1</v>
      </c>
      <c r="AT383" s="712">
        <v>1</v>
      </c>
      <c r="AU383" s="712">
        <v>1</v>
      </c>
      <c r="AV383" s="712">
        <v>1</v>
      </c>
      <c r="AW383" s="712">
        <v>1</v>
      </c>
      <c r="AX383" s="712">
        <v>1</v>
      </c>
      <c r="AY383" s="723">
        <v>50000000</v>
      </c>
      <c r="AZ383" s="723">
        <v>50000000</v>
      </c>
      <c r="BA383" s="723">
        <v>50000000</v>
      </c>
      <c r="BB383" s="723">
        <v>50000000</v>
      </c>
      <c r="BC383" s="724">
        <f t="shared" ref="BC383:BC398" si="88">SUM(AY383:BB383)</f>
        <v>200000000</v>
      </c>
      <c r="BD383" s="705" t="s">
        <v>874</v>
      </c>
      <c r="BE383" s="705" t="s">
        <v>237</v>
      </c>
    </row>
    <row r="384" spans="1:57" ht="33.75">
      <c r="A384" s="571"/>
      <c r="B384" s="572"/>
      <c r="C384" s="572"/>
      <c r="D384" s="572"/>
      <c r="E384" s="572"/>
      <c r="F384" s="572"/>
      <c r="G384" s="572"/>
      <c r="H384" s="6"/>
      <c r="I384" s="6"/>
      <c r="J384" s="6"/>
      <c r="K384" s="6"/>
      <c r="L384" s="6"/>
      <c r="M384" s="6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192"/>
      <c r="Y384" s="192"/>
      <c r="Z384" s="192"/>
      <c r="AA384" s="192"/>
      <c r="AB384" s="192"/>
      <c r="AC384" s="706"/>
      <c r="AD384" s="706"/>
      <c r="AE384" s="706"/>
      <c r="AF384" s="706"/>
      <c r="AG384" s="706"/>
      <c r="AH384" s="706"/>
      <c r="AI384" s="705" t="s">
        <v>1064</v>
      </c>
      <c r="AJ384" s="722">
        <f>+(0.005*100)/0.5</f>
        <v>1</v>
      </c>
      <c r="AK384" s="722">
        <v>0.1</v>
      </c>
      <c r="AL384" s="722">
        <v>0.5</v>
      </c>
      <c r="AM384" s="722">
        <v>0.4</v>
      </c>
      <c r="AN384" s="722">
        <v>0</v>
      </c>
      <c r="AO384" s="705" t="s">
        <v>1081</v>
      </c>
      <c r="AP384" s="716" t="s">
        <v>202</v>
      </c>
      <c r="AQ384" s="705" t="s">
        <v>87</v>
      </c>
      <c r="AR384" s="716">
        <v>0</v>
      </c>
      <c r="AS384" s="716">
        <v>1</v>
      </c>
      <c r="AT384" s="716">
        <v>1</v>
      </c>
      <c r="AU384" s="716">
        <v>1</v>
      </c>
      <c r="AV384" s="716">
        <v>1</v>
      </c>
      <c r="AW384" s="716">
        <v>0</v>
      </c>
      <c r="AX384" s="716">
        <v>1</v>
      </c>
      <c r="AY384" s="723">
        <v>250000000</v>
      </c>
      <c r="AZ384" s="723">
        <v>0</v>
      </c>
      <c r="BA384" s="723">
        <v>0</v>
      </c>
      <c r="BB384" s="723">
        <v>0</v>
      </c>
      <c r="BC384" s="724">
        <f t="shared" si="88"/>
        <v>250000000</v>
      </c>
      <c r="BD384" s="705" t="s">
        <v>874</v>
      </c>
      <c r="BE384" s="705" t="s">
        <v>608</v>
      </c>
    </row>
    <row r="385" spans="1:57" ht="33.75">
      <c r="A385" s="571"/>
      <c r="B385" s="572"/>
      <c r="C385" s="572"/>
      <c r="D385" s="572"/>
      <c r="E385" s="572"/>
      <c r="F385" s="572"/>
      <c r="G385" s="572"/>
      <c r="H385" s="6"/>
      <c r="I385" s="6"/>
      <c r="J385" s="6"/>
      <c r="K385" s="6"/>
      <c r="L385" s="6"/>
      <c r="M385" s="6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192"/>
      <c r="Y385" s="192"/>
      <c r="Z385" s="192"/>
      <c r="AA385" s="192"/>
      <c r="AB385" s="192"/>
      <c r="AC385" s="706"/>
      <c r="AD385" s="706"/>
      <c r="AE385" s="706"/>
      <c r="AF385" s="706"/>
      <c r="AG385" s="706"/>
      <c r="AH385" s="706"/>
      <c r="AI385" s="705" t="s">
        <v>1065</v>
      </c>
      <c r="AJ385" s="722">
        <f>+(0.017*100)/0.5</f>
        <v>3.4000000000000004</v>
      </c>
      <c r="AK385" s="722">
        <f>+AJ385*C4</f>
        <v>0.34000000000000008</v>
      </c>
      <c r="AL385" s="722">
        <f>+AJ385*D4</f>
        <v>1.5300000000000002</v>
      </c>
      <c r="AM385" s="722">
        <f>+AJ385*E4</f>
        <v>0.85000000000000009</v>
      </c>
      <c r="AN385" s="722">
        <f>+AJ385*F4</f>
        <v>0.68000000000000016</v>
      </c>
      <c r="AO385" s="705" t="s">
        <v>1082</v>
      </c>
      <c r="AP385" s="716" t="s">
        <v>202</v>
      </c>
      <c r="AQ385" s="705" t="s">
        <v>87</v>
      </c>
      <c r="AR385" s="716">
        <v>0</v>
      </c>
      <c r="AS385" s="716">
        <v>1</v>
      </c>
      <c r="AT385" s="716">
        <v>1</v>
      </c>
      <c r="AU385" s="716">
        <v>1</v>
      </c>
      <c r="AV385" s="716">
        <v>1</v>
      </c>
      <c r="AW385" s="716">
        <v>1</v>
      </c>
      <c r="AX385" s="716">
        <v>1</v>
      </c>
      <c r="AY385" s="723">
        <v>100000000</v>
      </c>
      <c r="AZ385" s="723">
        <v>100000000</v>
      </c>
      <c r="BA385" s="723">
        <v>50000000</v>
      </c>
      <c r="BB385" s="723">
        <v>50000000</v>
      </c>
      <c r="BC385" s="724">
        <f t="shared" si="88"/>
        <v>300000000</v>
      </c>
      <c r="BD385" s="705" t="s">
        <v>874</v>
      </c>
      <c r="BE385" s="705" t="s">
        <v>608</v>
      </c>
    </row>
    <row r="386" spans="1:57" ht="33.75">
      <c r="A386" s="571"/>
      <c r="B386" s="572"/>
      <c r="C386" s="572"/>
      <c r="D386" s="572"/>
      <c r="E386" s="572"/>
      <c r="F386" s="572"/>
      <c r="G386" s="572"/>
      <c r="H386" s="6"/>
      <c r="I386" s="6"/>
      <c r="J386" s="6"/>
      <c r="K386" s="6"/>
      <c r="L386" s="6"/>
      <c r="M386" s="6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192"/>
      <c r="Y386" s="192"/>
      <c r="Z386" s="192"/>
      <c r="AA386" s="192"/>
      <c r="AB386" s="192"/>
      <c r="AC386" s="706"/>
      <c r="AD386" s="706"/>
      <c r="AE386" s="706"/>
      <c r="AF386" s="706"/>
      <c r="AG386" s="706"/>
      <c r="AH386" s="706"/>
      <c r="AI386" s="705" t="s">
        <v>1066</v>
      </c>
      <c r="AJ386" s="722">
        <f>+(0.025*100)/0.5</f>
        <v>5</v>
      </c>
      <c r="AK386" s="722">
        <f>+AJ386*C4</f>
        <v>0.5</v>
      </c>
      <c r="AL386" s="722">
        <f>+AJ386*D4</f>
        <v>2.25</v>
      </c>
      <c r="AM386" s="722">
        <f>+AJ386*E4</f>
        <v>1.25</v>
      </c>
      <c r="AN386" s="722">
        <f>+AJ386*F4</f>
        <v>1</v>
      </c>
      <c r="AO386" s="705" t="s">
        <v>1083</v>
      </c>
      <c r="AP386" s="716" t="s">
        <v>202</v>
      </c>
      <c r="AQ386" s="705" t="s">
        <v>87</v>
      </c>
      <c r="AR386" s="716">
        <v>1</v>
      </c>
      <c r="AS386" s="716">
        <v>1</v>
      </c>
      <c r="AT386" s="716">
        <v>1</v>
      </c>
      <c r="AU386" s="716">
        <v>1</v>
      </c>
      <c r="AV386" s="716">
        <v>1</v>
      </c>
      <c r="AW386" s="716">
        <v>1</v>
      </c>
      <c r="AX386" s="716">
        <v>1</v>
      </c>
      <c r="AY386" s="723">
        <v>100000000</v>
      </c>
      <c r="AZ386" s="723">
        <v>100000000</v>
      </c>
      <c r="BA386" s="723">
        <v>100000000</v>
      </c>
      <c r="BB386" s="723">
        <v>100000000</v>
      </c>
      <c r="BC386" s="724">
        <f t="shared" si="88"/>
        <v>400000000</v>
      </c>
      <c r="BD386" s="705" t="s">
        <v>874</v>
      </c>
      <c r="BE386" s="705" t="s">
        <v>608</v>
      </c>
    </row>
    <row r="387" spans="1:57" ht="33.75">
      <c r="A387" s="571"/>
      <c r="B387" s="572"/>
      <c r="C387" s="572"/>
      <c r="D387" s="572"/>
      <c r="E387" s="572"/>
      <c r="F387" s="572"/>
      <c r="G387" s="572"/>
      <c r="H387" s="6"/>
      <c r="I387" s="6"/>
      <c r="J387" s="6"/>
      <c r="K387" s="6"/>
      <c r="L387" s="6"/>
      <c r="M387" s="6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192"/>
      <c r="Y387" s="192"/>
      <c r="Z387" s="192"/>
      <c r="AA387" s="192"/>
      <c r="AB387" s="192"/>
      <c r="AC387" s="706"/>
      <c r="AD387" s="706"/>
      <c r="AE387" s="706"/>
      <c r="AF387" s="706"/>
      <c r="AG387" s="706"/>
      <c r="AH387" s="706"/>
      <c r="AI387" s="705" t="s">
        <v>1067</v>
      </c>
      <c r="AJ387" s="722">
        <f>+(0.041*100)/0.5</f>
        <v>8.2000000000000011</v>
      </c>
      <c r="AK387" s="722">
        <f>+AJ387*C4</f>
        <v>0.82000000000000017</v>
      </c>
      <c r="AL387" s="722">
        <f>+AJ387*D4</f>
        <v>3.6900000000000004</v>
      </c>
      <c r="AM387" s="722">
        <f>+AJ387*E4</f>
        <v>2.0500000000000003</v>
      </c>
      <c r="AN387" s="722">
        <f>+AJ387*F4</f>
        <v>1.6400000000000003</v>
      </c>
      <c r="AO387" s="705" t="s">
        <v>1084</v>
      </c>
      <c r="AP387" s="716" t="s">
        <v>202</v>
      </c>
      <c r="AQ387" s="705" t="s">
        <v>87</v>
      </c>
      <c r="AR387" s="716">
        <v>0</v>
      </c>
      <c r="AS387" s="716">
        <v>200</v>
      </c>
      <c r="AT387" s="716">
        <v>50</v>
      </c>
      <c r="AU387" s="716">
        <v>50</v>
      </c>
      <c r="AV387" s="716">
        <v>50</v>
      </c>
      <c r="AW387" s="716">
        <v>50</v>
      </c>
      <c r="AX387" s="716">
        <v>200</v>
      </c>
      <c r="AY387" s="723">
        <v>500000000</v>
      </c>
      <c r="AZ387" s="723">
        <v>200000000</v>
      </c>
      <c r="BA387" s="723">
        <v>200000000</v>
      </c>
      <c r="BB387" s="723"/>
      <c r="BC387" s="724">
        <f t="shared" si="88"/>
        <v>900000000</v>
      </c>
      <c r="BD387" s="705" t="s">
        <v>874</v>
      </c>
      <c r="BE387" s="705" t="s">
        <v>205</v>
      </c>
    </row>
    <row r="388" spans="1:57" ht="33.75">
      <c r="A388" s="571"/>
      <c r="B388" s="572"/>
      <c r="C388" s="572"/>
      <c r="D388" s="572"/>
      <c r="E388" s="572"/>
      <c r="F388" s="572"/>
      <c r="G388" s="572"/>
      <c r="H388" s="6"/>
      <c r="I388" s="6"/>
      <c r="J388" s="6"/>
      <c r="K388" s="6"/>
      <c r="L388" s="6"/>
      <c r="M388" s="6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192"/>
      <c r="Y388" s="192"/>
      <c r="Z388" s="192"/>
      <c r="AA388" s="192"/>
      <c r="AB388" s="192"/>
      <c r="AC388" s="706"/>
      <c r="AD388" s="706"/>
      <c r="AE388" s="706"/>
      <c r="AF388" s="706"/>
      <c r="AG388" s="706"/>
      <c r="AH388" s="706"/>
      <c r="AI388" s="705" t="s">
        <v>1068</v>
      </c>
      <c r="AJ388" s="722">
        <f>+(0.026*100)/0.5</f>
        <v>5.2</v>
      </c>
      <c r="AK388" s="722">
        <f>+AJ388*C4</f>
        <v>0.52</v>
      </c>
      <c r="AL388" s="722">
        <f>+AJ388*D4</f>
        <v>2.3400000000000003</v>
      </c>
      <c r="AM388" s="722">
        <f>+AJ388*E4</f>
        <v>1.3</v>
      </c>
      <c r="AN388" s="722">
        <f>+AJ388*F4</f>
        <v>1.04</v>
      </c>
      <c r="AO388" s="705" t="s">
        <v>1085</v>
      </c>
      <c r="AP388" s="716" t="s">
        <v>202</v>
      </c>
      <c r="AQ388" s="705" t="s">
        <v>87</v>
      </c>
      <c r="AR388" s="716">
        <v>0</v>
      </c>
      <c r="AS388" s="716">
        <v>200</v>
      </c>
      <c r="AT388" s="716">
        <v>50</v>
      </c>
      <c r="AU388" s="716">
        <v>50</v>
      </c>
      <c r="AV388" s="716">
        <v>50</v>
      </c>
      <c r="AW388" s="716">
        <v>50</v>
      </c>
      <c r="AX388" s="716">
        <v>200</v>
      </c>
      <c r="AY388" s="723">
        <v>300000000</v>
      </c>
      <c r="AZ388" s="723">
        <v>300000000</v>
      </c>
      <c r="BA388" s="723">
        <v>0</v>
      </c>
      <c r="BB388" s="723"/>
      <c r="BC388" s="724">
        <f t="shared" si="88"/>
        <v>600000000</v>
      </c>
      <c r="BD388" s="705" t="s">
        <v>874</v>
      </c>
      <c r="BE388" s="705" t="s">
        <v>205</v>
      </c>
    </row>
    <row r="389" spans="1:57" ht="33.75">
      <c r="A389" s="571"/>
      <c r="B389" s="572"/>
      <c r="C389" s="572"/>
      <c r="D389" s="572"/>
      <c r="E389" s="572"/>
      <c r="F389" s="572"/>
      <c r="G389" s="572"/>
      <c r="H389" s="6"/>
      <c r="I389" s="6"/>
      <c r="J389" s="6"/>
      <c r="K389" s="6"/>
      <c r="L389" s="6"/>
      <c r="M389" s="6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192"/>
      <c r="Y389" s="192"/>
      <c r="Z389" s="192"/>
      <c r="AA389" s="192"/>
      <c r="AB389" s="192"/>
      <c r="AC389" s="706"/>
      <c r="AD389" s="706"/>
      <c r="AE389" s="706"/>
      <c r="AF389" s="706"/>
      <c r="AG389" s="706"/>
      <c r="AH389" s="706"/>
      <c r="AI389" s="705" t="s">
        <v>1069</v>
      </c>
      <c r="AJ389" s="722">
        <f>+(0.146*100)/0.5</f>
        <v>29.2</v>
      </c>
      <c r="AK389" s="722">
        <f>+AJ389*C4</f>
        <v>2.92</v>
      </c>
      <c r="AL389" s="722">
        <v>26.28</v>
      </c>
      <c r="AM389" s="722">
        <v>0</v>
      </c>
      <c r="AN389" s="722">
        <v>0</v>
      </c>
      <c r="AO389" s="705" t="s">
        <v>1086</v>
      </c>
      <c r="AP389" s="716" t="s">
        <v>202</v>
      </c>
      <c r="AQ389" s="705" t="s">
        <v>87</v>
      </c>
      <c r="AR389" s="716">
        <v>0</v>
      </c>
      <c r="AS389" s="716">
        <v>200</v>
      </c>
      <c r="AT389" s="716">
        <v>64</v>
      </c>
      <c r="AU389" s="716">
        <v>136</v>
      </c>
      <c r="AV389" s="716">
        <v>0</v>
      </c>
      <c r="AW389" s="716">
        <v>0</v>
      </c>
      <c r="AX389" s="716">
        <v>200</v>
      </c>
      <c r="AY389" s="723">
        <v>800000000</v>
      </c>
      <c r="AZ389" s="723">
        <v>1246740000</v>
      </c>
      <c r="BA389" s="723">
        <v>446740000</v>
      </c>
      <c r="BB389" s="723">
        <v>0</v>
      </c>
      <c r="BC389" s="724">
        <f t="shared" si="88"/>
        <v>2493480000</v>
      </c>
      <c r="BD389" s="705" t="s">
        <v>874</v>
      </c>
      <c r="BE389" s="705" t="s">
        <v>132</v>
      </c>
    </row>
    <row r="390" spans="1:57" ht="33.75">
      <c r="A390" s="571"/>
      <c r="B390" s="572"/>
      <c r="C390" s="572"/>
      <c r="D390" s="572"/>
      <c r="E390" s="572"/>
      <c r="F390" s="572"/>
      <c r="G390" s="572"/>
      <c r="H390" s="6"/>
      <c r="I390" s="6"/>
      <c r="J390" s="6"/>
      <c r="K390" s="6"/>
      <c r="L390" s="6"/>
      <c r="M390" s="6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192"/>
      <c r="Y390" s="192"/>
      <c r="Z390" s="192"/>
      <c r="AA390" s="192"/>
      <c r="AB390" s="192"/>
      <c r="AC390" s="706"/>
      <c r="AD390" s="706"/>
      <c r="AE390" s="706"/>
      <c r="AF390" s="706"/>
      <c r="AG390" s="706"/>
      <c r="AH390" s="706"/>
      <c r="AI390" s="705" t="s">
        <v>1070</v>
      </c>
      <c r="AJ390" s="722">
        <f>+(0.06*100)/0.5</f>
        <v>12</v>
      </c>
      <c r="AK390" s="722">
        <v>0</v>
      </c>
      <c r="AL390" s="722">
        <v>12</v>
      </c>
      <c r="AM390" s="722">
        <v>0</v>
      </c>
      <c r="AN390" s="722">
        <v>0</v>
      </c>
      <c r="AO390" s="705" t="s">
        <v>1087</v>
      </c>
      <c r="AP390" s="716" t="s">
        <v>202</v>
      </c>
      <c r="AQ390" s="705" t="s">
        <v>87</v>
      </c>
      <c r="AR390" s="716">
        <v>0</v>
      </c>
      <c r="AS390" s="716">
        <v>1</v>
      </c>
      <c r="AT390" s="716">
        <v>0</v>
      </c>
      <c r="AU390" s="716">
        <v>1</v>
      </c>
      <c r="AV390" s="716">
        <v>0</v>
      </c>
      <c r="AW390" s="716">
        <v>0</v>
      </c>
      <c r="AX390" s="716">
        <v>1</v>
      </c>
      <c r="AY390" s="723">
        <v>1150000000</v>
      </c>
      <c r="AZ390" s="723">
        <v>0</v>
      </c>
      <c r="BA390" s="723">
        <v>0</v>
      </c>
      <c r="BB390" s="723">
        <v>900000000</v>
      </c>
      <c r="BC390" s="724">
        <f t="shared" si="88"/>
        <v>2050000000</v>
      </c>
      <c r="BD390" s="705" t="s">
        <v>874</v>
      </c>
      <c r="BE390" s="705" t="s">
        <v>725</v>
      </c>
    </row>
    <row r="391" spans="1:57" ht="48" customHeight="1">
      <c r="A391" s="571"/>
      <c r="B391" s="572"/>
      <c r="C391" s="572"/>
      <c r="D391" s="572"/>
      <c r="E391" s="572"/>
      <c r="F391" s="572"/>
      <c r="G391" s="572"/>
      <c r="H391" s="6"/>
      <c r="I391" s="6"/>
      <c r="J391" s="6"/>
      <c r="K391" s="6"/>
      <c r="L391" s="6"/>
      <c r="M391" s="6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192"/>
      <c r="Y391" s="192"/>
      <c r="Z391" s="192"/>
      <c r="AA391" s="192"/>
      <c r="AB391" s="192"/>
      <c r="AC391" s="706"/>
      <c r="AD391" s="706"/>
      <c r="AE391" s="706"/>
      <c r="AF391" s="706"/>
      <c r="AG391" s="706"/>
      <c r="AH391" s="706"/>
      <c r="AI391" s="705" t="s">
        <v>1071</v>
      </c>
      <c r="AJ391" s="722">
        <f>+(0.017*100)/0.5</f>
        <v>3.4000000000000004</v>
      </c>
      <c r="AK391" s="722">
        <f>+AJ391*C4</f>
        <v>0.34000000000000008</v>
      </c>
      <c r="AL391" s="722">
        <f>+AJ391*D4</f>
        <v>1.5300000000000002</v>
      </c>
      <c r="AM391" s="722">
        <f>+AJ391*E4</f>
        <v>0.85000000000000009</v>
      </c>
      <c r="AN391" s="722">
        <f>+AJ391*F4</f>
        <v>0.68000000000000016</v>
      </c>
      <c r="AO391" s="705" t="s">
        <v>1088</v>
      </c>
      <c r="AP391" s="716" t="s">
        <v>202</v>
      </c>
      <c r="AQ391" s="705" t="s">
        <v>87</v>
      </c>
      <c r="AR391" s="716">
        <v>2</v>
      </c>
      <c r="AS391" s="716">
        <v>10</v>
      </c>
      <c r="AT391" s="716">
        <v>2</v>
      </c>
      <c r="AU391" s="716">
        <v>3</v>
      </c>
      <c r="AV391" s="716">
        <v>3</v>
      </c>
      <c r="AW391" s="716">
        <v>2</v>
      </c>
      <c r="AX391" s="716">
        <v>10</v>
      </c>
      <c r="AY391" s="723">
        <v>200000000</v>
      </c>
      <c r="AZ391" s="723">
        <v>100000000</v>
      </c>
      <c r="BA391" s="723">
        <v>0</v>
      </c>
      <c r="BB391" s="723">
        <v>100000000</v>
      </c>
      <c r="BC391" s="724">
        <f t="shared" si="88"/>
        <v>400000000</v>
      </c>
      <c r="BD391" s="705" t="s">
        <v>874</v>
      </c>
      <c r="BE391" s="705" t="s">
        <v>69</v>
      </c>
    </row>
    <row r="392" spans="1:57" ht="33.75">
      <c r="A392" s="571"/>
      <c r="B392" s="572"/>
      <c r="C392" s="572"/>
      <c r="D392" s="572"/>
      <c r="E392" s="572"/>
      <c r="F392" s="572"/>
      <c r="G392" s="572"/>
      <c r="H392" s="6"/>
      <c r="I392" s="6"/>
      <c r="J392" s="6"/>
      <c r="K392" s="6"/>
      <c r="L392" s="6"/>
      <c r="M392" s="6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192"/>
      <c r="Y392" s="192"/>
      <c r="Z392" s="192"/>
      <c r="AA392" s="192"/>
      <c r="AB392" s="192"/>
      <c r="AC392" s="706"/>
      <c r="AD392" s="706"/>
      <c r="AE392" s="706"/>
      <c r="AF392" s="706"/>
      <c r="AG392" s="706"/>
      <c r="AH392" s="706"/>
      <c r="AI392" s="705" t="s">
        <v>1072</v>
      </c>
      <c r="AJ392" s="722">
        <f>+(0.012*100)/0.5</f>
        <v>2.4</v>
      </c>
      <c r="AK392" s="722">
        <f>+AJ392*C4</f>
        <v>0.24</v>
      </c>
      <c r="AL392" s="722">
        <f>+AJ392*D4</f>
        <v>1.08</v>
      </c>
      <c r="AM392" s="722">
        <f>+AJ392*E4</f>
        <v>0.6</v>
      </c>
      <c r="AN392" s="722">
        <f>+AJ392*F4</f>
        <v>0.48</v>
      </c>
      <c r="AO392" s="705" t="s">
        <v>1089</v>
      </c>
      <c r="AP392" s="716" t="s">
        <v>202</v>
      </c>
      <c r="AQ392" s="705" t="s">
        <v>87</v>
      </c>
      <c r="AR392" s="716">
        <v>2</v>
      </c>
      <c r="AS392" s="716">
        <v>1</v>
      </c>
      <c r="AT392" s="716">
        <v>1</v>
      </c>
      <c r="AU392" s="716">
        <v>1</v>
      </c>
      <c r="AV392" s="716">
        <v>1</v>
      </c>
      <c r="AW392" s="716">
        <v>1</v>
      </c>
      <c r="AX392" s="716">
        <v>1</v>
      </c>
      <c r="AY392" s="723">
        <v>200000000</v>
      </c>
      <c r="AZ392" s="723">
        <v>30000000</v>
      </c>
      <c r="BA392" s="723">
        <v>50000000</v>
      </c>
      <c r="BB392" s="723">
        <v>40000000</v>
      </c>
      <c r="BC392" s="724">
        <f t="shared" si="88"/>
        <v>320000000</v>
      </c>
      <c r="BD392" s="705" t="s">
        <v>874</v>
      </c>
      <c r="BE392" s="705" t="s">
        <v>725</v>
      </c>
    </row>
    <row r="393" spans="1:57" ht="33.75">
      <c r="A393" s="571"/>
      <c r="B393" s="572"/>
      <c r="C393" s="572"/>
      <c r="D393" s="572"/>
      <c r="E393" s="572"/>
      <c r="F393" s="572"/>
      <c r="G393" s="572"/>
      <c r="H393" s="6"/>
      <c r="I393" s="6"/>
      <c r="J393" s="6"/>
      <c r="K393" s="6"/>
      <c r="L393" s="6"/>
      <c r="M393" s="6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192"/>
      <c r="Y393" s="192"/>
      <c r="Z393" s="192"/>
      <c r="AA393" s="192"/>
      <c r="AB393" s="192"/>
      <c r="AC393" s="706"/>
      <c r="AD393" s="706"/>
      <c r="AE393" s="706"/>
      <c r="AF393" s="706"/>
      <c r="AG393" s="706"/>
      <c r="AH393" s="706"/>
      <c r="AI393" s="705" t="s">
        <v>1073</v>
      </c>
      <c r="AJ393" s="722">
        <f>+(0.003*100)/0.5</f>
        <v>0.6</v>
      </c>
      <c r="AK393" s="722">
        <f>+AJ393*C4</f>
        <v>0.06</v>
      </c>
      <c r="AL393" s="722">
        <f>+AJ393*D4</f>
        <v>0.27</v>
      </c>
      <c r="AM393" s="722">
        <f>+AJ393*E4</f>
        <v>0.15</v>
      </c>
      <c r="AN393" s="722">
        <f>+AJ393*F4</f>
        <v>0.12</v>
      </c>
      <c r="AO393" s="705" t="s">
        <v>1090</v>
      </c>
      <c r="AP393" s="716" t="s">
        <v>202</v>
      </c>
      <c r="AQ393" s="705" t="s">
        <v>87</v>
      </c>
      <c r="AR393" s="716">
        <v>4</v>
      </c>
      <c r="AS393" s="716">
        <v>10</v>
      </c>
      <c r="AT393" s="716">
        <v>2</v>
      </c>
      <c r="AU393" s="716">
        <v>3</v>
      </c>
      <c r="AV393" s="716">
        <v>3</v>
      </c>
      <c r="AW393" s="716">
        <v>2</v>
      </c>
      <c r="AX393" s="716">
        <v>10</v>
      </c>
      <c r="AY393" s="723">
        <v>50000000</v>
      </c>
      <c r="AZ393" s="723"/>
      <c r="BA393" s="723"/>
      <c r="BB393" s="723"/>
      <c r="BC393" s="724">
        <f t="shared" si="88"/>
        <v>50000000</v>
      </c>
      <c r="BD393" s="705" t="s">
        <v>874</v>
      </c>
      <c r="BE393" s="705" t="s">
        <v>112</v>
      </c>
    </row>
    <row r="394" spans="1:57" ht="45.75" customHeight="1">
      <c r="A394" s="571"/>
      <c r="B394" s="572"/>
      <c r="C394" s="572"/>
      <c r="D394" s="572"/>
      <c r="E394" s="572"/>
      <c r="F394" s="572"/>
      <c r="G394" s="572"/>
      <c r="H394" s="6"/>
      <c r="I394" s="6"/>
      <c r="J394" s="6"/>
      <c r="K394" s="6"/>
      <c r="L394" s="6"/>
      <c r="M394" s="6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192"/>
      <c r="Y394" s="192"/>
      <c r="Z394" s="192"/>
      <c r="AA394" s="192"/>
      <c r="AB394" s="192"/>
      <c r="AC394" s="706"/>
      <c r="AD394" s="706"/>
      <c r="AE394" s="706"/>
      <c r="AF394" s="706"/>
      <c r="AG394" s="706"/>
      <c r="AH394" s="706"/>
      <c r="AI394" s="705" t="s">
        <v>1074</v>
      </c>
      <c r="AJ394" s="722">
        <f>+(0.004*100)/0.5</f>
        <v>0.8</v>
      </c>
      <c r="AK394" s="722">
        <f>+AJ394*C4</f>
        <v>8.0000000000000016E-2</v>
      </c>
      <c r="AL394" s="722">
        <f>+AJ394*D4</f>
        <v>0.36000000000000004</v>
      </c>
      <c r="AM394" s="722">
        <f>+AJ394*E4</f>
        <v>0.2</v>
      </c>
      <c r="AN394" s="722">
        <f>+AJ394*F4</f>
        <v>0.16000000000000003</v>
      </c>
      <c r="AO394" s="705" t="s">
        <v>1091</v>
      </c>
      <c r="AP394" s="716" t="s">
        <v>202</v>
      </c>
      <c r="AQ394" s="705" t="s">
        <v>87</v>
      </c>
      <c r="AR394" s="716" t="s">
        <v>221</v>
      </c>
      <c r="AS394" s="716">
        <v>1</v>
      </c>
      <c r="AT394" s="716">
        <v>1</v>
      </c>
      <c r="AU394" s="716">
        <v>1</v>
      </c>
      <c r="AV394" s="716">
        <v>1</v>
      </c>
      <c r="AW394" s="716">
        <v>1</v>
      </c>
      <c r="AX394" s="716">
        <v>1</v>
      </c>
      <c r="AY394" s="723">
        <v>0</v>
      </c>
      <c r="AZ394" s="723"/>
      <c r="BA394" s="723"/>
      <c r="BB394" s="723"/>
      <c r="BC394" s="724">
        <f t="shared" si="88"/>
        <v>0</v>
      </c>
      <c r="BD394" s="705" t="s">
        <v>874</v>
      </c>
      <c r="BE394" s="705" t="s">
        <v>69</v>
      </c>
    </row>
    <row r="395" spans="1:57" ht="33.75">
      <c r="A395" s="571"/>
      <c r="B395" s="572"/>
      <c r="C395" s="572"/>
      <c r="D395" s="572"/>
      <c r="E395" s="572"/>
      <c r="F395" s="572"/>
      <c r="G395" s="572"/>
      <c r="H395" s="6"/>
      <c r="I395" s="6"/>
      <c r="J395" s="6"/>
      <c r="K395" s="6"/>
      <c r="L395" s="6"/>
      <c r="M395" s="6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192"/>
      <c r="Y395" s="192"/>
      <c r="Z395" s="192"/>
      <c r="AA395" s="192"/>
      <c r="AB395" s="192"/>
      <c r="AC395" s="706"/>
      <c r="AD395" s="706"/>
      <c r="AE395" s="706"/>
      <c r="AF395" s="706"/>
      <c r="AG395" s="706"/>
      <c r="AH395" s="706"/>
      <c r="AI395" s="705" t="s">
        <v>1075</v>
      </c>
      <c r="AJ395" s="722">
        <f>+(0.027*100)/0.5</f>
        <v>5.4</v>
      </c>
      <c r="AK395" s="722">
        <f>+AJ395*C4</f>
        <v>0.54</v>
      </c>
      <c r="AL395" s="722">
        <f>+AJ395*D4</f>
        <v>2.4300000000000002</v>
      </c>
      <c r="AM395" s="722">
        <f>+AJ395*E4</f>
        <v>1.35</v>
      </c>
      <c r="AN395" s="722">
        <f>+AJ395*F4</f>
        <v>1.08</v>
      </c>
      <c r="AO395" s="705" t="s">
        <v>1092</v>
      </c>
      <c r="AP395" s="716" t="s">
        <v>202</v>
      </c>
      <c r="AQ395" s="705" t="s">
        <v>87</v>
      </c>
      <c r="AR395" s="716">
        <v>0</v>
      </c>
      <c r="AS395" s="716">
        <v>500</v>
      </c>
      <c r="AT395" s="716">
        <v>100</v>
      </c>
      <c r="AU395" s="716">
        <v>100</v>
      </c>
      <c r="AV395" s="716">
        <v>200</v>
      </c>
      <c r="AW395" s="716">
        <v>100</v>
      </c>
      <c r="AX395" s="716">
        <v>500</v>
      </c>
      <c r="AY395" s="723">
        <v>300000000</v>
      </c>
      <c r="AZ395" s="723">
        <v>100000000</v>
      </c>
      <c r="BA395" s="723">
        <v>100000000</v>
      </c>
      <c r="BB395" s="723">
        <v>100000000</v>
      </c>
      <c r="BC395" s="724">
        <f t="shared" si="88"/>
        <v>600000000</v>
      </c>
      <c r="BD395" s="705" t="s">
        <v>874</v>
      </c>
      <c r="BE395" s="705" t="s">
        <v>112</v>
      </c>
    </row>
    <row r="396" spans="1:57" ht="33.75">
      <c r="A396" s="571"/>
      <c r="B396" s="572"/>
      <c r="C396" s="572"/>
      <c r="D396" s="572"/>
      <c r="E396" s="572"/>
      <c r="F396" s="572"/>
      <c r="G396" s="572"/>
      <c r="H396" s="6"/>
      <c r="I396" s="6"/>
      <c r="J396" s="6"/>
      <c r="K396" s="6"/>
      <c r="L396" s="6"/>
      <c r="M396" s="6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192"/>
      <c r="Y396" s="192"/>
      <c r="Z396" s="192"/>
      <c r="AA396" s="192"/>
      <c r="AB396" s="192"/>
      <c r="AC396" s="706"/>
      <c r="AD396" s="706"/>
      <c r="AE396" s="706"/>
      <c r="AF396" s="706"/>
      <c r="AG396" s="706"/>
      <c r="AH396" s="706"/>
      <c r="AI396" s="705" t="s">
        <v>1076</v>
      </c>
      <c r="AJ396" s="722">
        <f>+(0.024*100)/0.5</f>
        <v>4.8</v>
      </c>
      <c r="AK396" s="722">
        <f>+AJ396*C4</f>
        <v>0.48</v>
      </c>
      <c r="AL396" s="722">
        <f>+AJ396*D4</f>
        <v>2.16</v>
      </c>
      <c r="AM396" s="722">
        <f>+AJ396*E4</f>
        <v>1.2</v>
      </c>
      <c r="AN396" s="722">
        <f>+AJ396*F4</f>
        <v>0.96</v>
      </c>
      <c r="AO396" s="705" t="s">
        <v>1093</v>
      </c>
      <c r="AP396" s="716" t="s">
        <v>202</v>
      </c>
      <c r="AQ396" s="705" t="s">
        <v>88</v>
      </c>
      <c r="AR396" s="712">
        <v>0</v>
      </c>
      <c r="AS396" s="728">
        <v>1</v>
      </c>
      <c r="AT396" s="728">
        <v>1</v>
      </c>
      <c r="AU396" s="728">
        <v>1</v>
      </c>
      <c r="AV396" s="728">
        <v>1</v>
      </c>
      <c r="AW396" s="728">
        <v>1</v>
      </c>
      <c r="AX396" s="712">
        <v>1</v>
      </c>
      <c r="AY396" s="723">
        <v>50000000</v>
      </c>
      <c r="AZ396" s="723">
        <v>100000000</v>
      </c>
      <c r="BA396" s="723">
        <v>100000000</v>
      </c>
      <c r="BB396" s="723">
        <v>100000000</v>
      </c>
      <c r="BC396" s="724">
        <f t="shared" si="88"/>
        <v>350000000</v>
      </c>
      <c r="BD396" s="705" t="s">
        <v>874</v>
      </c>
      <c r="BE396" s="705" t="s">
        <v>112</v>
      </c>
    </row>
    <row r="397" spans="1:57" ht="33.75">
      <c r="A397" s="571"/>
      <c r="B397" s="572"/>
      <c r="C397" s="572"/>
      <c r="D397" s="572"/>
      <c r="E397" s="572"/>
      <c r="F397" s="572"/>
      <c r="G397" s="572"/>
      <c r="H397" s="6"/>
      <c r="I397" s="6"/>
      <c r="J397" s="6"/>
      <c r="K397" s="6"/>
      <c r="L397" s="6"/>
      <c r="M397" s="6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192"/>
      <c r="Y397" s="192"/>
      <c r="Z397" s="192"/>
      <c r="AA397" s="192"/>
      <c r="AB397" s="192"/>
      <c r="AC397" s="706"/>
      <c r="AD397" s="706"/>
      <c r="AE397" s="706"/>
      <c r="AF397" s="706"/>
      <c r="AG397" s="706"/>
      <c r="AH397" s="706"/>
      <c r="AI397" s="705" t="s">
        <v>1077</v>
      </c>
      <c r="AJ397" s="722">
        <f>+(0.029*100)/0.5</f>
        <v>5.8000000000000007</v>
      </c>
      <c r="AK397" s="722">
        <f>+AJ397*C4</f>
        <v>0.58000000000000007</v>
      </c>
      <c r="AL397" s="722">
        <f>+AJ397*D4</f>
        <v>2.6100000000000003</v>
      </c>
      <c r="AM397" s="722">
        <f>+AJ397*E4</f>
        <v>1.4500000000000002</v>
      </c>
      <c r="AN397" s="722">
        <f>+AJ397*F4</f>
        <v>1.1600000000000001</v>
      </c>
      <c r="AO397" s="705" t="s">
        <v>1094</v>
      </c>
      <c r="AP397" s="716" t="s">
        <v>202</v>
      </c>
      <c r="AQ397" s="705" t="s">
        <v>87</v>
      </c>
      <c r="AR397" s="716">
        <v>0</v>
      </c>
      <c r="AS397" s="716">
        <v>1</v>
      </c>
      <c r="AT397" s="716">
        <v>1</v>
      </c>
      <c r="AU397" s="716">
        <v>1</v>
      </c>
      <c r="AV397" s="716">
        <v>1</v>
      </c>
      <c r="AW397" s="716">
        <v>1</v>
      </c>
      <c r="AX397" s="716">
        <v>1</v>
      </c>
      <c r="AY397" s="723">
        <v>200000000</v>
      </c>
      <c r="AZ397" s="723">
        <v>300000000</v>
      </c>
      <c r="BA397" s="723">
        <v>0</v>
      </c>
      <c r="BB397" s="723">
        <v>0</v>
      </c>
      <c r="BC397" s="724">
        <f t="shared" si="88"/>
        <v>500000000</v>
      </c>
      <c r="BD397" s="705" t="s">
        <v>874</v>
      </c>
      <c r="BE397" s="705" t="s">
        <v>69</v>
      </c>
    </row>
    <row r="398" spans="1:57" ht="33.75">
      <c r="A398" s="571"/>
      <c r="B398" s="572"/>
      <c r="C398" s="572"/>
      <c r="D398" s="572"/>
      <c r="E398" s="572"/>
      <c r="F398" s="572"/>
      <c r="G398" s="572"/>
      <c r="H398" s="6"/>
      <c r="I398" s="6"/>
      <c r="J398" s="6"/>
      <c r="K398" s="6"/>
      <c r="L398" s="6"/>
      <c r="M398" s="6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193"/>
      <c r="Y398" s="193"/>
      <c r="Z398" s="193"/>
      <c r="AA398" s="193"/>
      <c r="AB398" s="193"/>
      <c r="AC398" s="709"/>
      <c r="AD398" s="709"/>
      <c r="AE398" s="709"/>
      <c r="AF398" s="709"/>
      <c r="AG398" s="709"/>
      <c r="AH398" s="709"/>
      <c r="AI398" s="705" t="s">
        <v>1078</v>
      </c>
      <c r="AJ398" s="722">
        <f>+(0.025*100)/0.5</f>
        <v>5</v>
      </c>
      <c r="AK398" s="722">
        <f>+AJ398*C4</f>
        <v>0.5</v>
      </c>
      <c r="AL398" s="722">
        <f>+AJ398*D4</f>
        <v>2.25</v>
      </c>
      <c r="AM398" s="722">
        <f>+AJ398*E4</f>
        <v>1.25</v>
      </c>
      <c r="AN398" s="722">
        <f>+AJ398*F4</f>
        <v>1</v>
      </c>
      <c r="AO398" s="705" t="s">
        <v>1095</v>
      </c>
      <c r="AP398" s="716" t="s">
        <v>202</v>
      </c>
      <c r="AQ398" s="705" t="s">
        <v>87</v>
      </c>
      <c r="AR398" s="716">
        <v>0</v>
      </c>
      <c r="AS398" s="716">
        <v>1</v>
      </c>
      <c r="AT398" s="716">
        <v>1</v>
      </c>
      <c r="AU398" s="716">
        <v>1</v>
      </c>
      <c r="AV398" s="716">
        <v>1</v>
      </c>
      <c r="AW398" s="716">
        <v>1</v>
      </c>
      <c r="AX398" s="716">
        <v>1</v>
      </c>
      <c r="AY398" s="723">
        <v>100000000</v>
      </c>
      <c r="AZ398" s="723">
        <v>100000000</v>
      </c>
      <c r="BA398" s="723">
        <v>100000000</v>
      </c>
      <c r="BB398" s="723">
        <v>100000000</v>
      </c>
      <c r="BC398" s="724">
        <f t="shared" si="88"/>
        <v>400000000</v>
      </c>
      <c r="BD398" s="705" t="s">
        <v>874</v>
      </c>
      <c r="BE398" s="705" t="s">
        <v>112</v>
      </c>
    </row>
    <row r="399" spans="1:57">
      <c r="A399" s="571"/>
      <c r="B399" s="572"/>
      <c r="C399" s="572"/>
      <c r="D399" s="572"/>
      <c r="E399" s="572"/>
      <c r="F399" s="572"/>
      <c r="G399" s="572"/>
      <c r="H399" s="6"/>
      <c r="I399" s="6"/>
      <c r="J399" s="6"/>
      <c r="K399" s="6"/>
      <c r="L399" s="6"/>
      <c r="M399" s="6"/>
      <c r="N399" s="174"/>
      <c r="O399" s="174"/>
      <c r="P399" s="174"/>
      <c r="Q399" s="174"/>
      <c r="R399" s="174"/>
      <c r="S399" s="174"/>
      <c r="T399" s="174"/>
      <c r="U399" s="174"/>
      <c r="V399" s="174"/>
      <c r="W399" s="174"/>
      <c r="X399" s="174"/>
      <c r="Y399" s="174"/>
      <c r="Z399" s="174"/>
      <c r="AA399" s="174"/>
      <c r="AB399" s="174"/>
      <c r="AC399" s="349" t="s">
        <v>1453</v>
      </c>
      <c r="AD399" s="425">
        <f>+AD382</f>
        <v>10</v>
      </c>
      <c r="AE399" s="290"/>
      <c r="AF399" s="290"/>
      <c r="AG399" s="290"/>
      <c r="AH399" s="290"/>
      <c r="AI399" s="290"/>
      <c r="AJ399" s="441">
        <f>SUM(AJ382:AJ398)</f>
        <v>100.2</v>
      </c>
      <c r="AK399" s="441"/>
      <c r="AL399" s="441"/>
      <c r="AM399" s="441"/>
      <c r="AN399" s="441"/>
      <c r="AO399" s="290"/>
      <c r="AP399" s="299"/>
      <c r="AQ399" s="290"/>
      <c r="AR399" s="290"/>
      <c r="AS399" s="290"/>
      <c r="AT399" s="290"/>
      <c r="AU399" s="290"/>
      <c r="AV399" s="290"/>
      <c r="AW399" s="290"/>
      <c r="AX399" s="290"/>
      <c r="AY399" s="291">
        <f>SUM(AY382:AY398)</f>
        <v>4650000000</v>
      </c>
      <c r="AZ399" s="291">
        <f t="shared" ref="AZ399:BC399" si="89">SUM(AZ382:AZ398)</f>
        <v>2726740000</v>
      </c>
      <c r="BA399" s="291">
        <f t="shared" si="89"/>
        <v>1346740000</v>
      </c>
      <c r="BB399" s="291">
        <f t="shared" si="89"/>
        <v>1690000000</v>
      </c>
      <c r="BC399" s="291">
        <f t="shared" si="89"/>
        <v>10413480000</v>
      </c>
      <c r="BD399" s="290"/>
      <c r="BE399" s="290"/>
    </row>
    <row r="400" spans="1:57" ht="101.25" customHeight="1">
      <c r="A400" s="571"/>
      <c r="B400" s="572"/>
      <c r="C400" s="572"/>
      <c r="D400" s="572"/>
      <c r="E400" s="572"/>
      <c r="F400" s="572"/>
      <c r="G400" s="572"/>
      <c r="H400" s="6"/>
      <c r="I400" s="6"/>
      <c r="J400" s="6"/>
      <c r="K400" s="6"/>
      <c r="L400" s="6"/>
      <c r="M400" s="6"/>
      <c r="N400" s="157" t="s">
        <v>914</v>
      </c>
      <c r="O400" s="404">
        <f>+(0.5*100)/5</f>
        <v>10</v>
      </c>
      <c r="P400" s="404">
        <f>+O400*C4</f>
        <v>1</v>
      </c>
      <c r="Q400" s="404">
        <f>+O400*D4</f>
        <v>4.5</v>
      </c>
      <c r="R400" s="404">
        <f>+O400*E4</f>
        <v>2.5</v>
      </c>
      <c r="S400" s="404">
        <f>+O400*F4</f>
        <v>2</v>
      </c>
      <c r="T400" s="157" t="s">
        <v>927</v>
      </c>
      <c r="U400" s="157" t="s">
        <v>202</v>
      </c>
      <c r="V400" s="157" t="s">
        <v>88</v>
      </c>
      <c r="W400" s="157" t="s">
        <v>930</v>
      </c>
      <c r="X400" s="157" t="s">
        <v>931</v>
      </c>
      <c r="Y400" s="298">
        <v>1</v>
      </c>
      <c r="Z400" s="298">
        <v>1</v>
      </c>
      <c r="AA400" s="298">
        <v>1</v>
      </c>
      <c r="AB400" s="298">
        <v>1</v>
      </c>
      <c r="AC400" s="705" t="s">
        <v>1096</v>
      </c>
      <c r="AD400" s="711">
        <f>+(0.5*100)/5</f>
        <v>10</v>
      </c>
      <c r="AE400" s="711">
        <f>+AD400*C4</f>
        <v>1</v>
      </c>
      <c r="AF400" s="711">
        <f>+AD400*D4</f>
        <v>4.5</v>
      </c>
      <c r="AG400" s="711">
        <f>+AD400*E4</f>
        <v>2.5</v>
      </c>
      <c r="AH400" s="711">
        <f>+AD400*F4</f>
        <v>2</v>
      </c>
      <c r="AI400" s="705" t="s">
        <v>1097</v>
      </c>
      <c r="AJ400" s="722">
        <f>+(0.028*100)/0.5</f>
        <v>5.6000000000000005</v>
      </c>
      <c r="AK400" s="722">
        <f>+AJ400*C4</f>
        <v>0.56000000000000005</v>
      </c>
      <c r="AL400" s="722">
        <f>+AJ400*D4</f>
        <v>2.5200000000000005</v>
      </c>
      <c r="AM400" s="722">
        <v>2.52</v>
      </c>
      <c r="AN400" s="722">
        <v>0</v>
      </c>
      <c r="AO400" s="705" t="s">
        <v>1115</v>
      </c>
      <c r="AP400" s="716" t="s">
        <v>202</v>
      </c>
      <c r="AQ400" s="705" t="s">
        <v>87</v>
      </c>
      <c r="AR400" s="716">
        <v>0</v>
      </c>
      <c r="AS400" s="716">
        <v>1</v>
      </c>
      <c r="AT400" s="716">
        <v>1</v>
      </c>
      <c r="AU400" s="716">
        <v>1</v>
      </c>
      <c r="AV400" s="716">
        <v>1</v>
      </c>
      <c r="AW400" s="716">
        <v>0</v>
      </c>
      <c r="AX400" s="716">
        <v>1</v>
      </c>
      <c r="AY400" s="723">
        <v>150000000</v>
      </c>
      <c r="AZ400" s="723">
        <v>150000000</v>
      </c>
      <c r="BA400" s="723">
        <v>0</v>
      </c>
      <c r="BB400" s="723">
        <v>0</v>
      </c>
      <c r="BC400" s="724">
        <f>SUM(AY400:BB400)</f>
        <v>300000000</v>
      </c>
      <c r="BD400" s="705" t="s">
        <v>874</v>
      </c>
      <c r="BE400" s="705" t="s">
        <v>112</v>
      </c>
    </row>
    <row r="401" spans="1:57" ht="33.75">
      <c r="A401" s="571"/>
      <c r="B401" s="572"/>
      <c r="C401" s="572"/>
      <c r="D401" s="572"/>
      <c r="E401" s="572"/>
      <c r="F401" s="572"/>
      <c r="G401" s="572"/>
      <c r="H401" s="6"/>
      <c r="I401" s="6"/>
      <c r="J401" s="6"/>
      <c r="K401" s="6"/>
      <c r="L401" s="6"/>
      <c r="M401" s="6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706"/>
      <c r="AD401" s="725"/>
      <c r="AE401" s="707"/>
      <c r="AF401" s="707"/>
      <c r="AG401" s="707"/>
      <c r="AH401" s="707"/>
      <c r="AI401" s="705" t="s">
        <v>1098</v>
      </c>
      <c r="AJ401" s="722">
        <f>+(0.015*100)/0.5</f>
        <v>3</v>
      </c>
      <c r="AK401" s="722">
        <v>0</v>
      </c>
      <c r="AL401" s="722">
        <v>0</v>
      </c>
      <c r="AM401" s="722">
        <v>0</v>
      </c>
      <c r="AN401" s="722">
        <f>+AJ401</f>
        <v>3</v>
      </c>
      <c r="AO401" s="705" t="s">
        <v>1116</v>
      </c>
      <c r="AP401" s="716" t="s">
        <v>202</v>
      </c>
      <c r="AQ401" s="705" t="s">
        <v>87</v>
      </c>
      <c r="AR401" s="716">
        <v>0</v>
      </c>
      <c r="AS401" s="716">
        <v>1</v>
      </c>
      <c r="AT401" s="716">
        <v>0</v>
      </c>
      <c r="AU401" s="716">
        <v>0</v>
      </c>
      <c r="AV401" s="716">
        <v>0</v>
      </c>
      <c r="AW401" s="716">
        <v>1</v>
      </c>
      <c r="AX401" s="716">
        <v>1</v>
      </c>
      <c r="AY401" s="723">
        <v>400000000</v>
      </c>
      <c r="AZ401" s="723">
        <v>0</v>
      </c>
      <c r="BA401" s="723">
        <v>0</v>
      </c>
      <c r="BB401" s="723">
        <v>0</v>
      </c>
      <c r="BC401" s="724">
        <f t="shared" ref="BC401:BC419" si="90">SUM(AY401:BB401)</f>
        <v>400000000</v>
      </c>
      <c r="BD401" s="705" t="s">
        <v>874</v>
      </c>
      <c r="BE401" s="705" t="s">
        <v>608</v>
      </c>
    </row>
    <row r="402" spans="1:57" ht="33.75">
      <c r="A402" s="571"/>
      <c r="B402" s="572"/>
      <c r="C402" s="572"/>
      <c r="D402" s="572"/>
      <c r="E402" s="572"/>
      <c r="F402" s="572"/>
      <c r="G402" s="572"/>
      <c r="H402" s="6"/>
      <c r="I402" s="6"/>
      <c r="J402" s="6"/>
      <c r="K402" s="6"/>
      <c r="L402" s="6"/>
      <c r="M402" s="6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706"/>
      <c r="AD402" s="707"/>
      <c r="AE402" s="707"/>
      <c r="AF402" s="707"/>
      <c r="AG402" s="707"/>
      <c r="AH402" s="707"/>
      <c r="AI402" s="705" t="s">
        <v>1099</v>
      </c>
      <c r="AJ402" s="722">
        <f>+(0.311*100)/0.5</f>
        <v>62.2</v>
      </c>
      <c r="AK402" s="722">
        <f>+AJ402*C4</f>
        <v>6.2200000000000006</v>
      </c>
      <c r="AL402" s="722">
        <f>+AJ402*D4</f>
        <v>27.990000000000002</v>
      </c>
      <c r="AM402" s="722">
        <v>27.99</v>
      </c>
      <c r="AN402" s="722">
        <v>0</v>
      </c>
      <c r="AO402" s="705" t="s">
        <v>1117</v>
      </c>
      <c r="AP402" s="716" t="s">
        <v>202</v>
      </c>
      <c r="AQ402" s="705" t="s">
        <v>87</v>
      </c>
      <c r="AR402" s="716">
        <v>0</v>
      </c>
      <c r="AS402" s="728">
        <v>1</v>
      </c>
      <c r="AT402" s="728">
        <v>1</v>
      </c>
      <c r="AU402" s="716">
        <v>100</v>
      </c>
      <c r="AV402" s="716">
        <v>100</v>
      </c>
      <c r="AW402" s="716">
        <v>0</v>
      </c>
      <c r="AX402" s="716">
        <v>200</v>
      </c>
      <c r="AY402" s="723">
        <v>0</v>
      </c>
      <c r="AZ402" s="723">
        <v>1246740000</v>
      </c>
      <c r="BA402" s="723">
        <v>500000000</v>
      </c>
      <c r="BB402" s="723">
        <v>746740000</v>
      </c>
      <c r="BC402" s="724">
        <f t="shared" si="90"/>
        <v>2493480000</v>
      </c>
      <c r="BD402" s="705" t="s">
        <v>874</v>
      </c>
      <c r="BE402" s="705" t="s">
        <v>132</v>
      </c>
    </row>
    <row r="403" spans="1:57" ht="33.75">
      <c r="A403" s="571"/>
      <c r="B403" s="572"/>
      <c r="C403" s="572"/>
      <c r="D403" s="572"/>
      <c r="E403" s="572"/>
      <c r="F403" s="572"/>
      <c r="G403" s="572"/>
      <c r="H403" s="6"/>
      <c r="I403" s="6"/>
      <c r="J403" s="6"/>
      <c r="K403" s="6"/>
      <c r="L403" s="6"/>
      <c r="M403" s="6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706"/>
      <c r="AD403" s="707"/>
      <c r="AE403" s="707"/>
      <c r="AF403" s="707"/>
      <c r="AG403" s="707"/>
      <c r="AH403" s="707"/>
      <c r="AI403" s="705" t="s">
        <v>1100</v>
      </c>
      <c r="AJ403" s="722">
        <f>+(0.014*100)/0.5</f>
        <v>2.8000000000000003</v>
      </c>
      <c r="AK403" s="722">
        <v>0</v>
      </c>
      <c r="AL403" s="722">
        <v>0</v>
      </c>
      <c r="AM403" s="722">
        <v>0</v>
      </c>
      <c r="AN403" s="722">
        <f>+AJ403</f>
        <v>2.8000000000000003</v>
      </c>
      <c r="AO403" s="705" t="s">
        <v>1118</v>
      </c>
      <c r="AP403" s="716" t="s">
        <v>202</v>
      </c>
      <c r="AQ403" s="705" t="s">
        <v>87</v>
      </c>
      <c r="AR403" s="716">
        <v>2</v>
      </c>
      <c r="AS403" s="716">
        <v>7</v>
      </c>
      <c r="AT403" s="716">
        <v>0</v>
      </c>
      <c r="AU403" s="716">
        <v>0</v>
      </c>
      <c r="AV403" s="716">
        <v>0</v>
      </c>
      <c r="AW403" s="716">
        <v>7</v>
      </c>
      <c r="AX403" s="716">
        <v>7</v>
      </c>
      <c r="AY403" s="723">
        <v>100000000</v>
      </c>
      <c r="AZ403" s="723">
        <v>0</v>
      </c>
      <c r="BA403" s="723">
        <v>100000000</v>
      </c>
      <c r="BB403" s="723">
        <v>0</v>
      </c>
      <c r="BC403" s="724">
        <f t="shared" si="90"/>
        <v>200000000</v>
      </c>
      <c r="BD403" s="705" t="s">
        <v>874</v>
      </c>
      <c r="BE403" s="705" t="s">
        <v>132</v>
      </c>
    </row>
    <row r="404" spans="1:57" ht="33.75">
      <c r="A404" s="571"/>
      <c r="B404" s="572"/>
      <c r="C404" s="572"/>
      <c r="D404" s="572"/>
      <c r="E404" s="572"/>
      <c r="F404" s="572"/>
      <c r="G404" s="572"/>
      <c r="H404" s="6"/>
      <c r="I404" s="6"/>
      <c r="J404" s="6"/>
      <c r="K404" s="6"/>
      <c r="L404" s="6"/>
      <c r="M404" s="6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706"/>
      <c r="AD404" s="707"/>
      <c r="AE404" s="707"/>
      <c r="AF404" s="707"/>
      <c r="AG404" s="707"/>
      <c r="AH404" s="707"/>
      <c r="AI404" s="705" t="s">
        <v>1101</v>
      </c>
      <c r="AJ404" s="722">
        <f>+(0.038*100)/0.5</f>
        <v>7.6</v>
      </c>
      <c r="AK404" s="722">
        <f>+AJ404*C4</f>
        <v>0.76</v>
      </c>
      <c r="AL404" s="722">
        <f>+AJ404*D4</f>
        <v>3.42</v>
      </c>
      <c r="AM404" s="722">
        <f>+AJ404*E4</f>
        <v>1.9</v>
      </c>
      <c r="AN404" s="722">
        <f>+AJ404*F4</f>
        <v>1.52</v>
      </c>
      <c r="AO404" s="705" t="s">
        <v>1119</v>
      </c>
      <c r="AP404" s="716" t="s">
        <v>202</v>
      </c>
      <c r="AQ404" s="705" t="s">
        <v>87</v>
      </c>
      <c r="AR404" s="716">
        <v>0</v>
      </c>
      <c r="AS404" s="716">
        <v>1</v>
      </c>
      <c r="AT404" s="716">
        <v>1</v>
      </c>
      <c r="AU404" s="716">
        <v>1</v>
      </c>
      <c r="AV404" s="716">
        <v>1</v>
      </c>
      <c r="AW404" s="716">
        <v>1</v>
      </c>
      <c r="AX404" s="716">
        <v>1</v>
      </c>
      <c r="AY404" s="723">
        <v>200000000</v>
      </c>
      <c r="AZ404" s="723">
        <v>100000000</v>
      </c>
      <c r="BA404" s="723">
        <v>100000000</v>
      </c>
      <c r="BB404" s="723">
        <v>100000000</v>
      </c>
      <c r="BC404" s="724">
        <f t="shared" si="90"/>
        <v>500000000</v>
      </c>
      <c r="BD404" s="705" t="s">
        <v>874</v>
      </c>
      <c r="BE404" s="705" t="s">
        <v>237</v>
      </c>
    </row>
    <row r="405" spans="1:57" ht="33.75">
      <c r="A405" s="571"/>
      <c r="B405" s="572"/>
      <c r="C405" s="572"/>
      <c r="D405" s="572"/>
      <c r="E405" s="572"/>
      <c r="F405" s="572"/>
      <c r="G405" s="572"/>
      <c r="H405" s="6"/>
      <c r="I405" s="6"/>
      <c r="J405" s="6"/>
      <c r="K405" s="6"/>
      <c r="L405" s="6"/>
      <c r="M405" s="6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706"/>
      <c r="AD405" s="707"/>
      <c r="AE405" s="707"/>
      <c r="AF405" s="707"/>
      <c r="AG405" s="707"/>
      <c r="AH405" s="707"/>
      <c r="AI405" s="705" t="s">
        <v>1102</v>
      </c>
      <c r="AJ405" s="722">
        <f>+(0.015*100)/0.5</f>
        <v>3</v>
      </c>
      <c r="AK405" s="722">
        <f>+AJ405*C4</f>
        <v>0.30000000000000004</v>
      </c>
      <c r="AL405" s="722">
        <f>+AJ405*D4</f>
        <v>1.35</v>
      </c>
      <c r="AM405" s="722">
        <f>+AJ405*E4</f>
        <v>0.75</v>
      </c>
      <c r="AN405" s="722">
        <f>+AJ405*F4</f>
        <v>0.60000000000000009</v>
      </c>
      <c r="AO405" s="705" t="s">
        <v>1120</v>
      </c>
      <c r="AP405" s="716" t="s">
        <v>202</v>
      </c>
      <c r="AQ405" s="705" t="s">
        <v>87</v>
      </c>
      <c r="AR405" s="716">
        <v>1</v>
      </c>
      <c r="AS405" s="716">
        <v>1</v>
      </c>
      <c r="AT405" s="716">
        <v>1</v>
      </c>
      <c r="AU405" s="716">
        <v>1</v>
      </c>
      <c r="AV405" s="716">
        <v>1</v>
      </c>
      <c r="AW405" s="716">
        <v>1</v>
      </c>
      <c r="AX405" s="716">
        <v>1</v>
      </c>
      <c r="AY405" s="723">
        <v>50000000</v>
      </c>
      <c r="AZ405" s="723">
        <v>30000000</v>
      </c>
      <c r="BA405" s="723">
        <v>40000000</v>
      </c>
      <c r="BB405" s="723">
        <v>40000000</v>
      </c>
      <c r="BC405" s="724">
        <f t="shared" si="90"/>
        <v>160000000</v>
      </c>
      <c r="BD405" s="705" t="s">
        <v>874</v>
      </c>
      <c r="BE405" s="705" t="s">
        <v>704</v>
      </c>
    </row>
    <row r="406" spans="1:57" ht="33.75">
      <c r="A406" s="571"/>
      <c r="B406" s="572"/>
      <c r="C406" s="572"/>
      <c r="D406" s="572"/>
      <c r="E406" s="572"/>
      <c r="F406" s="572"/>
      <c r="G406" s="572"/>
      <c r="H406" s="6"/>
      <c r="I406" s="6"/>
      <c r="J406" s="6"/>
      <c r="K406" s="6"/>
      <c r="L406" s="6"/>
      <c r="M406" s="6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706"/>
      <c r="AD406" s="707"/>
      <c r="AE406" s="707"/>
      <c r="AF406" s="707"/>
      <c r="AG406" s="707"/>
      <c r="AH406" s="707"/>
      <c r="AI406" s="705" t="s">
        <v>1103</v>
      </c>
      <c r="AJ406" s="722">
        <f>+(0.02*100)/0.5</f>
        <v>4</v>
      </c>
      <c r="AK406" s="722">
        <v>0</v>
      </c>
      <c r="AL406" s="722">
        <v>2.2000000000000002</v>
      </c>
      <c r="AM406" s="722">
        <f>+AJ406*E4</f>
        <v>1</v>
      </c>
      <c r="AN406" s="722">
        <f>+AJ406*F4</f>
        <v>0.8</v>
      </c>
      <c r="AO406" s="705" t="s">
        <v>1121</v>
      </c>
      <c r="AP406" s="716" t="s">
        <v>202</v>
      </c>
      <c r="AQ406" s="705" t="s">
        <v>87</v>
      </c>
      <c r="AR406" s="716">
        <v>0</v>
      </c>
      <c r="AS406" s="716">
        <v>1</v>
      </c>
      <c r="AT406" s="716">
        <v>0</v>
      </c>
      <c r="AU406" s="716">
        <v>1</v>
      </c>
      <c r="AV406" s="716">
        <v>1</v>
      </c>
      <c r="AW406" s="716">
        <v>1</v>
      </c>
      <c r="AX406" s="716">
        <v>1</v>
      </c>
      <c r="AY406" s="723">
        <v>50000000</v>
      </c>
      <c r="AZ406" s="723">
        <v>50000000</v>
      </c>
      <c r="BA406" s="723">
        <v>50000000</v>
      </c>
      <c r="BB406" s="723">
        <v>50000000</v>
      </c>
      <c r="BC406" s="724">
        <f t="shared" si="90"/>
        <v>200000000</v>
      </c>
      <c r="BD406" s="705" t="s">
        <v>874</v>
      </c>
      <c r="BE406" s="705" t="s">
        <v>725</v>
      </c>
    </row>
    <row r="407" spans="1:57" ht="33.75">
      <c r="A407" s="571"/>
      <c r="B407" s="572"/>
      <c r="C407" s="572"/>
      <c r="D407" s="572"/>
      <c r="E407" s="572"/>
      <c r="F407" s="572"/>
      <c r="G407" s="572"/>
      <c r="H407" s="6"/>
      <c r="I407" s="6"/>
      <c r="J407" s="6"/>
      <c r="K407" s="6"/>
      <c r="L407" s="6"/>
      <c r="M407" s="6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706"/>
      <c r="AD407" s="707"/>
      <c r="AE407" s="707"/>
      <c r="AF407" s="707"/>
      <c r="AG407" s="707"/>
      <c r="AH407" s="707"/>
      <c r="AI407" s="705" t="s">
        <v>1104</v>
      </c>
      <c r="AJ407" s="722">
        <f>+(0.027*100)/0.5</f>
        <v>5.4</v>
      </c>
      <c r="AK407" s="722">
        <f>+AJ407*C4</f>
        <v>0.54</v>
      </c>
      <c r="AL407" s="722">
        <v>0</v>
      </c>
      <c r="AM407" s="722">
        <v>3.78</v>
      </c>
      <c r="AN407" s="722">
        <f>+AJ407*F4</f>
        <v>1.08</v>
      </c>
      <c r="AO407" s="705" t="s">
        <v>1122</v>
      </c>
      <c r="AP407" s="716" t="s">
        <v>202</v>
      </c>
      <c r="AQ407" s="705" t="s">
        <v>88</v>
      </c>
      <c r="AR407" s="716">
        <v>0</v>
      </c>
      <c r="AS407" s="728">
        <v>0.15</v>
      </c>
      <c r="AT407" s="712">
        <v>0.05</v>
      </c>
      <c r="AU407" s="712">
        <v>0</v>
      </c>
      <c r="AV407" s="712">
        <v>0.05</v>
      </c>
      <c r="AW407" s="712">
        <v>0.05</v>
      </c>
      <c r="AX407" s="712">
        <v>0.15</v>
      </c>
      <c r="AY407" s="723">
        <v>100000000</v>
      </c>
      <c r="AZ407" s="723">
        <v>0</v>
      </c>
      <c r="BA407" s="723">
        <v>100000000</v>
      </c>
      <c r="BB407" s="723">
        <v>100000000</v>
      </c>
      <c r="BC407" s="724">
        <f t="shared" si="90"/>
        <v>300000000</v>
      </c>
      <c r="BD407" s="705" t="s">
        <v>874</v>
      </c>
      <c r="BE407" s="705" t="s">
        <v>112</v>
      </c>
    </row>
    <row r="408" spans="1:57" ht="33.75">
      <c r="A408" s="571"/>
      <c r="B408" s="572"/>
      <c r="C408" s="572"/>
      <c r="D408" s="572"/>
      <c r="E408" s="572"/>
      <c r="F408" s="572"/>
      <c r="G408" s="572"/>
      <c r="H408" s="6"/>
      <c r="I408" s="6"/>
      <c r="J408" s="6"/>
      <c r="K408" s="6"/>
      <c r="L408" s="6"/>
      <c r="M408" s="6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706"/>
      <c r="AD408" s="707"/>
      <c r="AE408" s="707"/>
      <c r="AF408" s="707"/>
      <c r="AG408" s="707"/>
      <c r="AH408" s="707"/>
      <c r="AI408" s="705" t="s">
        <v>1105</v>
      </c>
      <c r="AJ408" s="722">
        <f>+(0.014*100)/0.5</f>
        <v>2.8000000000000003</v>
      </c>
      <c r="AK408" s="722">
        <v>0</v>
      </c>
      <c r="AL408" s="722">
        <v>0</v>
      </c>
      <c r="AM408" s="722">
        <v>0</v>
      </c>
      <c r="AN408" s="722">
        <f>+AJ408</f>
        <v>2.8000000000000003</v>
      </c>
      <c r="AO408" s="705" t="s">
        <v>1123</v>
      </c>
      <c r="AP408" s="716" t="s">
        <v>202</v>
      </c>
      <c r="AQ408" s="705" t="s">
        <v>87</v>
      </c>
      <c r="AR408" s="716">
        <v>0</v>
      </c>
      <c r="AS408" s="716">
        <v>1</v>
      </c>
      <c r="AT408" s="716">
        <v>0</v>
      </c>
      <c r="AU408" s="716">
        <v>0</v>
      </c>
      <c r="AV408" s="716">
        <v>0</v>
      </c>
      <c r="AW408" s="716">
        <v>1</v>
      </c>
      <c r="AX408" s="716">
        <v>1</v>
      </c>
      <c r="AY408" s="723">
        <v>100000000</v>
      </c>
      <c r="AZ408" s="723">
        <v>0</v>
      </c>
      <c r="BA408" s="723">
        <v>0</v>
      </c>
      <c r="BB408" s="723">
        <v>100000000</v>
      </c>
      <c r="BC408" s="724">
        <f t="shared" si="90"/>
        <v>200000000</v>
      </c>
      <c r="BD408" s="705" t="s">
        <v>874</v>
      </c>
      <c r="BE408" s="705" t="s">
        <v>112</v>
      </c>
    </row>
    <row r="409" spans="1:57" ht="33.75">
      <c r="A409" s="571"/>
      <c r="B409" s="572"/>
      <c r="C409" s="572"/>
      <c r="D409" s="572"/>
      <c r="E409" s="572"/>
      <c r="F409" s="572"/>
      <c r="G409" s="572"/>
      <c r="H409" s="6"/>
      <c r="I409" s="6"/>
      <c r="J409" s="6"/>
      <c r="K409" s="6"/>
      <c r="L409" s="6"/>
      <c r="M409" s="6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709"/>
      <c r="AD409" s="687"/>
      <c r="AE409" s="687"/>
      <c r="AF409" s="687"/>
      <c r="AG409" s="687"/>
      <c r="AH409" s="687"/>
      <c r="AI409" s="705" t="s">
        <v>1106</v>
      </c>
      <c r="AJ409" s="722">
        <f>+(0.018*100)/0.5</f>
        <v>3.5999999999999996</v>
      </c>
      <c r="AK409" s="722">
        <f>+AJ409</f>
        <v>3.5999999999999996</v>
      </c>
      <c r="AL409" s="722">
        <v>0</v>
      </c>
      <c r="AM409" s="722">
        <v>0</v>
      </c>
      <c r="AN409" s="722">
        <v>0</v>
      </c>
      <c r="AO409" s="705" t="s">
        <v>1124</v>
      </c>
      <c r="AP409" s="716" t="s">
        <v>202</v>
      </c>
      <c r="AQ409" s="705" t="s">
        <v>87</v>
      </c>
      <c r="AR409" s="716">
        <v>4</v>
      </c>
      <c r="AS409" s="716">
        <v>6</v>
      </c>
      <c r="AT409" s="716">
        <v>2</v>
      </c>
      <c r="AU409" s="716">
        <v>0</v>
      </c>
      <c r="AV409" s="716">
        <v>0</v>
      </c>
      <c r="AW409" s="716">
        <v>0</v>
      </c>
      <c r="AX409" s="716">
        <v>2</v>
      </c>
      <c r="AY409" s="723">
        <v>500000000</v>
      </c>
      <c r="AZ409" s="723"/>
      <c r="BA409" s="723"/>
      <c r="BB409" s="723"/>
      <c r="BC409" s="724">
        <f t="shared" si="90"/>
        <v>500000000</v>
      </c>
      <c r="BD409" s="705" t="s">
        <v>874</v>
      </c>
      <c r="BE409" s="705" t="s">
        <v>112</v>
      </c>
    </row>
    <row r="410" spans="1:57">
      <c r="A410" s="571"/>
      <c r="B410" s="572"/>
      <c r="C410" s="572"/>
      <c r="D410" s="572"/>
      <c r="E410" s="572"/>
      <c r="F410" s="572"/>
      <c r="G410" s="572"/>
      <c r="H410" s="6"/>
      <c r="I410" s="6"/>
      <c r="J410" s="6"/>
      <c r="K410" s="6"/>
      <c r="L410" s="6"/>
      <c r="M410" s="6"/>
      <c r="N410" s="254"/>
      <c r="O410" s="254"/>
      <c r="P410" s="254"/>
      <c r="Q410" s="254"/>
      <c r="R410" s="254"/>
      <c r="S410" s="254"/>
      <c r="T410" s="254"/>
      <c r="U410" s="254"/>
      <c r="V410" s="254"/>
      <c r="W410" s="254"/>
      <c r="X410" s="254"/>
      <c r="Y410" s="254"/>
      <c r="Z410" s="254"/>
      <c r="AA410" s="254"/>
      <c r="AB410" s="254"/>
      <c r="AC410" s="349" t="s">
        <v>1453</v>
      </c>
      <c r="AD410" s="427">
        <f>+AD400</f>
        <v>10</v>
      </c>
      <c r="AE410" s="285"/>
      <c r="AF410" s="285"/>
      <c r="AG410" s="285"/>
      <c r="AH410" s="285"/>
      <c r="AI410" s="286"/>
      <c r="AJ410" s="426">
        <f t="shared" ref="AJ410" si="91">SUM(AJ400:AJ409)</f>
        <v>100</v>
      </c>
      <c r="AK410" s="426"/>
      <c r="AL410" s="426"/>
      <c r="AM410" s="426"/>
      <c r="AN410" s="426"/>
      <c r="AO410" s="286"/>
      <c r="AP410" s="287"/>
      <c r="AQ410" s="286"/>
      <c r="AR410" s="287"/>
      <c r="AS410" s="287"/>
      <c r="AT410" s="287"/>
      <c r="AU410" s="287"/>
      <c r="AV410" s="287"/>
      <c r="AW410" s="287"/>
      <c r="AX410" s="287"/>
      <c r="AY410" s="292">
        <v>1650000000</v>
      </c>
      <c r="AZ410" s="292">
        <v>1576740000</v>
      </c>
      <c r="BA410" s="292">
        <v>890000000</v>
      </c>
      <c r="BB410" s="292">
        <v>1136740000</v>
      </c>
      <c r="BC410" s="292">
        <f t="shared" si="90"/>
        <v>5253480000</v>
      </c>
      <c r="BD410" s="286"/>
      <c r="BE410" s="286"/>
    </row>
    <row r="411" spans="1:57" ht="56.25" customHeight="1">
      <c r="A411" s="571"/>
      <c r="B411" s="572"/>
      <c r="C411" s="572"/>
      <c r="D411" s="572"/>
      <c r="E411" s="572"/>
      <c r="F411" s="572"/>
      <c r="G411" s="572"/>
      <c r="H411" s="6"/>
      <c r="I411" s="6"/>
      <c r="J411" s="6"/>
      <c r="K411" s="6"/>
      <c r="L411" s="6"/>
      <c r="M411" s="6"/>
      <c r="N411" s="157" t="s">
        <v>915</v>
      </c>
      <c r="O411" s="404">
        <f>+(0.5*100)/5</f>
        <v>10</v>
      </c>
      <c r="P411" s="158">
        <f>+O411*C4</f>
        <v>1</v>
      </c>
      <c r="Q411" s="158">
        <f>+O411*D4</f>
        <v>4.5</v>
      </c>
      <c r="R411" s="158">
        <f>+O411*E4</f>
        <v>2.5</v>
      </c>
      <c r="S411" s="158">
        <f>+O411*F4</f>
        <v>2</v>
      </c>
      <c r="T411" s="157" t="s">
        <v>928</v>
      </c>
      <c r="U411" s="157" t="s">
        <v>202</v>
      </c>
      <c r="V411" s="157" t="s">
        <v>88</v>
      </c>
      <c r="W411" s="198" t="s">
        <v>221</v>
      </c>
      <c r="X411" s="298">
        <v>0.2</v>
      </c>
      <c r="Y411" s="298">
        <v>0.2</v>
      </c>
      <c r="Z411" s="298">
        <v>0.2</v>
      </c>
      <c r="AA411" s="298">
        <v>0.2</v>
      </c>
      <c r="AB411" s="298">
        <v>0.2</v>
      </c>
      <c r="AC411" s="705" t="s">
        <v>1133</v>
      </c>
      <c r="AD411" s="711">
        <f>+(0.5*100)/5</f>
        <v>10</v>
      </c>
      <c r="AE411" s="711">
        <f>+AD411*C4</f>
        <v>1</v>
      </c>
      <c r="AF411" s="711">
        <f>+AD411*D4</f>
        <v>4.5</v>
      </c>
      <c r="AG411" s="711">
        <f>+AD411*E4</f>
        <v>2.5</v>
      </c>
      <c r="AH411" s="711">
        <f>+AD411*F4</f>
        <v>2</v>
      </c>
      <c r="AI411" s="705" t="s">
        <v>1107</v>
      </c>
      <c r="AJ411" s="722">
        <f>+(0.013*100)/0.5</f>
        <v>2.6</v>
      </c>
      <c r="AK411" s="722">
        <f>+AJ411*C4</f>
        <v>0.26</v>
      </c>
      <c r="AL411" s="722">
        <f>+AJ411*D4</f>
        <v>1.1700000000000002</v>
      </c>
      <c r="AM411" s="722">
        <f>+AJ411*E4</f>
        <v>0.65</v>
      </c>
      <c r="AN411" s="722">
        <f>+AJ411*F4</f>
        <v>0.52</v>
      </c>
      <c r="AO411" s="705" t="s">
        <v>1125</v>
      </c>
      <c r="AP411" s="716" t="s">
        <v>202</v>
      </c>
      <c r="AQ411" s="705" t="s">
        <v>87</v>
      </c>
      <c r="AR411" s="716">
        <v>0</v>
      </c>
      <c r="AS411" s="716">
        <v>1</v>
      </c>
      <c r="AT411" s="716">
        <v>1</v>
      </c>
      <c r="AU411" s="716">
        <v>1</v>
      </c>
      <c r="AV411" s="716">
        <v>1</v>
      </c>
      <c r="AW411" s="716">
        <v>1</v>
      </c>
      <c r="AX411" s="716">
        <v>1</v>
      </c>
      <c r="AY411" s="723">
        <v>0</v>
      </c>
      <c r="AZ411" s="723">
        <v>25000000</v>
      </c>
      <c r="BA411" s="723">
        <v>25000000</v>
      </c>
      <c r="BB411" s="723">
        <v>0</v>
      </c>
      <c r="BC411" s="724">
        <f t="shared" si="90"/>
        <v>50000000</v>
      </c>
      <c r="BD411" s="705" t="s">
        <v>874</v>
      </c>
      <c r="BE411" s="705" t="s">
        <v>112</v>
      </c>
    </row>
    <row r="412" spans="1:57" ht="33.75">
      <c r="A412" s="571"/>
      <c r="B412" s="572"/>
      <c r="C412" s="572"/>
      <c r="D412" s="572"/>
      <c r="E412" s="572"/>
      <c r="F412" s="572"/>
      <c r="G412" s="572"/>
      <c r="H412" s="6"/>
      <c r="I412" s="6"/>
      <c r="J412" s="6"/>
      <c r="K412" s="6"/>
      <c r="L412" s="6"/>
      <c r="M412" s="6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706"/>
      <c r="AD412" s="725"/>
      <c r="AE412" s="706"/>
      <c r="AF412" s="706"/>
      <c r="AG412" s="706"/>
      <c r="AH412" s="706"/>
      <c r="AI412" s="705" t="s">
        <v>1108</v>
      </c>
      <c r="AJ412" s="722">
        <f>+(0.256*100)/0.5</f>
        <v>51.2</v>
      </c>
      <c r="AK412" s="722">
        <v>0</v>
      </c>
      <c r="AL412" s="722">
        <v>28.16</v>
      </c>
      <c r="AM412" s="722">
        <v>23.04</v>
      </c>
      <c r="AN412" s="722">
        <v>0</v>
      </c>
      <c r="AO412" s="705" t="s">
        <v>1126</v>
      </c>
      <c r="AP412" s="716" t="s">
        <v>202</v>
      </c>
      <c r="AQ412" s="705" t="s">
        <v>87</v>
      </c>
      <c r="AR412" s="716">
        <v>0</v>
      </c>
      <c r="AS412" s="716">
        <v>100</v>
      </c>
      <c r="AT412" s="716">
        <v>0</v>
      </c>
      <c r="AU412" s="716">
        <v>50</v>
      </c>
      <c r="AV412" s="716">
        <v>50</v>
      </c>
      <c r="AW412" s="716">
        <v>0</v>
      </c>
      <c r="AX412" s="716">
        <v>100</v>
      </c>
      <c r="AY412" s="723">
        <v>0</v>
      </c>
      <c r="AZ412" s="723">
        <v>566700000</v>
      </c>
      <c r="BA412" s="723">
        <v>566700000</v>
      </c>
      <c r="BB412" s="723">
        <v>0</v>
      </c>
      <c r="BC412" s="724">
        <f t="shared" si="90"/>
        <v>1133400000</v>
      </c>
      <c r="BD412" s="705" t="s">
        <v>874</v>
      </c>
      <c r="BE412" s="705" t="s">
        <v>132</v>
      </c>
    </row>
    <row r="413" spans="1:57" ht="33.75">
      <c r="A413" s="571"/>
      <c r="B413" s="572"/>
      <c r="C413" s="572"/>
      <c r="D413" s="572"/>
      <c r="E413" s="572"/>
      <c r="F413" s="572"/>
      <c r="G413" s="572"/>
      <c r="H413" s="6"/>
      <c r="I413" s="6"/>
      <c r="J413" s="6"/>
      <c r="K413" s="6"/>
      <c r="L413" s="6"/>
      <c r="M413" s="6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706"/>
      <c r="AD413" s="706"/>
      <c r="AE413" s="706"/>
      <c r="AF413" s="706"/>
      <c r="AG413" s="706"/>
      <c r="AH413" s="706"/>
      <c r="AI413" s="705" t="s">
        <v>1109</v>
      </c>
      <c r="AJ413" s="722">
        <f>+(0.18*100)/0.5</f>
        <v>36</v>
      </c>
      <c r="AK413" s="722">
        <f>+AJ413*C4</f>
        <v>3.6</v>
      </c>
      <c r="AL413" s="722">
        <v>32.4</v>
      </c>
      <c r="AM413" s="722">
        <v>0</v>
      </c>
      <c r="AN413" s="722">
        <v>0</v>
      </c>
      <c r="AO413" s="705" t="s">
        <v>1127</v>
      </c>
      <c r="AP413" s="716" t="s">
        <v>202</v>
      </c>
      <c r="AQ413" s="705" t="s">
        <v>87</v>
      </c>
      <c r="AR413" s="716">
        <v>2</v>
      </c>
      <c r="AS413" s="716">
        <v>4</v>
      </c>
      <c r="AT413" s="716">
        <v>1</v>
      </c>
      <c r="AU413" s="716">
        <v>1</v>
      </c>
      <c r="AV413" s="716">
        <v>0</v>
      </c>
      <c r="AW413" s="716">
        <v>0</v>
      </c>
      <c r="AX413" s="716">
        <v>2</v>
      </c>
      <c r="AY413" s="723">
        <v>960079347</v>
      </c>
      <c r="AZ413" s="723">
        <v>169600000</v>
      </c>
      <c r="BA413" s="723">
        <v>109600000</v>
      </c>
      <c r="BB413" s="723">
        <v>112000000</v>
      </c>
      <c r="BC413" s="724">
        <f t="shared" si="90"/>
        <v>1351279347</v>
      </c>
      <c r="BD413" s="705" t="s">
        <v>874</v>
      </c>
      <c r="BE413" s="705" t="s">
        <v>112</v>
      </c>
    </row>
    <row r="414" spans="1:57" ht="56.25">
      <c r="A414" s="571"/>
      <c r="B414" s="572"/>
      <c r="C414" s="572"/>
      <c r="D414" s="572"/>
      <c r="E414" s="572"/>
      <c r="F414" s="572"/>
      <c r="G414" s="572"/>
      <c r="H414" s="6"/>
      <c r="I414" s="6"/>
      <c r="J414" s="6"/>
      <c r="K414" s="6"/>
      <c r="L414" s="6"/>
      <c r="M414" s="6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709"/>
      <c r="AD414" s="709"/>
      <c r="AE414" s="709"/>
      <c r="AF414" s="709"/>
      <c r="AG414" s="709"/>
      <c r="AH414" s="709"/>
      <c r="AI414" s="705" t="s">
        <v>1110</v>
      </c>
      <c r="AJ414" s="722">
        <f>+(0.05*100)/0.5</f>
        <v>10</v>
      </c>
      <c r="AK414" s="722">
        <f>+AJ414*C4</f>
        <v>1</v>
      </c>
      <c r="AL414" s="722">
        <f>+AJ414*D4</f>
        <v>4.5</v>
      </c>
      <c r="AM414" s="722">
        <f>+AJ414*E4</f>
        <v>2.5</v>
      </c>
      <c r="AN414" s="722">
        <f>+AJ414*F4</f>
        <v>2</v>
      </c>
      <c r="AO414" s="705" t="s">
        <v>1128</v>
      </c>
      <c r="AP414" s="716" t="s">
        <v>202</v>
      </c>
      <c r="AQ414" s="705" t="s">
        <v>87</v>
      </c>
      <c r="AR414" s="716">
        <v>0</v>
      </c>
      <c r="AS414" s="716">
        <v>800</v>
      </c>
      <c r="AT414" s="716">
        <v>200</v>
      </c>
      <c r="AU414" s="716">
        <v>200</v>
      </c>
      <c r="AV414" s="716">
        <v>200</v>
      </c>
      <c r="AW414" s="716">
        <v>200</v>
      </c>
      <c r="AX414" s="716">
        <v>800</v>
      </c>
      <c r="AY414" s="723">
        <v>50000000</v>
      </c>
      <c r="AZ414" s="723">
        <v>30000000</v>
      </c>
      <c r="BA414" s="723">
        <v>50000000</v>
      </c>
      <c r="BB414" s="723">
        <v>50000000</v>
      </c>
      <c r="BC414" s="724">
        <f t="shared" si="90"/>
        <v>180000000</v>
      </c>
      <c r="BD414" s="705" t="s">
        <v>874</v>
      </c>
      <c r="BE414" s="705" t="s">
        <v>704</v>
      </c>
    </row>
    <row r="415" spans="1:57">
      <c r="A415" s="571"/>
      <c r="B415" s="572"/>
      <c r="C415" s="572"/>
      <c r="D415" s="572"/>
      <c r="E415" s="572"/>
      <c r="F415" s="572"/>
      <c r="G415" s="572"/>
      <c r="H415" s="6"/>
      <c r="I415" s="6"/>
      <c r="J415" s="6"/>
      <c r="K415" s="6"/>
      <c r="L415" s="6"/>
      <c r="M415" s="6"/>
      <c r="N415" s="254"/>
      <c r="O415" s="254"/>
      <c r="P415" s="254"/>
      <c r="Q415" s="254"/>
      <c r="R415" s="254"/>
      <c r="S415" s="254"/>
      <c r="T415" s="254"/>
      <c r="U415" s="254"/>
      <c r="V415" s="254"/>
      <c r="W415" s="254"/>
      <c r="X415" s="340"/>
      <c r="Y415" s="254"/>
      <c r="Z415" s="254"/>
      <c r="AA415" s="254"/>
      <c r="AB415" s="254"/>
      <c r="AC415" s="349" t="s">
        <v>1453</v>
      </c>
      <c r="AD415" s="427">
        <f>+AD411</f>
        <v>10</v>
      </c>
      <c r="AE415" s="285"/>
      <c r="AF415" s="285"/>
      <c r="AG415" s="285"/>
      <c r="AH415" s="285"/>
      <c r="AI415" s="286"/>
      <c r="AJ415" s="442">
        <f t="shared" ref="AJ415" si="92">SUM(AJ411:AJ414)</f>
        <v>99.800000000000011</v>
      </c>
      <c r="AK415" s="442"/>
      <c r="AL415" s="442"/>
      <c r="AM415" s="442"/>
      <c r="AN415" s="442"/>
      <c r="AO415" s="286"/>
      <c r="AP415" s="287"/>
      <c r="AQ415" s="286"/>
      <c r="AR415" s="287"/>
      <c r="AS415" s="286"/>
      <c r="AT415" s="287"/>
      <c r="AU415" s="287"/>
      <c r="AV415" s="287"/>
      <c r="AW415" s="287"/>
      <c r="AX415" s="287"/>
      <c r="AY415" s="292">
        <v>1010079347</v>
      </c>
      <c r="AZ415" s="292">
        <v>791300000</v>
      </c>
      <c r="BA415" s="292">
        <v>751300000</v>
      </c>
      <c r="BB415" s="292">
        <v>162000000</v>
      </c>
      <c r="BC415" s="292">
        <f t="shared" si="90"/>
        <v>2714679347</v>
      </c>
      <c r="BD415" s="286"/>
      <c r="BE415" s="286"/>
    </row>
    <row r="416" spans="1:57" ht="101.25" customHeight="1">
      <c r="A416" s="571"/>
      <c r="B416" s="572"/>
      <c r="C416" s="572"/>
      <c r="D416" s="572"/>
      <c r="E416" s="572"/>
      <c r="F416" s="572"/>
      <c r="G416" s="572"/>
      <c r="H416" s="6"/>
      <c r="I416" s="6"/>
      <c r="J416" s="6"/>
      <c r="K416" s="6"/>
      <c r="L416" s="6"/>
      <c r="M416" s="6"/>
      <c r="N416" s="157" t="s">
        <v>916</v>
      </c>
      <c r="O416" s="404">
        <f>+(0.2*100)/5</f>
        <v>4</v>
      </c>
      <c r="P416" s="158">
        <f>+O416*C4</f>
        <v>0.4</v>
      </c>
      <c r="Q416" s="158">
        <f>+O416*D4</f>
        <v>1.8</v>
      </c>
      <c r="R416" s="158">
        <f>+O416*E4</f>
        <v>1</v>
      </c>
      <c r="S416" s="158">
        <f>+O416*F4</f>
        <v>0.8</v>
      </c>
      <c r="T416" s="157" t="s">
        <v>929</v>
      </c>
      <c r="U416" s="157" t="s">
        <v>202</v>
      </c>
      <c r="V416" s="157" t="s">
        <v>88</v>
      </c>
      <c r="W416" s="198" t="s">
        <v>221</v>
      </c>
      <c r="X416" s="298">
        <v>0.1</v>
      </c>
      <c r="Y416" s="298">
        <v>0.1</v>
      </c>
      <c r="Z416" s="298">
        <v>0.1</v>
      </c>
      <c r="AA416" s="298">
        <v>0.1</v>
      </c>
      <c r="AB416" s="298">
        <v>0.1</v>
      </c>
      <c r="AC416" s="705" t="s">
        <v>1134</v>
      </c>
      <c r="AD416" s="711">
        <f>+(0.2*100)/5</f>
        <v>4</v>
      </c>
      <c r="AE416" s="711">
        <f>+AD416*C4</f>
        <v>0.4</v>
      </c>
      <c r="AF416" s="711">
        <f>+AD416*D4</f>
        <v>1.8</v>
      </c>
      <c r="AG416" s="711">
        <f>+AD416*E4</f>
        <v>1</v>
      </c>
      <c r="AH416" s="711">
        <f>+AD416*F4</f>
        <v>0.8</v>
      </c>
      <c r="AI416" s="705" t="s">
        <v>1111</v>
      </c>
      <c r="AJ416" s="722">
        <f>+(0.086*100)/0.25</f>
        <v>34.4</v>
      </c>
      <c r="AK416" s="722">
        <f>+AJ416*C4</f>
        <v>3.44</v>
      </c>
      <c r="AL416" s="722">
        <f>+AJ416*D4</f>
        <v>15.48</v>
      </c>
      <c r="AM416" s="722">
        <f>+AJ416*E4</f>
        <v>8.6</v>
      </c>
      <c r="AN416" s="722">
        <f>+AJ416*F4</f>
        <v>6.88</v>
      </c>
      <c r="AO416" s="705" t="s">
        <v>1129</v>
      </c>
      <c r="AP416" s="716" t="s">
        <v>202</v>
      </c>
      <c r="AQ416" s="705" t="s">
        <v>87</v>
      </c>
      <c r="AR416" s="716">
        <v>0</v>
      </c>
      <c r="AS416" s="716">
        <v>1</v>
      </c>
      <c r="AT416" s="716">
        <v>1</v>
      </c>
      <c r="AU416" s="716">
        <v>1</v>
      </c>
      <c r="AV416" s="716">
        <v>1</v>
      </c>
      <c r="AW416" s="716">
        <v>1</v>
      </c>
      <c r="AX416" s="716">
        <v>1</v>
      </c>
      <c r="AY416" s="723">
        <v>50000000</v>
      </c>
      <c r="AZ416" s="723">
        <v>50000000</v>
      </c>
      <c r="BA416" s="723">
        <v>50000000</v>
      </c>
      <c r="BB416" s="723">
        <v>50000000</v>
      </c>
      <c r="BC416" s="724">
        <f t="shared" si="90"/>
        <v>200000000</v>
      </c>
      <c r="BD416" s="705" t="s">
        <v>874</v>
      </c>
      <c r="BE416" s="705" t="s">
        <v>112</v>
      </c>
    </row>
    <row r="417" spans="1:57" ht="39.75" customHeight="1">
      <c r="A417" s="571"/>
      <c r="B417" s="572"/>
      <c r="C417" s="572"/>
      <c r="D417" s="572"/>
      <c r="E417" s="572"/>
      <c r="F417" s="572"/>
      <c r="G417" s="572"/>
      <c r="H417" s="6"/>
      <c r="I417" s="6"/>
      <c r="J417" s="6"/>
      <c r="K417" s="6"/>
      <c r="L417" s="6"/>
      <c r="M417" s="6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706"/>
      <c r="AD417" s="725"/>
      <c r="AE417" s="729"/>
      <c r="AF417" s="729"/>
      <c r="AG417" s="729"/>
      <c r="AH417" s="729"/>
      <c r="AI417" s="705" t="s">
        <v>1112</v>
      </c>
      <c r="AJ417" s="722">
        <f>+(0.086*100)/0.25</f>
        <v>34.4</v>
      </c>
      <c r="AK417" s="722">
        <f>+AJ417</f>
        <v>34.4</v>
      </c>
      <c r="AL417" s="722">
        <v>0</v>
      </c>
      <c r="AM417" s="722">
        <v>0</v>
      </c>
      <c r="AN417" s="722">
        <v>0</v>
      </c>
      <c r="AO417" s="705" t="s">
        <v>1130</v>
      </c>
      <c r="AP417" s="716" t="s">
        <v>202</v>
      </c>
      <c r="AQ417" s="705" t="s">
        <v>87</v>
      </c>
      <c r="AR417" s="716">
        <v>0</v>
      </c>
      <c r="AS417" s="716">
        <v>100</v>
      </c>
      <c r="AT417" s="716">
        <v>100</v>
      </c>
      <c r="AU417" s="716">
        <v>0</v>
      </c>
      <c r="AV417" s="716">
        <v>0</v>
      </c>
      <c r="AW417" s="716">
        <v>0</v>
      </c>
      <c r="AX417" s="716">
        <v>100</v>
      </c>
      <c r="AY417" s="723">
        <v>1246740000</v>
      </c>
      <c r="AZ417" s="723">
        <v>50000000</v>
      </c>
      <c r="BA417" s="723">
        <v>25000000</v>
      </c>
      <c r="BB417" s="723">
        <v>30000000</v>
      </c>
      <c r="BC417" s="724">
        <f t="shared" si="90"/>
        <v>1351740000</v>
      </c>
      <c r="BD417" s="705" t="s">
        <v>874</v>
      </c>
      <c r="BE417" s="705" t="s">
        <v>112</v>
      </c>
    </row>
    <row r="418" spans="1:57" ht="33.75">
      <c r="A418" s="571"/>
      <c r="B418" s="572"/>
      <c r="C418" s="572"/>
      <c r="D418" s="572"/>
      <c r="E418" s="572"/>
      <c r="F418" s="572"/>
      <c r="G418" s="572"/>
      <c r="H418" s="6"/>
      <c r="I418" s="6"/>
      <c r="J418" s="6"/>
      <c r="K418" s="6"/>
      <c r="L418" s="6"/>
      <c r="M418" s="6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706"/>
      <c r="AD418" s="729"/>
      <c r="AE418" s="729"/>
      <c r="AF418" s="729"/>
      <c r="AG418" s="729"/>
      <c r="AH418" s="729"/>
      <c r="AI418" s="705" t="s">
        <v>1113</v>
      </c>
      <c r="AJ418" s="722">
        <f>+(0.004*100)/0.25</f>
        <v>1.6</v>
      </c>
      <c r="AK418" s="722">
        <f>+AJ418*C4</f>
        <v>0.16000000000000003</v>
      </c>
      <c r="AL418" s="722">
        <v>1.44</v>
      </c>
      <c r="AM418" s="722">
        <v>0</v>
      </c>
      <c r="AN418" s="722">
        <v>0</v>
      </c>
      <c r="AO418" s="705" t="s">
        <v>1131</v>
      </c>
      <c r="AP418" s="716" t="s">
        <v>202</v>
      </c>
      <c r="AQ418" s="705" t="s">
        <v>87</v>
      </c>
      <c r="AR418" s="716">
        <v>0</v>
      </c>
      <c r="AS418" s="716">
        <v>10</v>
      </c>
      <c r="AT418" s="716">
        <v>7</v>
      </c>
      <c r="AU418" s="716">
        <v>3</v>
      </c>
      <c r="AV418" s="716">
        <v>0</v>
      </c>
      <c r="AW418" s="716">
        <v>0</v>
      </c>
      <c r="AX418" s="716">
        <v>10</v>
      </c>
      <c r="AY418" s="723">
        <v>50000000</v>
      </c>
      <c r="AZ418" s="723">
        <v>0</v>
      </c>
      <c r="BA418" s="723">
        <v>0</v>
      </c>
      <c r="BB418" s="723">
        <v>0</v>
      </c>
      <c r="BC418" s="724">
        <f t="shared" si="90"/>
        <v>50000000</v>
      </c>
      <c r="BD418" s="705" t="s">
        <v>874</v>
      </c>
      <c r="BE418" s="705" t="s">
        <v>112</v>
      </c>
    </row>
    <row r="419" spans="1:57" ht="33.75">
      <c r="A419" s="571"/>
      <c r="B419" s="572"/>
      <c r="C419" s="572"/>
      <c r="D419" s="572"/>
      <c r="E419" s="572"/>
      <c r="F419" s="572"/>
      <c r="G419" s="572"/>
      <c r="H419" s="6"/>
      <c r="I419" s="6"/>
      <c r="J419" s="6"/>
      <c r="K419" s="6"/>
      <c r="L419" s="6"/>
      <c r="M419" s="6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709"/>
      <c r="AD419" s="730"/>
      <c r="AE419" s="730"/>
      <c r="AF419" s="730"/>
      <c r="AG419" s="730"/>
      <c r="AH419" s="730"/>
      <c r="AI419" s="705" t="s">
        <v>1114</v>
      </c>
      <c r="AJ419" s="722">
        <f>+(0.075*100)/0.25</f>
        <v>30</v>
      </c>
      <c r="AK419" s="722">
        <f>+AJ419*C4</f>
        <v>3</v>
      </c>
      <c r="AL419" s="722">
        <f>+AJ419*D4</f>
        <v>13.5</v>
      </c>
      <c r="AM419" s="722">
        <f>+AJ419*E4</f>
        <v>7.5</v>
      </c>
      <c r="AN419" s="722">
        <f>+AJ419*F4</f>
        <v>6</v>
      </c>
      <c r="AO419" s="731" t="s">
        <v>1132</v>
      </c>
      <c r="AP419" s="732" t="s">
        <v>202</v>
      </c>
      <c r="AQ419" s="705" t="s">
        <v>87</v>
      </c>
      <c r="AR419" s="732">
        <v>0</v>
      </c>
      <c r="AS419" s="732">
        <v>1</v>
      </c>
      <c r="AT419" s="732">
        <v>1</v>
      </c>
      <c r="AU419" s="716">
        <v>1</v>
      </c>
      <c r="AV419" s="716">
        <v>1</v>
      </c>
      <c r="AW419" s="716">
        <v>1</v>
      </c>
      <c r="AX419" s="732">
        <v>1</v>
      </c>
      <c r="AY419" s="733">
        <v>50000000</v>
      </c>
      <c r="AZ419" s="733">
        <v>40900000</v>
      </c>
      <c r="BA419" s="733">
        <v>25000000</v>
      </c>
      <c r="BB419" s="733">
        <v>100000000</v>
      </c>
      <c r="BC419" s="724">
        <f t="shared" si="90"/>
        <v>215900000</v>
      </c>
      <c r="BD419" s="731" t="s">
        <v>874</v>
      </c>
      <c r="BE419" s="731" t="s">
        <v>112</v>
      </c>
    </row>
    <row r="420" spans="1:57">
      <c r="A420" s="87"/>
      <c r="B420" s="229"/>
      <c r="C420" s="229"/>
      <c r="D420" s="229"/>
      <c r="E420" s="229"/>
      <c r="F420" s="229"/>
      <c r="G420" s="229"/>
      <c r="H420" s="229"/>
      <c r="I420" s="229"/>
      <c r="J420" s="229"/>
      <c r="K420" s="229"/>
      <c r="L420" s="229"/>
      <c r="M420" s="229"/>
      <c r="N420" s="290"/>
      <c r="O420" s="290"/>
      <c r="P420" s="290"/>
      <c r="Q420" s="290"/>
      <c r="R420" s="290"/>
      <c r="S420" s="290"/>
      <c r="T420" s="290"/>
      <c r="U420" s="290"/>
      <c r="V420" s="290"/>
      <c r="W420" s="290"/>
      <c r="X420" s="290"/>
      <c r="Y420" s="290"/>
      <c r="Z420" s="290"/>
      <c r="AA420" s="290"/>
      <c r="AB420" s="290"/>
      <c r="AC420" s="349" t="s">
        <v>1453</v>
      </c>
      <c r="AD420" s="425">
        <f>+AD416</f>
        <v>4</v>
      </c>
      <c r="AE420" s="290"/>
      <c r="AF420" s="290"/>
      <c r="AG420" s="290"/>
      <c r="AH420" s="290"/>
      <c r="AI420" s="290"/>
      <c r="AJ420" s="443">
        <f>SUM(AJ416:AJ419)</f>
        <v>100.39999999999999</v>
      </c>
      <c r="AK420" s="443"/>
      <c r="AL420" s="443"/>
      <c r="AM420" s="443"/>
      <c r="AN420" s="443"/>
      <c r="AO420" s="290"/>
      <c r="AP420" s="299"/>
      <c r="AQ420" s="290"/>
      <c r="AR420" s="290"/>
      <c r="AS420" s="290"/>
      <c r="AT420" s="290"/>
      <c r="AU420" s="290"/>
      <c r="AV420" s="290"/>
      <c r="AW420" s="290"/>
      <c r="AX420" s="290"/>
      <c r="AY420" s="293">
        <f>SUM(AY416:AY419)</f>
        <v>1396740000</v>
      </c>
      <c r="AZ420" s="293">
        <f t="shared" ref="AZ420:BC420" si="93">SUM(AZ416:AZ419)</f>
        <v>140900000</v>
      </c>
      <c r="BA420" s="293">
        <f t="shared" si="93"/>
        <v>100000000</v>
      </c>
      <c r="BB420" s="293">
        <f t="shared" si="93"/>
        <v>180000000</v>
      </c>
      <c r="BC420" s="293">
        <f t="shared" si="93"/>
        <v>1817640000</v>
      </c>
      <c r="BD420" s="290"/>
      <c r="BE420" s="290"/>
    </row>
    <row r="421" spans="1:57">
      <c r="A421" s="91"/>
      <c r="B421" s="223"/>
      <c r="C421" s="223"/>
      <c r="D421" s="223"/>
      <c r="E421" s="223"/>
      <c r="F421" s="223"/>
      <c r="G421" s="223"/>
      <c r="H421" s="91" t="s">
        <v>85</v>
      </c>
      <c r="I421" s="378">
        <f>+I311</f>
        <v>11.363636363636363</v>
      </c>
      <c r="J421" s="223"/>
      <c r="K421" s="223"/>
      <c r="L421" s="223"/>
      <c r="M421" s="223"/>
      <c r="N421" s="223"/>
      <c r="O421" s="416">
        <f>SUM(O311:O420)</f>
        <v>100</v>
      </c>
      <c r="P421" s="223"/>
      <c r="Q421" s="223"/>
      <c r="R421" s="223"/>
      <c r="S421" s="223"/>
      <c r="T421" s="223"/>
      <c r="U421" s="223"/>
      <c r="V421" s="223"/>
      <c r="W421" s="223"/>
      <c r="X421" s="223"/>
      <c r="Y421" s="223"/>
      <c r="Z421" s="223"/>
      <c r="AA421" s="223"/>
      <c r="AB421" s="223"/>
      <c r="AC421" s="223"/>
      <c r="AD421" s="416">
        <f>+AD420+AD415+AD410+AD399+AD381+AD343+AD334+AD326+AD312</f>
        <v>100</v>
      </c>
      <c r="AE421" s="384"/>
      <c r="AF421" s="384"/>
      <c r="AG421" s="384"/>
      <c r="AH421" s="384"/>
      <c r="AI421" s="223"/>
      <c r="AJ421" s="224"/>
      <c r="AK421" s="224"/>
      <c r="AL421" s="224"/>
      <c r="AM421" s="224"/>
      <c r="AN421" s="224"/>
      <c r="AO421" s="223"/>
      <c r="AP421" s="351"/>
      <c r="AQ421" s="223"/>
      <c r="AR421" s="223"/>
      <c r="AS421" s="223"/>
      <c r="AT421" s="223"/>
      <c r="AU421" s="223"/>
      <c r="AV421" s="223"/>
      <c r="AW421" s="223"/>
      <c r="AX421" s="223"/>
      <c r="AY421" s="244">
        <f>+AY420+AY415+AY410+AY399+AY381+AY343+AY334+AY326+AY312</f>
        <v>12881819347</v>
      </c>
      <c r="AZ421" s="244">
        <f t="shared" ref="AZ421" si="94">+AZ420+AZ415+AZ410+AZ399+AZ381+AZ343+AZ334+AZ326+AZ312</f>
        <v>7070680000</v>
      </c>
      <c r="BA421" s="244">
        <f t="shared" ref="BA421" si="95">+BA420+BA415+BA410+BA399+BA381+BA343+BA334+BA326+BA312</f>
        <v>5183040000</v>
      </c>
      <c r="BB421" s="244">
        <f t="shared" ref="BB421" si="96">+BB420+BB415+BB410+BB399+BB381+BB343+BB334+BB326+BB312</f>
        <v>4533740000</v>
      </c>
      <c r="BC421" s="244">
        <f t="shared" ref="BC421" si="97">+BC420+BC415+BC410+BC399+BC381+BC343+BC334+BC326+BC312</f>
        <v>29669279347</v>
      </c>
      <c r="BD421" s="223"/>
      <c r="BE421" s="223"/>
    </row>
    <row r="422" spans="1:57">
      <c r="A422" s="297" t="s">
        <v>176</v>
      </c>
      <c r="B422" s="346">
        <f>+B86</f>
        <v>44</v>
      </c>
      <c r="C422" s="294"/>
      <c r="D422" s="294"/>
      <c r="E422" s="294"/>
      <c r="F422" s="294"/>
      <c r="G422" s="294"/>
      <c r="H422" s="294"/>
      <c r="I422" s="379">
        <f>+I421+I310+I285+I249+I231+I220+I182</f>
        <v>100</v>
      </c>
      <c r="J422" s="294"/>
      <c r="K422" s="294"/>
      <c r="L422" s="294"/>
      <c r="M422" s="294"/>
      <c r="N422" s="294"/>
      <c r="O422" s="294"/>
      <c r="P422" s="294"/>
      <c r="Q422" s="294"/>
      <c r="R422" s="294"/>
      <c r="S422" s="294"/>
      <c r="T422" s="294"/>
      <c r="U422" s="294"/>
      <c r="V422" s="294"/>
      <c r="W422" s="294"/>
      <c r="X422" s="294"/>
      <c r="Y422" s="294"/>
      <c r="Z422" s="294"/>
      <c r="AA422" s="294"/>
      <c r="AB422" s="294"/>
      <c r="AC422" s="294"/>
      <c r="AD422" s="294"/>
      <c r="AE422" s="294"/>
      <c r="AF422" s="294"/>
      <c r="AG422" s="294"/>
      <c r="AH422" s="294"/>
      <c r="AI422" s="294"/>
      <c r="AJ422" s="295"/>
      <c r="AK422" s="295"/>
      <c r="AL422" s="295"/>
      <c r="AM422" s="295"/>
      <c r="AN422" s="295"/>
      <c r="AO422" s="294"/>
      <c r="AP422" s="352"/>
      <c r="AQ422" s="294"/>
      <c r="AR422" s="294"/>
      <c r="AS422" s="294"/>
      <c r="AT422" s="294"/>
      <c r="AU422" s="294"/>
      <c r="AV422" s="294"/>
      <c r="AW422" s="294"/>
      <c r="AX422" s="294"/>
      <c r="AY422" s="296">
        <f>+AY421+AY310+AY285+AY249+AY231+AY220+AY182</f>
        <v>269045351239.85001</v>
      </c>
      <c r="AZ422" s="296">
        <f>+AZ421+AZ310+AZ285+AZ249+AZ231+AZ220+AZ182</f>
        <v>185522471953.95999</v>
      </c>
      <c r="BA422" s="296">
        <f>+BA421+BA310+BA285+BA249+BA231+BA220+BA182</f>
        <v>163931476914.04001</v>
      </c>
      <c r="BB422" s="296">
        <f>+BB421+BB310+BB285+BB249+BB231+BB220+BB182</f>
        <v>161399117725</v>
      </c>
      <c r="BC422" s="296">
        <f>+BC421+BC310+BC285+BC249+BC231+BC220+BC182</f>
        <v>779898417832.84998</v>
      </c>
      <c r="BD422" s="294"/>
      <c r="BE422" s="294"/>
    </row>
    <row r="423" spans="1:57" ht="67.5" customHeight="1">
      <c r="A423" s="155" t="s">
        <v>1135</v>
      </c>
      <c r="B423" s="162">
        <v>15</v>
      </c>
      <c r="C423" s="162">
        <f>+B423*C4</f>
        <v>1.5</v>
      </c>
      <c r="D423" s="162">
        <f>+B423*D4</f>
        <v>6.75</v>
      </c>
      <c r="E423" s="162">
        <f>+B423*E4</f>
        <v>3.75</v>
      </c>
      <c r="F423" s="162">
        <f>+B423*F4</f>
        <v>3</v>
      </c>
      <c r="G423" s="155" t="s">
        <v>1136</v>
      </c>
      <c r="H423" s="155" t="s">
        <v>1139</v>
      </c>
      <c r="I423" s="405">
        <f>+(15*100)/15</f>
        <v>100</v>
      </c>
      <c r="J423" s="409">
        <f>+I423*C4</f>
        <v>10</v>
      </c>
      <c r="K423" s="409">
        <f>+I423*D4</f>
        <v>45</v>
      </c>
      <c r="L423" s="409">
        <f>+I423*E4</f>
        <v>25</v>
      </c>
      <c r="M423" s="409">
        <f>+I423*F4</f>
        <v>20</v>
      </c>
      <c r="N423" s="155" t="s">
        <v>1138</v>
      </c>
      <c r="O423" s="405">
        <f>+(8*100)/15</f>
        <v>53.333333333333336</v>
      </c>
      <c r="P423" s="409">
        <f>+O423*C4</f>
        <v>5.3333333333333339</v>
      </c>
      <c r="Q423" s="409">
        <f>+O423*D4</f>
        <v>24</v>
      </c>
      <c r="R423" s="409">
        <f>+O423*E4</f>
        <v>13.333333333333334</v>
      </c>
      <c r="S423" s="409">
        <f>+O423*F4</f>
        <v>10.666666666666668</v>
      </c>
      <c r="T423" s="155" t="s">
        <v>1140</v>
      </c>
      <c r="U423" s="162" t="s">
        <v>202</v>
      </c>
      <c r="V423" s="162" t="s">
        <v>88</v>
      </c>
      <c r="W423" s="162">
        <v>0</v>
      </c>
      <c r="X423" s="161">
        <v>0.2</v>
      </c>
      <c r="Y423" s="161">
        <v>0.2</v>
      </c>
      <c r="Z423" s="161">
        <v>0.2</v>
      </c>
      <c r="AA423" s="161">
        <v>0.2</v>
      </c>
      <c r="AB423" s="161">
        <v>0.2</v>
      </c>
      <c r="AC423" s="155" t="s">
        <v>1137</v>
      </c>
      <c r="AD423" s="405">
        <f>+(8*100)/15</f>
        <v>53.333333333333336</v>
      </c>
      <c r="AE423" s="405">
        <f>+AD423*C4</f>
        <v>5.3333333333333339</v>
      </c>
      <c r="AF423" s="405">
        <f>+AD423*D4</f>
        <v>24</v>
      </c>
      <c r="AG423" s="405">
        <f>+AD423*E4</f>
        <v>13.333333333333334</v>
      </c>
      <c r="AH423" s="405">
        <f>+AD423*F4</f>
        <v>10.666666666666668</v>
      </c>
      <c r="AI423" s="274" t="s">
        <v>1141</v>
      </c>
      <c r="AJ423" s="734">
        <f>+(0.0212*100)/6</f>
        <v>0.35333333333333333</v>
      </c>
      <c r="AK423" s="734">
        <f>+AJ423</f>
        <v>0.35333333333333333</v>
      </c>
      <c r="AL423" s="734">
        <v>0</v>
      </c>
      <c r="AM423" s="734">
        <v>0</v>
      </c>
      <c r="AN423" s="734">
        <v>0</v>
      </c>
      <c r="AO423" s="155" t="s">
        <v>1228</v>
      </c>
      <c r="AP423" s="735" t="s">
        <v>202</v>
      </c>
      <c r="AQ423" s="274" t="s">
        <v>87</v>
      </c>
      <c r="AR423" s="736">
        <v>0</v>
      </c>
      <c r="AS423" s="162">
        <v>200</v>
      </c>
      <c r="AT423" s="162">
        <v>200</v>
      </c>
      <c r="AU423" s="162">
        <v>0</v>
      </c>
      <c r="AV423" s="162">
        <v>0</v>
      </c>
      <c r="AW423" s="162">
        <v>0</v>
      </c>
      <c r="AX423" s="162">
        <v>200</v>
      </c>
      <c r="AY423" s="289">
        <v>700000000</v>
      </c>
      <c r="AZ423" s="289">
        <v>0</v>
      </c>
      <c r="BA423" s="289">
        <v>0</v>
      </c>
      <c r="BB423" s="289">
        <v>0</v>
      </c>
      <c r="BC423" s="737">
        <f>SUM(AY423:BB423)</f>
        <v>700000000</v>
      </c>
      <c r="BD423" s="155" t="s">
        <v>1304</v>
      </c>
      <c r="BE423" s="155" t="s">
        <v>69</v>
      </c>
    </row>
    <row r="424" spans="1:57" ht="22.5">
      <c r="A424" s="11"/>
      <c r="B424" s="11"/>
      <c r="C424" s="11"/>
      <c r="D424" s="11"/>
      <c r="E424" s="11"/>
      <c r="F424" s="11"/>
      <c r="G424" s="11"/>
      <c r="H424" s="11"/>
      <c r="I424" s="738"/>
      <c r="J424" s="738"/>
      <c r="K424" s="738"/>
      <c r="L424" s="738"/>
      <c r="M424" s="738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368"/>
      <c r="AE424" s="739"/>
      <c r="AF424" s="739"/>
      <c r="AG424" s="739"/>
      <c r="AH424" s="739"/>
      <c r="AI424" s="274" t="s">
        <v>1142</v>
      </c>
      <c r="AJ424" s="734">
        <f>+(0.0543*100)/6</f>
        <v>0.90499999999999992</v>
      </c>
      <c r="AK424" s="734">
        <f>+AJ424*C4</f>
        <v>9.0499999999999997E-2</v>
      </c>
      <c r="AL424" s="734">
        <v>0</v>
      </c>
      <c r="AM424" s="734">
        <v>0.64</v>
      </c>
      <c r="AN424" s="734">
        <f>+AJ424*F4</f>
        <v>0.18099999999999999</v>
      </c>
      <c r="AO424" s="155" t="s">
        <v>1229</v>
      </c>
      <c r="AP424" s="735" t="s">
        <v>202</v>
      </c>
      <c r="AQ424" s="274" t="s">
        <v>87</v>
      </c>
      <c r="AR424" s="736">
        <v>0</v>
      </c>
      <c r="AS424" s="162">
        <v>1</v>
      </c>
      <c r="AT424" s="162">
        <v>1</v>
      </c>
      <c r="AU424" s="162">
        <v>0</v>
      </c>
      <c r="AV424" s="162">
        <v>1</v>
      </c>
      <c r="AW424" s="162">
        <v>1</v>
      </c>
      <c r="AX424" s="162">
        <v>1</v>
      </c>
      <c r="AY424" s="289">
        <v>100000000</v>
      </c>
      <c r="AZ424" s="289">
        <v>100000000</v>
      </c>
      <c r="BA424" s="289">
        <v>100000000</v>
      </c>
      <c r="BB424" s="289">
        <v>100000000</v>
      </c>
      <c r="BC424" s="737">
        <f t="shared" ref="BC424:BC487" si="98">SUM(AY424:BB424)</f>
        <v>400000000</v>
      </c>
      <c r="BD424" s="155" t="s">
        <v>1304</v>
      </c>
      <c r="BE424" s="155" t="s">
        <v>69</v>
      </c>
    </row>
    <row r="425" spans="1:57" ht="22.5">
      <c r="A425" s="11"/>
      <c r="B425" s="11"/>
      <c r="C425" s="11"/>
      <c r="D425" s="11"/>
      <c r="E425" s="11"/>
      <c r="F425" s="11"/>
      <c r="G425" s="11"/>
      <c r="H425" s="11"/>
      <c r="I425" s="368"/>
      <c r="J425" s="738"/>
      <c r="K425" s="738"/>
      <c r="L425" s="738"/>
      <c r="M425" s="738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739"/>
      <c r="AE425" s="739"/>
      <c r="AF425" s="739"/>
      <c r="AG425" s="739"/>
      <c r="AH425" s="739"/>
      <c r="AI425" s="274" t="s">
        <v>1143</v>
      </c>
      <c r="AJ425" s="734">
        <f>+(0.0543*100)/6</f>
        <v>0.90499999999999992</v>
      </c>
      <c r="AK425" s="734">
        <f>+AJ425*C4</f>
        <v>9.0499999999999997E-2</v>
      </c>
      <c r="AL425" s="734">
        <v>0</v>
      </c>
      <c r="AM425" s="734">
        <v>0.64</v>
      </c>
      <c r="AN425" s="734">
        <f>+AJ425*F4</f>
        <v>0.18099999999999999</v>
      </c>
      <c r="AO425" s="155" t="s">
        <v>1230</v>
      </c>
      <c r="AP425" s="735" t="s">
        <v>202</v>
      </c>
      <c r="AQ425" s="274" t="s">
        <v>87</v>
      </c>
      <c r="AR425" s="736">
        <v>0</v>
      </c>
      <c r="AS425" s="162">
        <v>1600</v>
      </c>
      <c r="AT425" s="162">
        <v>400</v>
      </c>
      <c r="AU425" s="162">
        <v>0</v>
      </c>
      <c r="AV425" s="162">
        <v>600</v>
      </c>
      <c r="AW425" s="162">
        <v>600</v>
      </c>
      <c r="AX425" s="162">
        <v>1600</v>
      </c>
      <c r="AY425" s="289">
        <v>100000000</v>
      </c>
      <c r="AZ425" s="289">
        <v>100000000</v>
      </c>
      <c r="BA425" s="289">
        <v>100000000</v>
      </c>
      <c r="BB425" s="289">
        <v>100000000</v>
      </c>
      <c r="BC425" s="737">
        <f t="shared" si="98"/>
        <v>400000000</v>
      </c>
      <c r="BD425" s="155" t="s">
        <v>1304</v>
      </c>
      <c r="BE425" s="155" t="s">
        <v>69</v>
      </c>
    </row>
    <row r="426" spans="1:57" ht="45">
      <c r="A426" s="11"/>
      <c r="B426" s="11"/>
      <c r="C426" s="11"/>
      <c r="D426" s="11"/>
      <c r="E426" s="11"/>
      <c r="F426" s="11"/>
      <c r="G426" s="11"/>
      <c r="H426" s="11"/>
      <c r="I426" s="738"/>
      <c r="J426" s="738"/>
      <c r="K426" s="738"/>
      <c r="L426" s="738"/>
      <c r="M426" s="738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739"/>
      <c r="AE426" s="739"/>
      <c r="AF426" s="739"/>
      <c r="AG426" s="739"/>
      <c r="AH426" s="739"/>
      <c r="AI426" s="274" t="s">
        <v>1144</v>
      </c>
      <c r="AJ426" s="734">
        <f>+(0.2353*100)/6</f>
        <v>3.9216666666666669</v>
      </c>
      <c r="AK426" s="734">
        <f>+AJ426*C4</f>
        <v>0.39216666666666672</v>
      </c>
      <c r="AL426" s="734">
        <f>+AJ426*D4</f>
        <v>1.76475</v>
      </c>
      <c r="AM426" s="734">
        <f>+AJ426*E4</f>
        <v>0.98041666666666671</v>
      </c>
      <c r="AN426" s="734">
        <f>+AJ426*F4</f>
        <v>0.78433333333333344</v>
      </c>
      <c r="AO426" s="155" t="s">
        <v>1231</v>
      </c>
      <c r="AP426" s="735" t="s">
        <v>202</v>
      </c>
      <c r="AQ426" s="274" t="s">
        <v>87</v>
      </c>
      <c r="AR426" s="736">
        <v>0</v>
      </c>
      <c r="AS426" s="162">
        <v>7</v>
      </c>
      <c r="AT426" s="162">
        <v>1</v>
      </c>
      <c r="AU426" s="162">
        <v>2</v>
      </c>
      <c r="AV426" s="162">
        <v>2</v>
      </c>
      <c r="AW426" s="162">
        <v>2</v>
      </c>
      <c r="AX426" s="162">
        <v>7</v>
      </c>
      <c r="AY426" s="289">
        <v>300000000</v>
      </c>
      <c r="AZ426" s="289">
        <v>400000000</v>
      </c>
      <c r="BA426" s="289">
        <v>500000000</v>
      </c>
      <c r="BB426" s="289">
        <v>500000000</v>
      </c>
      <c r="BC426" s="737">
        <f t="shared" si="98"/>
        <v>1700000000</v>
      </c>
      <c r="BD426" s="155" t="s">
        <v>1304</v>
      </c>
      <c r="BE426" s="155" t="s">
        <v>69</v>
      </c>
    </row>
    <row r="427" spans="1:57" ht="33.75">
      <c r="A427" s="11"/>
      <c r="B427" s="11"/>
      <c r="C427" s="11"/>
      <c r="D427" s="11"/>
      <c r="E427" s="11"/>
      <c r="F427" s="11"/>
      <c r="G427" s="11"/>
      <c r="H427" s="11"/>
      <c r="I427" s="738"/>
      <c r="J427" s="738"/>
      <c r="K427" s="738"/>
      <c r="L427" s="738"/>
      <c r="M427" s="738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739"/>
      <c r="AE427" s="739"/>
      <c r="AF427" s="739"/>
      <c r="AG427" s="739"/>
      <c r="AH427" s="739"/>
      <c r="AI427" s="274" t="s">
        <v>1145</v>
      </c>
      <c r="AJ427" s="734">
        <f>+(0.0655*100)/6</f>
        <v>1.0916666666666668</v>
      </c>
      <c r="AK427" s="734">
        <f>+AJ427*C4</f>
        <v>0.10916666666666669</v>
      </c>
      <c r="AL427" s="734">
        <f>+AJ427*D4</f>
        <v>0.49125000000000008</v>
      </c>
      <c r="AM427" s="734">
        <f>+AJ427*E4</f>
        <v>0.2729166666666667</v>
      </c>
      <c r="AN427" s="734">
        <f>+AJ427*F4</f>
        <v>0.21833333333333338</v>
      </c>
      <c r="AO427" s="155" t="s">
        <v>1232</v>
      </c>
      <c r="AP427" s="735" t="s">
        <v>202</v>
      </c>
      <c r="AQ427" s="274" t="s">
        <v>87</v>
      </c>
      <c r="AR427" s="736">
        <v>0</v>
      </c>
      <c r="AS427" s="162">
        <v>186</v>
      </c>
      <c r="AT427" s="162">
        <v>93</v>
      </c>
      <c r="AU427" s="162">
        <v>20</v>
      </c>
      <c r="AV427" s="162">
        <v>37</v>
      </c>
      <c r="AW427" s="162">
        <v>36</v>
      </c>
      <c r="AX427" s="162">
        <v>186</v>
      </c>
      <c r="AY427" s="289">
        <v>500000000</v>
      </c>
      <c r="AZ427" s="289">
        <v>0</v>
      </c>
      <c r="BA427" s="289">
        <v>250000000</v>
      </c>
      <c r="BB427" s="289">
        <v>250000000</v>
      </c>
      <c r="BC427" s="737">
        <f t="shared" si="98"/>
        <v>1000000000</v>
      </c>
      <c r="BD427" s="155" t="s">
        <v>1304</v>
      </c>
      <c r="BE427" s="155" t="s">
        <v>69</v>
      </c>
    </row>
    <row r="428" spans="1:57" ht="22.5">
      <c r="A428" s="11"/>
      <c r="B428" s="11"/>
      <c r="C428" s="11"/>
      <c r="D428" s="11"/>
      <c r="E428" s="11"/>
      <c r="F428" s="11"/>
      <c r="G428" s="11"/>
      <c r="H428" s="11"/>
      <c r="I428" s="738"/>
      <c r="J428" s="738"/>
      <c r="K428" s="738"/>
      <c r="L428" s="738"/>
      <c r="M428" s="738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739"/>
      <c r="AE428" s="739"/>
      <c r="AF428" s="739"/>
      <c r="AG428" s="739"/>
      <c r="AH428" s="739"/>
      <c r="AI428" s="274" t="s">
        <v>1146</v>
      </c>
      <c r="AJ428" s="734">
        <f>+(0.0418*100)/6</f>
        <v>0.69666666666666666</v>
      </c>
      <c r="AK428" s="734">
        <f>+AJ428*C4</f>
        <v>6.9666666666666668E-2</v>
      </c>
      <c r="AL428" s="734">
        <f>+AJ428*D4</f>
        <v>0.3135</v>
      </c>
      <c r="AM428" s="734">
        <f>+AJ428*E4</f>
        <v>0.17416666666666666</v>
      </c>
      <c r="AN428" s="734">
        <f>+AJ428*F4</f>
        <v>0.13933333333333334</v>
      </c>
      <c r="AO428" s="155" t="s">
        <v>1233</v>
      </c>
      <c r="AP428" s="735" t="s">
        <v>202</v>
      </c>
      <c r="AQ428" s="274" t="s">
        <v>87</v>
      </c>
      <c r="AR428" s="736">
        <v>0</v>
      </c>
      <c r="AS428" s="162">
        <v>1</v>
      </c>
      <c r="AT428" s="162">
        <v>1</v>
      </c>
      <c r="AU428" s="162">
        <v>1</v>
      </c>
      <c r="AV428" s="162">
        <v>1</v>
      </c>
      <c r="AW428" s="162">
        <v>1</v>
      </c>
      <c r="AX428" s="162">
        <v>1</v>
      </c>
      <c r="AY428" s="289">
        <v>100000000</v>
      </c>
      <c r="AZ428" s="289">
        <v>84100000</v>
      </c>
      <c r="BA428" s="289">
        <v>50000000</v>
      </c>
      <c r="BB428" s="289">
        <v>100000000</v>
      </c>
      <c r="BC428" s="737">
        <f t="shared" si="98"/>
        <v>334100000</v>
      </c>
      <c r="BD428" s="155" t="s">
        <v>1304</v>
      </c>
      <c r="BE428" s="155" t="s">
        <v>69</v>
      </c>
    </row>
    <row r="429" spans="1:57" ht="33.75">
      <c r="A429" s="11"/>
      <c r="B429" s="11"/>
      <c r="C429" s="11"/>
      <c r="D429" s="11"/>
      <c r="E429" s="11"/>
      <c r="F429" s="11"/>
      <c r="G429" s="11"/>
      <c r="H429" s="11"/>
      <c r="I429" s="738"/>
      <c r="J429" s="738"/>
      <c r="K429" s="738"/>
      <c r="L429" s="738"/>
      <c r="M429" s="738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739"/>
      <c r="AE429" s="739"/>
      <c r="AF429" s="739"/>
      <c r="AG429" s="739"/>
      <c r="AH429" s="739"/>
      <c r="AI429" s="274" t="s">
        <v>1147</v>
      </c>
      <c r="AJ429" s="734">
        <f>+(0.2604*100)/6</f>
        <v>4.3400000000000007</v>
      </c>
      <c r="AK429" s="734">
        <f>+AJ429*C4</f>
        <v>0.43400000000000011</v>
      </c>
      <c r="AL429" s="734">
        <v>3.91</v>
      </c>
      <c r="AM429" s="734">
        <v>0</v>
      </c>
      <c r="AN429" s="734">
        <v>0</v>
      </c>
      <c r="AO429" s="155" t="s">
        <v>1234</v>
      </c>
      <c r="AP429" s="735" t="s">
        <v>202</v>
      </c>
      <c r="AQ429" s="274" t="s">
        <v>87</v>
      </c>
      <c r="AR429" s="736">
        <v>0</v>
      </c>
      <c r="AS429" s="162">
        <v>300</v>
      </c>
      <c r="AT429" s="162">
        <v>98</v>
      </c>
      <c r="AU429" s="162">
        <v>202</v>
      </c>
      <c r="AV429" s="162">
        <v>0</v>
      </c>
      <c r="AW429" s="162">
        <v>0</v>
      </c>
      <c r="AX429" s="162">
        <v>300</v>
      </c>
      <c r="AY429" s="289">
        <v>1220110000</v>
      </c>
      <c r="AZ429" s="289">
        <v>0</v>
      </c>
      <c r="BA429" s="289">
        <v>935055000</v>
      </c>
      <c r="BB429" s="289">
        <v>1585055000</v>
      </c>
      <c r="BC429" s="737">
        <f t="shared" si="98"/>
        <v>3740220000</v>
      </c>
      <c r="BD429" s="155" t="s">
        <v>778</v>
      </c>
      <c r="BE429" s="155" t="s">
        <v>132</v>
      </c>
    </row>
    <row r="430" spans="1:57" ht="33.75">
      <c r="A430" s="11"/>
      <c r="B430" s="11"/>
      <c r="C430" s="11"/>
      <c r="D430" s="11"/>
      <c r="E430" s="11"/>
      <c r="F430" s="11"/>
      <c r="G430" s="11"/>
      <c r="H430" s="11"/>
      <c r="I430" s="738"/>
      <c r="J430" s="738"/>
      <c r="K430" s="738"/>
      <c r="L430" s="738"/>
      <c r="M430" s="738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739"/>
      <c r="AE430" s="739"/>
      <c r="AF430" s="739"/>
      <c r="AG430" s="739"/>
      <c r="AH430" s="739"/>
      <c r="AI430" s="274" t="s">
        <v>1148</v>
      </c>
      <c r="AJ430" s="734">
        <f>+(0.4368*100)/6</f>
        <v>7.28</v>
      </c>
      <c r="AK430" s="734">
        <f>+AJ430*C4</f>
        <v>0.72800000000000009</v>
      </c>
      <c r="AL430" s="734">
        <f>+AJ430*D4</f>
        <v>3.2760000000000002</v>
      </c>
      <c r="AM430" s="734">
        <f>+AJ430*E4</f>
        <v>1.82</v>
      </c>
      <c r="AN430" s="734">
        <f>+AJ430*F4</f>
        <v>1.4560000000000002</v>
      </c>
      <c r="AO430" s="155" t="s">
        <v>1085</v>
      </c>
      <c r="AP430" s="735" t="s">
        <v>202</v>
      </c>
      <c r="AQ430" s="274" t="s">
        <v>87</v>
      </c>
      <c r="AR430" s="736">
        <v>3500</v>
      </c>
      <c r="AS430" s="162">
        <v>4300</v>
      </c>
      <c r="AT430" s="162">
        <v>200</v>
      </c>
      <c r="AU430" s="162">
        <v>50</v>
      </c>
      <c r="AV430" s="162">
        <v>275</v>
      </c>
      <c r="AW430" s="162">
        <v>275</v>
      </c>
      <c r="AX430" s="162">
        <v>4300</v>
      </c>
      <c r="AY430" s="289">
        <v>700000000</v>
      </c>
      <c r="AZ430" s="289">
        <v>700000000</v>
      </c>
      <c r="BA430" s="289">
        <v>1000000000</v>
      </c>
      <c r="BB430" s="289">
        <v>900000000</v>
      </c>
      <c r="BC430" s="737">
        <f t="shared" si="98"/>
        <v>3300000000</v>
      </c>
      <c r="BD430" s="155" t="s">
        <v>788</v>
      </c>
      <c r="BE430" s="155" t="s">
        <v>205</v>
      </c>
    </row>
    <row r="431" spans="1:57" ht="33.75">
      <c r="A431" s="11"/>
      <c r="B431" s="11"/>
      <c r="C431" s="11"/>
      <c r="D431" s="11"/>
      <c r="E431" s="11"/>
      <c r="F431" s="11"/>
      <c r="G431" s="11"/>
      <c r="H431" s="11"/>
      <c r="I431" s="738"/>
      <c r="J431" s="738"/>
      <c r="K431" s="738"/>
      <c r="L431" s="738"/>
      <c r="M431" s="738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739"/>
      <c r="AE431" s="739"/>
      <c r="AF431" s="739"/>
      <c r="AG431" s="739"/>
      <c r="AH431" s="739"/>
      <c r="AI431" s="274" t="s">
        <v>1149</v>
      </c>
      <c r="AJ431" s="734">
        <f>+(0.3283*100)/6</f>
        <v>5.4716666666666667</v>
      </c>
      <c r="AK431" s="734">
        <f>+AJ431*C4</f>
        <v>0.54716666666666669</v>
      </c>
      <c r="AL431" s="734">
        <v>0</v>
      </c>
      <c r="AM431" s="734">
        <v>4.92</v>
      </c>
      <c r="AN431" s="734">
        <v>0</v>
      </c>
      <c r="AO431" s="155" t="s">
        <v>1235</v>
      </c>
      <c r="AP431" s="735" t="s">
        <v>202</v>
      </c>
      <c r="AQ431" s="274" t="s">
        <v>87</v>
      </c>
      <c r="AR431" s="736">
        <v>0</v>
      </c>
      <c r="AS431" s="162">
        <v>1</v>
      </c>
      <c r="AT431" s="162">
        <v>1</v>
      </c>
      <c r="AU431" s="162">
        <v>0</v>
      </c>
      <c r="AV431" s="162">
        <v>1</v>
      </c>
      <c r="AW431" s="162">
        <v>0</v>
      </c>
      <c r="AX431" s="162">
        <v>1</v>
      </c>
      <c r="AY431" s="289">
        <v>1583765773.5</v>
      </c>
      <c r="AZ431" s="289">
        <v>916234226.5</v>
      </c>
      <c r="BA431" s="289">
        <v>0</v>
      </c>
      <c r="BB431" s="289">
        <v>0</v>
      </c>
      <c r="BC431" s="737">
        <f t="shared" si="98"/>
        <v>2500000000</v>
      </c>
      <c r="BD431" s="155" t="s">
        <v>788</v>
      </c>
      <c r="BE431" s="155" t="s">
        <v>205</v>
      </c>
    </row>
    <row r="432" spans="1:57" ht="33.75">
      <c r="A432" s="11"/>
      <c r="B432" s="11"/>
      <c r="C432" s="11"/>
      <c r="D432" s="11"/>
      <c r="E432" s="11"/>
      <c r="F432" s="11"/>
      <c r="G432" s="11"/>
      <c r="H432" s="11"/>
      <c r="I432" s="738"/>
      <c r="J432" s="738"/>
      <c r="K432" s="738"/>
      <c r="L432" s="738"/>
      <c r="M432" s="738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739"/>
      <c r="AE432" s="739"/>
      <c r="AF432" s="739"/>
      <c r="AG432" s="739"/>
      <c r="AH432" s="739"/>
      <c r="AI432" s="274" t="s">
        <v>1150</v>
      </c>
      <c r="AJ432" s="734">
        <f>+(0.6462*100)/6</f>
        <v>10.770000000000001</v>
      </c>
      <c r="AK432" s="734">
        <f>+AJ432*C4</f>
        <v>1.0770000000000002</v>
      </c>
      <c r="AL432" s="734">
        <v>0</v>
      </c>
      <c r="AM432" s="734">
        <v>7.54</v>
      </c>
      <c r="AN432" s="734">
        <f>+AJ432*F4</f>
        <v>2.1540000000000004</v>
      </c>
      <c r="AO432" s="155" t="s">
        <v>1236</v>
      </c>
      <c r="AP432" s="735" t="s">
        <v>202</v>
      </c>
      <c r="AQ432" s="274" t="s">
        <v>87</v>
      </c>
      <c r="AR432" s="736">
        <v>4</v>
      </c>
      <c r="AS432" s="162">
        <v>4</v>
      </c>
      <c r="AT432" s="162">
        <v>4</v>
      </c>
      <c r="AU432" s="162">
        <v>0</v>
      </c>
      <c r="AV432" s="162">
        <v>2</v>
      </c>
      <c r="AW432" s="162">
        <v>2</v>
      </c>
      <c r="AX432" s="162">
        <v>4</v>
      </c>
      <c r="AY432" s="289">
        <v>2000000000</v>
      </c>
      <c r="AZ432" s="289">
        <v>916234226.5</v>
      </c>
      <c r="BA432" s="289">
        <v>1500000000</v>
      </c>
      <c r="BB432" s="289">
        <v>1500000000</v>
      </c>
      <c r="BC432" s="737">
        <f t="shared" si="98"/>
        <v>5916234226.5</v>
      </c>
      <c r="BD432" s="155" t="s">
        <v>788</v>
      </c>
      <c r="BE432" s="155" t="s">
        <v>205</v>
      </c>
    </row>
    <row r="433" spans="1:57" ht="33.75">
      <c r="A433" s="11"/>
      <c r="B433" s="11"/>
      <c r="C433" s="11"/>
      <c r="D433" s="11"/>
      <c r="E433" s="11"/>
      <c r="F433" s="11"/>
      <c r="G433" s="11"/>
      <c r="H433" s="11"/>
      <c r="I433" s="738"/>
      <c r="J433" s="738"/>
      <c r="K433" s="738"/>
      <c r="L433" s="738"/>
      <c r="M433" s="738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739"/>
      <c r="AE433" s="739"/>
      <c r="AF433" s="739"/>
      <c r="AG433" s="739"/>
      <c r="AH433" s="739"/>
      <c r="AI433" s="274" t="s">
        <v>1151</v>
      </c>
      <c r="AJ433" s="734">
        <f>+(0.3345*100)/6</f>
        <v>5.5750000000000002</v>
      </c>
      <c r="AK433" s="734">
        <f>+AJ433*C4</f>
        <v>0.5575</v>
      </c>
      <c r="AL433" s="734">
        <f>+AJ433*D4</f>
        <v>2.50875</v>
      </c>
      <c r="AM433" s="734">
        <f>+AJ433*E4</f>
        <v>1.39375</v>
      </c>
      <c r="AN433" s="734">
        <f>+AJ433*F4</f>
        <v>1.115</v>
      </c>
      <c r="AO433" s="155" t="s">
        <v>1084</v>
      </c>
      <c r="AP433" s="735" t="s">
        <v>202</v>
      </c>
      <c r="AQ433" s="274" t="s">
        <v>87</v>
      </c>
      <c r="AR433" s="736">
        <v>3500</v>
      </c>
      <c r="AS433" s="162">
        <v>4300</v>
      </c>
      <c r="AT433" s="162">
        <v>200</v>
      </c>
      <c r="AU433" s="162">
        <v>50</v>
      </c>
      <c r="AV433" s="162">
        <v>275</v>
      </c>
      <c r="AW433" s="162">
        <v>275</v>
      </c>
      <c r="AX433" s="162">
        <v>4300</v>
      </c>
      <c r="AY433" s="289">
        <v>550000000</v>
      </c>
      <c r="AZ433" s="289">
        <v>500000000</v>
      </c>
      <c r="BA433" s="289">
        <v>500000000</v>
      </c>
      <c r="BB433" s="289">
        <v>1750000000</v>
      </c>
      <c r="BC433" s="737">
        <f t="shared" si="98"/>
        <v>3300000000</v>
      </c>
      <c r="BD433" s="155" t="s">
        <v>788</v>
      </c>
      <c r="BE433" s="155" t="s">
        <v>205</v>
      </c>
    </row>
    <row r="434" spans="1:57" ht="33.75">
      <c r="A434" s="11"/>
      <c r="B434" s="11"/>
      <c r="C434" s="11"/>
      <c r="D434" s="11"/>
      <c r="E434" s="11"/>
      <c r="F434" s="11"/>
      <c r="G434" s="11"/>
      <c r="H434" s="11"/>
      <c r="I434" s="738"/>
      <c r="J434" s="738"/>
      <c r="K434" s="738"/>
      <c r="L434" s="738"/>
      <c r="M434" s="738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739"/>
      <c r="AE434" s="739"/>
      <c r="AF434" s="739"/>
      <c r="AG434" s="739"/>
      <c r="AH434" s="739"/>
      <c r="AI434" s="274" t="s">
        <v>1152</v>
      </c>
      <c r="AJ434" s="734">
        <f>+(0.5598*100)/6</f>
        <v>9.33</v>
      </c>
      <c r="AK434" s="734">
        <f>+AJ434*C4</f>
        <v>0.93300000000000005</v>
      </c>
      <c r="AL434" s="734">
        <v>0</v>
      </c>
      <c r="AM434" s="734">
        <v>6.53</v>
      </c>
      <c r="AN434" s="734">
        <f>+AJ434*F4</f>
        <v>1.8660000000000001</v>
      </c>
      <c r="AO434" s="155" t="s">
        <v>1237</v>
      </c>
      <c r="AP434" s="735" t="s">
        <v>202</v>
      </c>
      <c r="AQ434" s="274" t="s">
        <v>87</v>
      </c>
      <c r="AR434" s="736" t="s">
        <v>221</v>
      </c>
      <c r="AS434" s="162">
        <v>2</v>
      </c>
      <c r="AT434" s="162">
        <v>1</v>
      </c>
      <c r="AU434" s="162">
        <v>0</v>
      </c>
      <c r="AV434" s="162">
        <v>2</v>
      </c>
      <c r="AW434" s="162">
        <v>2</v>
      </c>
      <c r="AX434" s="162">
        <v>2</v>
      </c>
      <c r="AY434" s="289">
        <v>3500000000</v>
      </c>
      <c r="AZ434" s="289">
        <v>1500000000</v>
      </c>
      <c r="BA434" s="289">
        <v>0</v>
      </c>
      <c r="BB434" s="289">
        <v>0</v>
      </c>
      <c r="BC434" s="737">
        <f t="shared" si="98"/>
        <v>5000000000</v>
      </c>
      <c r="BD434" s="155" t="s">
        <v>788</v>
      </c>
      <c r="BE434" s="155" t="s">
        <v>205</v>
      </c>
    </row>
    <row r="435" spans="1:57" ht="33.75">
      <c r="A435" s="11"/>
      <c r="B435" s="11"/>
      <c r="C435" s="11"/>
      <c r="D435" s="11"/>
      <c r="E435" s="11"/>
      <c r="F435" s="11"/>
      <c r="G435" s="11"/>
      <c r="H435" s="11"/>
      <c r="I435" s="738"/>
      <c r="J435" s="738"/>
      <c r="K435" s="738"/>
      <c r="L435" s="738"/>
      <c r="M435" s="738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739"/>
      <c r="AE435" s="739"/>
      <c r="AF435" s="739"/>
      <c r="AG435" s="739"/>
      <c r="AH435" s="739"/>
      <c r="AI435" s="274" t="s">
        <v>1153</v>
      </c>
      <c r="AJ435" s="734">
        <f>+(0.6741*100)/6</f>
        <v>11.234999999999999</v>
      </c>
      <c r="AK435" s="734">
        <f>+AJ435*C4</f>
        <v>1.1234999999999999</v>
      </c>
      <c r="AL435" s="734">
        <v>0</v>
      </c>
      <c r="AM435" s="734">
        <v>7.87</v>
      </c>
      <c r="AN435" s="734">
        <f>+AJ435*F4</f>
        <v>2.2469999999999999</v>
      </c>
      <c r="AO435" s="155" t="s">
        <v>1238</v>
      </c>
      <c r="AP435" s="735" t="s">
        <v>203</v>
      </c>
      <c r="AQ435" s="274" t="s">
        <v>87</v>
      </c>
      <c r="AR435" s="736">
        <v>4</v>
      </c>
      <c r="AS435" s="162">
        <v>4</v>
      </c>
      <c r="AT435" s="162">
        <v>4</v>
      </c>
      <c r="AU435" s="162">
        <v>0</v>
      </c>
      <c r="AV435" s="162">
        <v>2</v>
      </c>
      <c r="AW435" s="162">
        <v>1</v>
      </c>
      <c r="AX435" s="162">
        <v>4</v>
      </c>
      <c r="AY435" s="289">
        <v>1997132009</v>
      </c>
      <c r="AZ435" s="289">
        <v>1002867991</v>
      </c>
      <c r="BA435" s="289">
        <v>1000000000</v>
      </c>
      <c r="BB435" s="289">
        <v>3000000000</v>
      </c>
      <c r="BC435" s="737">
        <f t="shared" si="98"/>
        <v>7000000000</v>
      </c>
      <c r="BD435" s="155" t="s">
        <v>788</v>
      </c>
      <c r="BE435" s="155" t="s">
        <v>205</v>
      </c>
    </row>
    <row r="436" spans="1:57" ht="33.75">
      <c r="A436" s="11"/>
      <c r="B436" s="11"/>
      <c r="C436" s="11"/>
      <c r="D436" s="11"/>
      <c r="E436" s="11"/>
      <c r="F436" s="11"/>
      <c r="G436" s="11"/>
      <c r="H436" s="11"/>
      <c r="I436" s="738"/>
      <c r="J436" s="738"/>
      <c r="K436" s="738"/>
      <c r="L436" s="738"/>
      <c r="M436" s="738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739"/>
      <c r="AE436" s="739"/>
      <c r="AF436" s="739"/>
      <c r="AG436" s="739"/>
      <c r="AH436" s="739"/>
      <c r="AI436" s="274" t="s">
        <v>1154</v>
      </c>
      <c r="AJ436" s="734">
        <f>+(0.0716*100)/6</f>
        <v>1.1933333333333334</v>
      </c>
      <c r="AK436" s="734">
        <v>0</v>
      </c>
      <c r="AL436" s="734">
        <v>0</v>
      </c>
      <c r="AM436" s="734">
        <v>1.19</v>
      </c>
      <c r="AN436" s="734">
        <v>0</v>
      </c>
      <c r="AO436" s="155" t="s">
        <v>1239</v>
      </c>
      <c r="AP436" s="735" t="s">
        <v>202</v>
      </c>
      <c r="AQ436" s="274" t="s">
        <v>87</v>
      </c>
      <c r="AR436" s="736">
        <v>0</v>
      </c>
      <c r="AS436" s="162">
        <v>100</v>
      </c>
      <c r="AT436" s="162">
        <v>0</v>
      </c>
      <c r="AU436" s="162">
        <v>0</v>
      </c>
      <c r="AV436" s="162">
        <v>100</v>
      </c>
      <c r="AW436" s="162">
        <v>0</v>
      </c>
      <c r="AX436" s="162">
        <v>100</v>
      </c>
      <c r="AY436" s="289">
        <v>600000000</v>
      </c>
      <c r="AZ436" s="289">
        <v>0</v>
      </c>
      <c r="BA436" s="289">
        <v>0</v>
      </c>
      <c r="BB436" s="289">
        <v>1000000000</v>
      </c>
      <c r="BC436" s="737">
        <f t="shared" si="98"/>
        <v>1600000000</v>
      </c>
      <c r="BD436" s="155" t="s">
        <v>788</v>
      </c>
      <c r="BE436" s="155" t="s">
        <v>205</v>
      </c>
    </row>
    <row r="437" spans="1:57" ht="56.25">
      <c r="A437" s="11"/>
      <c r="B437" s="11"/>
      <c r="C437" s="11"/>
      <c r="D437" s="11"/>
      <c r="E437" s="11"/>
      <c r="F437" s="11"/>
      <c r="G437" s="11"/>
      <c r="H437" s="11"/>
      <c r="I437" s="738"/>
      <c r="J437" s="738"/>
      <c r="K437" s="738"/>
      <c r="L437" s="738"/>
      <c r="M437" s="738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739"/>
      <c r="AE437" s="739"/>
      <c r="AF437" s="739"/>
      <c r="AG437" s="739"/>
      <c r="AH437" s="739"/>
      <c r="AI437" s="274" t="s">
        <v>1155</v>
      </c>
      <c r="AJ437" s="734">
        <f>+(0.74*100)/6</f>
        <v>12.333333333333334</v>
      </c>
      <c r="AK437" s="734">
        <f>+AJ437*C4</f>
        <v>1.2333333333333334</v>
      </c>
      <c r="AL437" s="734">
        <f>+AJ437*D4</f>
        <v>5.5500000000000007</v>
      </c>
      <c r="AM437" s="734">
        <f>+AJ437*E4</f>
        <v>3.0833333333333335</v>
      </c>
      <c r="AN437" s="734">
        <f>+AJ437*F4</f>
        <v>2.4666666666666668</v>
      </c>
      <c r="AO437" s="155" t="s">
        <v>1240</v>
      </c>
      <c r="AP437" s="735" t="s">
        <v>202</v>
      </c>
      <c r="AQ437" s="274" t="s">
        <v>87</v>
      </c>
      <c r="AR437" s="736">
        <v>13575</v>
      </c>
      <c r="AS437" s="162">
        <v>1000</v>
      </c>
      <c r="AT437" s="162">
        <v>250</v>
      </c>
      <c r="AU437" s="162">
        <v>250</v>
      </c>
      <c r="AV437" s="162">
        <v>250</v>
      </c>
      <c r="AW437" s="162">
        <v>250</v>
      </c>
      <c r="AX437" s="162">
        <v>1000</v>
      </c>
      <c r="AY437" s="289">
        <v>2683065443</v>
      </c>
      <c r="AZ437" s="289">
        <v>1084800000</v>
      </c>
      <c r="BA437" s="289">
        <v>555200000</v>
      </c>
      <c r="BB437" s="289">
        <v>4676934557</v>
      </c>
      <c r="BC437" s="737">
        <f t="shared" si="98"/>
        <v>9000000000</v>
      </c>
      <c r="BD437" s="155" t="s">
        <v>223</v>
      </c>
      <c r="BE437" s="155" t="s">
        <v>205</v>
      </c>
    </row>
    <row r="438" spans="1:57" ht="22.5">
      <c r="A438" s="11"/>
      <c r="B438" s="11"/>
      <c r="C438" s="11"/>
      <c r="D438" s="11"/>
      <c r="E438" s="11"/>
      <c r="F438" s="11"/>
      <c r="G438" s="11"/>
      <c r="H438" s="11"/>
      <c r="I438" s="738"/>
      <c r="J438" s="738"/>
      <c r="K438" s="738"/>
      <c r="L438" s="738"/>
      <c r="M438" s="738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739"/>
      <c r="AE438" s="739"/>
      <c r="AF438" s="739"/>
      <c r="AG438" s="739"/>
      <c r="AH438" s="739"/>
      <c r="AI438" s="274" t="s">
        <v>1156</v>
      </c>
      <c r="AJ438" s="734">
        <f>+(1.21*100)/6</f>
        <v>20.166666666666668</v>
      </c>
      <c r="AK438" s="734">
        <f>+AJ438*C4</f>
        <v>2.0166666666666671</v>
      </c>
      <c r="AL438" s="734">
        <f>+AJ438*D4</f>
        <v>9.0750000000000011</v>
      </c>
      <c r="AM438" s="734">
        <f>+AJ438*E4</f>
        <v>5.041666666666667</v>
      </c>
      <c r="AN438" s="734">
        <f>+AJ438*F4</f>
        <v>4.0333333333333341</v>
      </c>
      <c r="AO438" s="155" t="s">
        <v>1241</v>
      </c>
      <c r="AP438" s="735" t="s">
        <v>202</v>
      </c>
      <c r="AQ438" s="274" t="s">
        <v>87</v>
      </c>
      <c r="AR438" s="736">
        <v>350</v>
      </c>
      <c r="AS438" s="162">
        <v>1000</v>
      </c>
      <c r="AT438" s="162">
        <v>100</v>
      </c>
      <c r="AU438" s="162">
        <v>200</v>
      </c>
      <c r="AV438" s="162">
        <v>350</v>
      </c>
      <c r="AW438" s="162">
        <v>350</v>
      </c>
      <c r="AX438" s="162">
        <v>1000</v>
      </c>
      <c r="AY438" s="289">
        <v>5505239725</v>
      </c>
      <c r="AZ438" s="289">
        <v>868000000</v>
      </c>
      <c r="BA438" s="289">
        <v>3375000000</v>
      </c>
      <c r="BB438" s="289">
        <v>5251760275</v>
      </c>
      <c r="BC438" s="737">
        <f t="shared" si="98"/>
        <v>15000000000</v>
      </c>
      <c r="BD438" s="155" t="s">
        <v>204</v>
      </c>
      <c r="BE438" s="155" t="s">
        <v>205</v>
      </c>
    </row>
    <row r="439" spans="1:57" ht="22.5">
      <c r="A439" s="11"/>
      <c r="B439" s="11"/>
      <c r="C439" s="11"/>
      <c r="D439" s="11"/>
      <c r="E439" s="11"/>
      <c r="F439" s="11"/>
      <c r="G439" s="11"/>
      <c r="H439" s="11"/>
      <c r="I439" s="738"/>
      <c r="J439" s="738"/>
      <c r="K439" s="738"/>
      <c r="L439" s="738"/>
      <c r="M439" s="738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739"/>
      <c r="AE439" s="739"/>
      <c r="AF439" s="739"/>
      <c r="AG439" s="739"/>
      <c r="AH439" s="739"/>
      <c r="AI439" s="274" t="s">
        <v>1157</v>
      </c>
      <c r="AJ439" s="734">
        <f>+(0.2627*100)/6</f>
        <v>4.378333333333333</v>
      </c>
      <c r="AK439" s="734">
        <f>+AJ439*C4</f>
        <v>0.4378333333333333</v>
      </c>
      <c r="AL439" s="734">
        <v>0</v>
      </c>
      <c r="AM439" s="734">
        <v>3.06</v>
      </c>
      <c r="AN439" s="734">
        <f>+AJ439*F4</f>
        <v>0.87566666666666659</v>
      </c>
      <c r="AO439" s="155" t="s">
        <v>1242</v>
      </c>
      <c r="AP439" s="735" t="s">
        <v>202</v>
      </c>
      <c r="AQ439" s="274" t="s">
        <v>87</v>
      </c>
      <c r="AR439" s="736">
        <v>0</v>
      </c>
      <c r="AS439" s="162">
        <v>20</v>
      </c>
      <c r="AT439" s="162">
        <v>5</v>
      </c>
      <c r="AU439" s="162">
        <v>0</v>
      </c>
      <c r="AV439" s="162">
        <v>4</v>
      </c>
      <c r="AW439" s="162">
        <v>11</v>
      </c>
      <c r="AX439" s="162">
        <v>20</v>
      </c>
      <c r="AY439" s="289">
        <v>1000000000</v>
      </c>
      <c r="AZ439" s="289">
        <v>500000000</v>
      </c>
      <c r="BA439" s="289">
        <v>0</v>
      </c>
      <c r="BB439" s="289">
        <v>1500000000</v>
      </c>
      <c r="BC439" s="737">
        <f t="shared" si="98"/>
        <v>3000000000</v>
      </c>
      <c r="BD439" s="155" t="s">
        <v>204</v>
      </c>
      <c r="BE439" s="155" t="s">
        <v>205</v>
      </c>
    </row>
    <row r="440" spans="1:57" ht="22.5">
      <c r="A440" s="11"/>
      <c r="B440" s="11"/>
      <c r="C440" s="11"/>
      <c r="D440" s="11"/>
      <c r="E440" s="11"/>
      <c r="F440" s="11"/>
      <c r="G440" s="11"/>
      <c r="H440" s="11"/>
      <c r="I440" s="738"/>
      <c r="J440" s="738"/>
      <c r="K440" s="738"/>
      <c r="L440" s="738"/>
      <c r="M440" s="738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2"/>
      <c r="AD440" s="740"/>
      <c r="AE440" s="740"/>
      <c r="AF440" s="740"/>
      <c r="AG440" s="740"/>
      <c r="AH440" s="740"/>
      <c r="AI440" s="274" t="s">
        <v>1158</v>
      </c>
      <c r="AJ440" s="741">
        <f>+(0.004*100)/6</f>
        <v>6.6666666666666666E-2</v>
      </c>
      <c r="AK440" s="734">
        <v>0</v>
      </c>
      <c r="AL440" s="741">
        <f>+AJ440</f>
        <v>6.6666666666666666E-2</v>
      </c>
      <c r="AM440" s="734">
        <v>0</v>
      </c>
      <c r="AN440" s="734">
        <v>0</v>
      </c>
      <c r="AO440" s="155" t="s">
        <v>1243</v>
      </c>
      <c r="AP440" s="735" t="s">
        <v>202</v>
      </c>
      <c r="AQ440" s="274" t="s">
        <v>87</v>
      </c>
      <c r="AR440" s="736">
        <v>0</v>
      </c>
      <c r="AS440" s="162">
        <v>7</v>
      </c>
      <c r="AT440" s="162">
        <v>0</v>
      </c>
      <c r="AU440" s="162">
        <v>7</v>
      </c>
      <c r="AV440" s="162">
        <v>0</v>
      </c>
      <c r="AW440" s="162">
        <v>0</v>
      </c>
      <c r="AX440" s="162">
        <v>7</v>
      </c>
      <c r="AY440" s="289">
        <v>0</v>
      </c>
      <c r="AZ440" s="289">
        <v>0</v>
      </c>
      <c r="BA440" s="289">
        <v>0</v>
      </c>
      <c r="BB440" s="289">
        <v>0</v>
      </c>
      <c r="BC440" s="737">
        <f t="shared" si="98"/>
        <v>0</v>
      </c>
      <c r="BD440" s="155" t="s">
        <v>204</v>
      </c>
      <c r="BE440" s="155" t="s">
        <v>205</v>
      </c>
    </row>
    <row r="441" spans="1:57">
      <c r="A441" s="11"/>
      <c r="B441" s="11"/>
      <c r="C441" s="11"/>
      <c r="D441" s="11"/>
      <c r="E441" s="11"/>
      <c r="F441" s="11"/>
      <c r="G441" s="11"/>
      <c r="H441" s="11"/>
      <c r="I441" s="738"/>
      <c r="J441" s="738"/>
      <c r="K441" s="738"/>
      <c r="L441" s="738"/>
      <c r="M441" s="738"/>
      <c r="N441" s="11"/>
      <c r="O441" s="12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349" t="s">
        <v>1453</v>
      </c>
      <c r="AD441" s="385"/>
      <c r="AE441" s="174"/>
      <c r="AF441" s="174"/>
      <c r="AG441" s="174"/>
      <c r="AH441" s="174"/>
      <c r="AI441" s="174"/>
      <c r="AJ441" s="445">
        <f t="shared" ref="AJ441" si="99">SUM(AJ423:AJ440)</f>
        <v>100.01333333333334</v>
      </c>
      <c r="AK441" s="445"/>
      <c r="AL441" s="445"/>
      <c r="AM441" s="445"/>
      <c r="AN441" s="445"/>
      <c r="AO441" s="204"/>
      <c r="AP441" s="354"/>
      <c r="AQ441" s="174"/>
      <c r="AR441" s="300"/>
      <c r="AS441" s="205"/>
      <c r="AT441" s="205"/>
      <c r="AU441" s="205"/>
      <c r="AV441" s="205"/>
      <c r="AW441" s="205"/>
      <c r="AX441" s="207"/>
      <c r="AY441" s="304">
        <v>23139312950.5</v>
      </c>
      <c r="AZ441" s="304">
        <v>8672236444</v>
      </c>
      <c r="BA441" s="304">
        <v>9865255000</v>
      </c>
      <c r="BB441" s="304">
        <v>22213749832</v>
      </c>
      <c r="BC441" s="304">
        <f t="shared" si="98"/>
        <v>63890554226.5</v>
      </c>
      <c r="BD441" s="204"/>
      <c r="BE441" s="204"/>
    </row>
    <row r="442" spans="1:57" ht="56.25">
      <c r="A442" s="11"/>
      <c r="B442" s="11"/>
      <c r="C442" s="11"/>
      <c r="D442" s="11"/>
      <c r="E442" s="11"/>
      <c r="F442" s="11"/>
      <c r="G442" s="11"/>
      <c r="H442" s="11"/>
      <c r="I442" s="738"/>
      <c r="J442" s="738"/>
      <c r="K442" s="738"/>
      <c r="L442" s="738"/>
      <c r="M442" s="738"/>
      <c r="N442" s="155" t="s">
        <v>1455</v>
      </c>
      <c r="O442" s="405">
        <f>+(2*100)/15</f>
        <v>13.333333333333334</v>
      </c>
      <c r="P442" s="409">
        <f>+O442*C4</f>
        <v>1.3333333333333335</v>
      </c>
      <c r="Q442" s="409">
        <f>+O442*D4</f>
        <v>6</v>
      </c>
      <c r="R442" s="409">
        <f>+O442*E4</f>
        <v>3.3333333333333335</v>
      </c>
      <c r="S442" s="409">
        <f>+O442*F4</f>
        <v>2.666666666666667</v>
      </c>
      <c r="T442" s="155" t="s">
        <v>1456</v>
      </c>
      <c r="U442" s="162" t="s">
        <v>202</v>
      </c>
      <c r="V442" s="162" t="s">
        <v>87</v>
      </c>
      <c r="W442" s="409">
        <v>603065.25</v>
      </c>
      <c r="X442" s="409">
        <v>803065</v>
      </c>
      <c r="Y442" s="409">
        <v>605000</v>
      </c>
      <c r="Z442" s="409">
        <v>710000</v>
      </c>
      <c r="AA442" s="409">
        <v>760000</v>
      </c>
      <c r="AB442" s="409">
        <v>803065</v>
      </c>
      <c r="AC442" s="155" t="s">
        <v>1305</v>
      </c>
      <c r="AD442" s="405">
        <f>+(2*100)/15</f>
        <v>13.333333333333334</v>
      </c>
      <c r="AE442" s="405">
        <f>+AD442*C4</f>
        <v>1.3333333333333335</v>
      </c>
      <c r="AF442" s="405">
        <f>+AD442*D4</f>
        <v>6</v>
      </c>
      <c r="AG442" s="405">
        <f>+AD442*E4</f>
        <v>3.3333333333333335</v>
      </c>
      <c r="AH442" s="405">
        <f>+AD442*F4</f>
        <v>2.666666666666667</v>
      </c>
      <c r="AI442" s="274" t="s">
        <v>1159</v>
      </c>
      <c r="AJ442" s="734">
        <f>+(1.06*100)/3</f>
        <v>35.333333333333336</v>
      </c>
      <c r="AK442" s="734">
        <f>+AJ442*C4</f>
        <v>3.5333333333333337</v>
      </c>
      <c r="AL442" s="734">
        <f>+AJ442*D4</f>
        <v>15.900000000000002</v>
      </c>
      <c r="AM442" s="734">
        <f>+AJ442*E4</f>
        <v>8.8333333333333339</v>
      </c>
      <c r="AN442" s="734">
        <f>+AJ442*F4</f>
        <v>7.0666666666666673</v>
      </c>
      <c r="AO442" s="155" t="s">
        <v>1244</v>
      </c>
      <c r="AP442" s="735" t="s">
        <v>202</v>
      </c>
      <c r="AQ442" s="274" t="s">
        <v>87</v>
      </c>
      <c r="AR442" s="736">
        <v>86998</v>
      </c>
      <c r="AS442" s="162">
        <v>10000</v>
      </c>
      <c r="AT442" s="747">
        <v>5555.5555555555557</v>
      </c>
      <c r="AU442" s="747">
        <v>1450</v>
      </c>
      <c r="AV442" s="747">
        <v>1450</v>
      </c>
      <c r="AW442" s="747">
        <v>1544</v>
      </c>
      <c r="AX442" s="162">
        <v>10000</v>
      </c>
      <c r="AY442" s="289">
        <v>5000000000</v>
      </c>
      <c r="AZ442" s="289">
        <v>4000000000</v>
      </c>
      <c r="BA442" s="289">
        <v>0</v>
      </c>
      <c r="BB442" s="289">
        <v>0</v>
      </c>
      <c r="BC442" s="737">
        <f t="shared" si="98"/>
        <v>9000000000</v>
      </c>
      <c r="BD442" s="155" t="s">
        <v>1304</v>
      </c>
      <c r="BE442" s="155" t="s">
        <v>69</v>
      </c>
    </row>
    <row r="443" spans="1:57" ht="22.5">
      <c r="A443" s="11"/>
      <c r="B443" s="11"/>
      <c r="C443" s="11"/>
      <c r="D443" s="11"/>
      <c r="E443" s="11"/>
      <c r="F443" s="11"/>
      <c r="G443" s="11"/>
      <c r="H443" s="11"/>
      <c r="I443" s="738"/>
      <c r="J443" s="738"/>
      <c r="K443" s="738"/>
      <c r="L443" s="738"/>
      <c r="M443" s="738"/>
      <c r="N443" s="11"/>
      <c r="O443" s="368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368"/>
      <c r="AE443" s="63"/>
      <c r="AF443" s="63"/>
      <c r="AG443" s="63"/>
      <c r="AH443" s="63"/>
      <c r="AI443" s="274" t="s">
        <v>1160</v>
      </c>
      <c r="AJ443" s="734">
        <f>+(0.06*100)/3</f>
        <v>2</v>
      </c>
      <c r="AK443" s="734">
        <f>+AJ443*C4</f>
        <v>0.2</v>
      </c>
      <c r="AL443" s="734">
        <f>+AJ443*D4</f>
        <v>0.9</v>
      </c>
      <c r="AM443" s="734">
        <f>+AJ443*E4</f>
        <v>0.5</v>
      </c>
      <c r="AN443" s="734">
        <f>+AJ443*F4</f>
        <v>0.4</v>
      </c>
      <c r="AO443" s="155" t="s">
        <v>1245</v>
      </c>
      <c r="AP443" s="735" t="s">
        <v>202</v>
      </c>
      <c r="AQ443" s="274" t="s">
        <v>87</v>
      </c>
      <c r="AR443" s="736">
        <v>392</v>
      </c>
      <c r="AS443" s="162">
        <v>500</v>
      </c>
      <c r="AT443" s="162">
        <v>250</v>
      </c>
      <c r="AU443" s="747">
        <v>96</v>
      </c>
      <c r="AV443" s="747">
        <v>104</v>
      </c>
      <c r="AW443" s="747">
        <v>50</v>
      </c>
      <c r="AX443" s="162">
        <v>500</v>
      </c>
      <c r="AY443" s="289">
        <v>500000000</v>
      </c>
      <c r="AZ443" s="289">
        <v>0</v>
      </c>
      <c r="BA443" s="289">
        <v>500000000</v>
      </c>
      <c r="BB443" s="289">
        <v>0</v>
      </c>
      <c r="BC443" s="737">
        <f t="shared" si="98"/>
        <v>1000000000</v>
      </c>
      <c r="BD443" s="155" t="s">
        <v>1304</v>
      </c>
      <c r="BE443" s="155" t="s">
        <v>69</v>
      </c>
    </row>
    <row r="444" spans="1:57" ht="22.5">
      <c r="A444" s="11"/>
      <c r="B444" s="11"/>
      <c r="C444" s="11"/>
      <c r="D444" s="11"/>
      <c r="E444" s="11"/>
      <c r="F444" s="11"/>
      <c r="G444" s="11"/>
      <c r="H444" s="11"/>
      <c r="I444" s="738"/>
      <c r="J444" s="738"/>
      <c r="K444" s="738"/>
      <c r="L444" s="738"/>
      <c r="M444" s="738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63"/>
      <c r="AE444" s="63"/>
      <c r="AF444" s="63"/>
      <c r="AG444" s="63"/>
      <c r="AH444" s="63"/>
      <c r="AI444" s="274" t="s">
        <v>1161</v>
      </c>
      <c r="AJ444" s="734">
        <f>+(0.06*100)/3</f>
        <v>2</v>
      </c>
      <c r="AK444" s="734">
        <f>+AJ444*C4</f>
        <v>0.2</v>
      </c>
      <c r="AL444" s="734">
        <f>+AJ444*D4</f>
        <v>0.9</v>
      </c>
      <c r="AM444" s="734">
        <f>+AJ444*E4</f>
        <v>0.5</v>
      </c>
      <c r="AN444" s="734">
        <f>+AJ444*F4</f>
        <v>0.4</v>
      </c>
      <c r="AO444" s="155" t="s">
        <v>1246</v>
      </c>
      <c r="AP444" s="735" t="s">
        <v>202</v>
      </c>
      <c r="AQ444" s="274" t="s">
        <v>87</v>
      </c>
      <c r="AR444" s="736">
        <v>196</v>
      </c>
      <c r="AS444" s="162">
        <v>500</v>
      </c>
      <c r="AT444" s="162">
        <v>250</v>
      </c>
      <c r="AU444" s="747">
        <v>20</v>
      </c>
      <c r="AV444" s="747">
        <v>180</v>
      </c>
      <c r="AW444" s="747">
        <v>50</v>
      </c>
      <c r="AX444" s="162">
        <v>500</v>
      </c>
      <c r="AY444" s="289">
        <v>500000000</v>
      </c>
      <c r="AZ444" s="289">
        <v>0</v>
      </c>
      <c r="BA444" s="289">
        <v>500000000</v>
      </c>
      <c r="BB444" s="289">
        <v>0</v>
      </c>
      <c r="BC444" s="737">
        <f t="shared" si="98"/>
        <v>1000000000</v>
      </c>
      <c r="BD444" s="155" t="s">
        <v>1304</v>
      </c>
      <c r="BE444" s="155" t="s">
        <v>69</v>
      </c>
    </row>
    <row r="445" spans="1:57" ht="22.5">
      <c r="A445" s="11"/>
      <c r="B445" s="11"/>
      <c r="C445" s="11"/>
      <c r="D445" s="11"/>
      <c r="E445" s="11"/>
      <c r="F445" s="11"/>
      <c r="G445" s="11"/>
      <c r="H445" s="11"/>
      <c r="I445" s="738"/>
      <c r="J445" s="738"/>
      <c r="K445" s="738"/>
      <c r="L445" s="738"/>
      <c r="M445" s="738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63"/>
      <c r="AE445" s="63"/>
      <c r="AF445" s="63"/>
      <c r="AG445" s="63"/>
      <c r="AH445" s="63"/>
      <c r="AI445" s="274" t="s">
        <v>1162</v>
      </c>
      <c r="AJ445" s="734">
        <f>+(0.02*100)/3</f>
        <v>0.66666666666666663</v>
      </c>
      <c r="AK445" s="734">
        <f>+AJ445</f>
        <v>0.66666666666666663</v>
      </c>
      <c r="AL445" s="734">
        <v>0</v>
      </c>
      <c r="AM445" s="734">
        <v>0</v>
      </c>
      <c r="AN445" s="734">
        <v>0</v>
      </c>
      <c r="AO445" s="155" t="s">
        <v>1247</v>
      </c>
      <c r="AP445" s="735" t="s">
        <v>202</v>
      </c>
      <c r="AQ445" s="274" t="s">
        <v>87</v>
      </c>
      <c r="AR445" s="736">
        <v>682</v>
      </c>
      <c r="AS445" s="162">
        <v>400</v>
      </c>
      <c r="AT445" s="162">
        <v>400</v>
      </c>
      <c r="AU445" s="747">
        <v>0</v>
      </c>
      <c r="AV445" s="747">
        <v>0</v>
      </c>
      <c r="AW445" s="747">
        <v>0</v>
      </c>
      <c r="AX445" s="162">
        <v>400</v>
      </c>
      <c r="AY445" s="289">
        <v>1000000000</v>
      </c>
      <c r="AZ445" s="289">
        <v>0</v>
      </c>
      <c r="BA445" s="289">
        <v>0</v>
      </c>
      <c r="BB445" s="289">
        <v>0</v>
      </c>
      <c r="BC445" s="737">
        <f t="shared" si="98"/>
        <v>1000000000</v>
      </c>
      <c r="BD445" s="155" t="s">
        <v>1304</v>
      </c>
      <c r="BE445" s="155" t="s">
        <v>69</v>
      </c>
    </row>
    <row r="446" spans="1:57" ht="22.5">
      <c r="A446" s="11"/>
      <c r="B446" s="11"/>
      <c r="C446" s="11"/>
      <c r="D446" s="11"/>
      <c r="E446" s="11"/>
      <c r="F446" s="11"/>
      <c r="G446" s="11"/>
      <c r="H446" s="11"/>
      <c r="I446" s="738"/>
      <c r="J446" s="738"/>
      <c r="K446" s="738"/>
      <c r="L446" s="738"/>
      <c r="M446" s="738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63"/>
      <c r="AE446" s="63"/>
      <c r="AF446" s="63"/>
      <c r="AG446" s="63"/>
      <c r="AH446" s="63"/>
      <c r="AI446" s="274" t="s">
        <v>1163</v>
      </c>
      <c r="AJ446" s="734">
        <f>+(0.05*100)/3</f>
        <v>1.6666666666666667</v>
      </c>
      <c r="AK446" s="734">
        <v>0</v>
      </c>
      <c r="AL446" s="734">
        <f>+AJ446</f>
        <v>1.6666666666666667</v>
      </c>
      <c r="AM446" s="734">
        <v>0</v>
      </c>
      <c r="AN446" s="734">
        <v>0</v>
      </c>
      <c r="AO446" s="155" t="s">
        <v>1248</v>
      </c>
      <c r="AP446" s="735" t="s">
        <v>202</v>
      </c>
      <c r="AQ446" s="274" t="s">
        <v>87</v>
      </c>
      <c r="AR446" s="736">
        <v>0</v>
      </c>
      <c r="AS446" s="162">
        <v>1</v>
      </c>
      <c r="AT446" s="162">
        <v>0</v>
      </c>
      <c r="AU446" s="747">
        <v>1</v>
      </c>
      <c r="AV446" s="747">
        <v>0</v>
      </c>
      <c r="AW446" s="747">
        <v>0</v>
      </c>
      <c r="AX446" s="162">
        <v>1</v>
      </c>
      <c r="AY446" s="289">
        <v>0</v>
      </c>
      <c r="AZ446" s="289">
        <v>0</v>
      </c>
      <c r="BA446" s="289">
        <v>0</v>
      </c>
      <c r="BB446" s="289">
        <v>0</v>
      </c>
      <c r="BC446" s="737">
        <f t="shared" si="98"/>
        <v>0</v>
      </c>
      <c r="BD446" s="155" t="s">
        <v>1304</v>
      </c>
      <c r="BE446" s="155" t="s">
        <v>69</v>
      </c>
    </row>
    <row r="447" spans="1:57" ht="22.5">
      <c r="A447" s="11"/>
      <c r="B447" s="11"/>
      <c r="C447" s="11"/>
      <c r="D447" s="11"/>
      <c r="E447" s="11"/>
      <c r="F447" s="11"/>
      <c r="G447" s="11"/>
      <c r="H447" s="11"/>
      <c r="I447" s="738"/>
      <c r="J447" s="738"/>
      <c r="K447" s="738"/>
      <c r="L447" s="738"/>
      <c r="M447" s="738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63"/>
      <c r="AE447" s="63"/>
      <c r="AF447" s="63"/>
      <c r="AG447" s="63"/>
      <c r="AH447" s="63"/>
      <c r="AI447" s="274" t="s">
        <v>1164</v>
      </c>
      <c r="AJ447" s="734">
        <f>+(0.3*100)/3</f>
        <v>10</v>
      </c>
      <c r="AK447" s="734">
        <f>+AJ447*C4</f>
        <v>1</v>
      </c>
      <c r="AL447" s="734">
        <f>+AJ447*D4</f>
        <v>4.5</v>
      </c>
      <c r="AM447" s="734">
        <f>+AJ447*E4</f>
        <v>2.5</v>
      </c>
      <c r="AN447" s="734">
        <f>+AJ447*F4</f>
        <v>2</v>
      </c>
      <c r="AO447" s="155" t="s">
        <v>1249</v>
      </c>
      <c r="AP447" s="735" t="s">
        <v>202</v>
      </c>
      <c r="AQ447" s="274" t="s">
        <v>87</v>
      </c>
      <c r="AR447" s="736">
        <v>8</v>
      </c>
      <c r="AS447" s="162">
        <v>12</v>
      </c>
      <c r="AT447" s="162">
        <v>2</v>
      </c>
      <c r="AU447" s="747">
        <v>7</v>
      </c>
      <c r="AV447" s="747">
        <v>2</v>
      </c>
      <c r="AW447" s="747">
        <v>1</v>
      </c>
      <c r="AX447" s="162">
        <v>12</v>
      </c>
      <c r="AY447" s="289">
        <v>1000000000</v>
      </c>
      <c r="AZ447" s="289">
        <v>500000000</v>
      </c>
      <c r="BA447" s="289">
        <v>700000000</v>
      </c>
      <c r="BB447" s="289">
        <v>1000000000</v>
      </c>
      <c r="BC447" s="737">
        <f t="shared" si="98"/>
        <v>3200000000</v>
      </c>
      <c r="BD447" s="155" t="s">
        <v>1304</v>
      </c>
      <c r="BE447" s="155" t="s">
        <v>69</v>
      </c>
    </row>
    <row r="448" spans="1:57" ht="22.5">
      <c r="A448" s="11"/>
      <c r="B448" s="11"/>
      <c r="C448" s="11"/>
      <c r="D448" s="11"/>
      <c r="E448" s="11"/>
      <c r="F448" s="11"/>
      <c r="G448" s="11"/>
      <c r="H448" s="11"/>
      <c r="I448" s="738"/>
      <c r="J448" s="738"/>
      <c r="K448" s="738"/>
      <c r="L448" s="738"/>
      <c r="M448" s="738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63"/>
      <c r="AE448" s="63"/>
      <c r="AF448" s="63"/>
      <c r="AG448" s="63"/>
      <c r="AH448" s="63"/>
      <c r="AI448" s="274" t="s">
        <v>1165</v>
      </c>
      <c r="AJ448" s="734">
        <f>+(0.25*100)/3</f>
        <v>8.3333333333333339</v>
      </c>
      <c r="AK448" s="734">
        <f>+AJ448*C4</f>
        <v>0.83333333333333348</v>
      </c>
      <c r="AL448" s="734">
        <f>+AJ448*D4</f>
        <v>3.7500000000000004</v>
      </c>
      <c r="AM448" s="734">
        <f>+AJ448*E4</f>
        <v>2.0833333333333335</v>
      </c>
      <c r="AN448" s="734">
        <f>+AJ448*F4</f>
        <v>1.666666666666667</v>
      </c>
      <c r="AO448" s="155" t="s">
        <v>1250</v>
      </c>
      <c r="AP448" s="735" t="s">
        <v>202</v>
      </c>
      <c r="AQ448" s="274" t="s">
        <v>87</v>
      </c>
      <c r="AR448" s="736">
        <v>995</v>
      </c>
      <c r="AS448" s="162">
        <v>2000</v>
      </c>
      <c r="AT448" s="162">
        <v>1000</v>
      </c>
      <c r="AU448" s="747">
        <v>100</v>
      </c>
      <c r="AV448" s="747">
        <v>500</v>
      </c>
      <c r="AW448" s="747">
        <v>400</v>
      </c>
      <c r="AX448" s="162">
        <v>2000</v>
      </c>
      <c r="AY448" s="289">
        <v>2000000000</v>
      </c>
      <c r="AZ448" s="289">
        <v>0</v>
      </c>
      <c r="BA448" s="289">
        <v>2000000000</v>
      </c>
      <c r="BB448" s="289">
        <v>0</v>
      </c>
      <c r="BC448" s="737">
        <f t="shared" si="98"/>
        <v>4000000000</v>
      </c>
      <c r="BD448" s="155" t="s">
        <v>1304</v>
      </c>
      <c r="BE448" s="155" t="s">
        <v>69</v>
      </c>
    </row>
    <row r="449" spans="1:57" ht="22.5">
      <c r="A449" s="11"/>
      <c r="B449" s="11"/>
      <c r="C449" s="11"/>
      <c r="D449" s="11"/>
      <c r="E449" s="11"/>
      <c r="F449" s="11"/>
      <c r="G449" s="11"/>
      <c r="H449" s="11"/>
      <c r="I449" s="738"/>
      <c r="J449" s="738"/>
      <c r="K449" s="738"/>
      <c r="L449" s="738"/>
      <c r="M449" s="738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63"/>
      <c r="AE449" s="63"/>
      <c r="AF449" s="63"/>
      <c r="AG449" s="63"/>
      <c r="AH449" s="63"/>
      <c r="AI449" s="274" t="s">
        <v>1166</v>
      </c>
      <c r="AJ449" s="734">
        <f>+(0.39*100)/3</f>
        <v>13</v>
      </c>
      <c r="AK449" s="734">
        <f>+AJ449*C4</f>
        <v>1.3</v>
      </c>
      <c r="AL449" s="734">
        <v>5</v>
      </c>
      <c r="AM449" s="734">
        <v>4.0999999999999996</v>
      </c>
      <c r="AN449" s="734">
        <f>+AJ449*F4</f>
        <v>2.6</v>
      </c>
      <c r="AO449" s="155" t="s">
        <v>1251</v>
      </c>
      <c r="AP449" s="735" t="s">
        <v>202</v>
      </c>
      <c r="AQ449" s="274" t="s">
        <v>87</v>
      </c>
      <c r="AR449" s="736">
        <v>4000</v>
      </c>
      <c r="AS449" s="162">
        <v>10000</v>
      </c>
      <c r="AT449" s="162">
        <v>2500</v>
      </c>
      <c r="AU449" s="747">
        <v>389</v>
      </c>
      <c r="AV449" s="747">
        <v>3361</v>
      </c>
      <c r="AW449" s="747">
        <v>3750</v>
      </c>
      <c r="AX449" s="162">
        <v>10000</v>
      </c>
      <c r="AY449" s="289">
        <v>1000000000</v>
      </c>
      <c r="AZ449" s="289">
        <v>0</v>
      </c>
      <c r="BA449" s="289">
        <v>1500000000</v>
      </c>
      <c r="BB449" s="289">
        <v>1500000000</v>
      </c>
      <c r="BC449" s="737">
        <f t="shared" si="98"/>
        <v>4000000000</v>
      </c>
      <c r="BD449" s="155" t="s">
        <v>1304</v>
      </c>
      <c r="BE449" s="155" t="s">
        <v>69</v>
      </c>
    </row>
    <row r="450" spans="1:57" ht="33.75">
      <c r="A450" s="11"/>
      <c r="B450" s="11"/>
      <c r="C450" s="11"/>
      <c r="D450" s="11"/>
      <c r="E450" s="11"/>
      <c r="F450" s="11"/>
      <c r="G450" s="11"/>
      <c r="H450" s="11"/>
      <c r="I450" s="738"/>
      <c r="J450" s="738"/>
      <c r="K450" s="738"/>
      <c r="L450" s="738"/>
      <c r="M450" s="738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63"/>
      <c r="AE450" s="63"/>
      <c r="AF450" s="63"/>
      <c r="AG450" s="63"/>
      <c r="AH450" s="63"/>
      <c r="AI450" s="274" t="s">
        <v>1167</v>
      </c>
      <c r="AJ450" s="734">
        <f>+(0.13*100)/3</f>
        <v>4.333333333333333</v>
      </c>
      <c r="AK450" s="734">
        <f>+AJ450*C4</f>
        <v>0.43333333333333335</v>
      </c>
      <c r="AL450" s="734">
        <v>3.9</v>
      </c>
      <c r="AM450" s="734">
        <v>0</v>
      </c>
      <c r="AN450" s="734">
        <v>0</v>
      </c>
      <c r="AO450" s="155" t="s">
        <v>1252</v>
      </c>
      <c r="AP450" s="735" t="s">
        <v>202</v>
      </c>
      <c r="AQ450" s="274" t="s">
        <v>87</v>
      </c>
      <c r="AR450" s="736">
        <v>25</v>
      </c>
      <c r="AS450" s="162">
        <v>100</v>
      </c>
      <c r="AT450" s="162">
        <v>50</v>
      </c>
      <c r="AU450" s="747">
        <v>50</v>
      </c>
      <c r="AV450" s="747">
        <v>0</v>
      </c>
      <c r="AW450" s="747">
        <v>0</v>
      </c>
      <c r="AX450" s="162">
        <v>100</v>
      </c>
      <c r="AY450" s="289">
        <v>1000000000</v>
      </c>
      <c r="AZ450" s="289">
        <v>0</v>
      </c>
      <c r="BA450" s="289">
        <v>1000000000</v>
      </c>
      <c r="BB450" s="289">
        <v>0</v>
      </c>
      <c r="BC450" s="737">
        <f t="shared" si="98"/>
        <v>2000000000</v>
      </c>
      <c r="BD450" s="155" t="s">
        <v>1304</v>
      </c>
      <c r="BE450" s="155" t="s">
        <v>69</v>
      </c>
    </row>
    <row r="451" spans="1:57" ht="22.5">
      <c r="A451" s="11"/>
      <c r="B451" s="11"/>
      <c r="C451" s="11"/>
      <c r="D451" s="11"/>
      <c r="E451" s="11"/>
      <c r="F451" s="11"/>
      <c r="G451" s="11"/>
      <c r="H451" s="11"/>
      <c r="I451" s="738"/>
      <c r="J451" s="738"/>
      <c r="K451" s="738"/>
      <c r="L451" s="738"/>
      <c r="M451" s="738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63"/>
      <c r="AE451" s="63"/>
      <c r="AF451" s="63"/>
      <c r="AG451" s="63"/>
      <c r="AH451" s="63"/>
      <c r="AI451" s="274" t="s">
        <v>1168</v>
      </c>
      <c r="AJ451" s="734">
        <f>+(0.34*100)/3</f>
        <v>11.333333333333334</v>
      </c>
      <c r="AK451" s="734">
        <f>+AJ451*C4</f>
        <v>1.1333333333333335</v>
      </c>
      <c r="AL451" s="734">
        <f>+AJ451*D4</f>
        <v>5.1000000000000005</v>
      </c>
      <c r="AM451" s="734">
        <f>+AJ451*E4</f>
        <v>2.8333333333333335</v>
      </c>
      <c r="AN451" s="734">
        <f>+AJ451*F4</f>
        <v>2.2666666666666671</v>
      </c>
      <c r="AO451" s="155" t="s">
        <v>1253</v>
      </c>
      <c r="AP451" s="735" t="s">
        <v>202</v>
      </c>
      <c r="AQ451" s="274" t="s">
        <v>87</v>
      </c>
      <c r="AR451" s="736">
        <v>0</v>
      </c>
      <c r="AS451" s="162">
        <v>1</v>
      </c>
      <c r="AT451" s="162">
        <v>1</v>
      </c>
      <c r="AU451" s="747">
        <v>1</v>
      </c>
      <c r="AV451" s="747">
        <v>1</v>
      </c>
      <c r="AW451" s="747">
        <v>1</v>
      </c>
      <c r="AX451" s="162">
        <v>1</v>
      </c>
      <c r="AY451" s="289">
        <v>1500000000</v>
      </c>
      <c r="AZ451" s="289">
        <v>470000000</v>
      </c>
      <c r="BA451" s="289">
        <v>500000000</v>
      </c>
      <c r="BB451" s="289">
        <v>1000000000</v>
      </c>
      <c r="BC451" s="737">
        <f t="shared" si="98"/>
        <v>3470000000</v>
      </c>
      <c r="BD451" s="155" t="s">
        <v>1304</v>
      </c>
      <c r="BE451" s="155" t="s">
        <v>69</v>
      </c>
    </row>
    <row r="452" spans="1:57" ht="56.25">
      <c r="A452" s="11"/>
      <c r="B452" s="11"/>
      <c r="C452" s="11"/>
      <c r="D452" s="11"/>
      <c r="E452" s="11"/>
      <c r="F452" s="11"/>
      <c r="G452" s="11"/>
      <c r="H452" s="11"/>
      <c r="I452" s="738"/>
      <c r="J452" s="738"/>
      <c r="K452" s="738"/>
      <c r="L452" s="738"/>
      <c r="M452" s="738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63"/>
      <c r="AE452" s="63"/>
      <c r="AF452" s="63"/>
      <c r="AG452" s="63"/>
      <c r="AH452" s="63"/>
      <c r="AI452" s="274" t="s">
        <v>1527</v>
      </c>
      <c r="AJ452" s="734">
        <f>+(0.2*100)/3</f>
        <v>6.666666666666667</v>
      </c>
      <c r="AK452" s="734">
        <f>+AJ452*C4</f>
        <v>0.66666666666666674</v>
      </c>
      <c r="AL452" s="734">
        <f>+AJ452*D4</f>
        <v>3</v>
      </c>
      <c r="AM452" s="734">
        <f>+AJ452*E4</f>
        <v>1.6666666666666667</v>
      </c>
      <c r="AN452" s="734">
        <f>+AJ452*F4</f>
        <v>1.3333333333333335</v>
      </c>
      <c r="AO452" s="155" t="s">
        <v>1254</v>
      </c>
      <c r="AP452" s="735" t="s">
        <v>203</v>
      </c>
      <c r="AQ452" s="274" t="s">
        <v>87</v>
      </c>
      <c r="AR452" s="736" t="s">
        <v>1301</v>
      </c>
      <c r="AS452" s="736" t="s">
        <v>1301</v>
      </c>
      <c r="AT452" s="736">
        <v>0</v>
      </c>
      <c r="AU452" s="747">
        <v>1</v>
      </c>
      <c r="AV452" s="747">
        <v>1</v>
      </c>
      <c r="AW452" s="747">
        <v>1</v>
      </c>
      <c r="AX452" s="162">
        <v>0</v>
      </c>
      <c r="AY452" s="289">
        <v>300000000</v>
      </c>
      <c r="AZ452" s="289">
        <v>400000000</v>
      </c>
      <c r="BA452" s="289">
        <v>300000000</v>
      </c>
      <c r="BB452" s="289">
        <v>500000000</v>
      </c>
      <c r="BC452" s="737">
        <f t="shared" si="98"/>
        <v>1500000000</v>
      </c>
      <c r="BD452" s="155" t="s">
        <v>1304</v>
      </c>
      <c r="BE452" s="155" t="s">
        <v>69</v>
      </c>
    </row>
    <row r="453" spans="1:57" ht="33.75">
      <c r="A453" s="11"/>
      <c r="B453" s="11"/>
      <c r="C453" s="11"/>
      <c r="D453" s="11"/>
      <c r="E453" s="11"/>
      <c r="F453" s="11"/>
      <c r="G453" s="11"/>
      <c r="H453" s="11"/>
      <c r="I453" s="738"/>
      <c r="J453" s="738"/>
      <c r="K453" s="738"/>
      <c r="L453" s="738"/>
      <c r="M453" s="738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63"/>
      <c r="AE453" s="63"/>
      <c r="AF453" s="63"/>
      <c r="AG453" s="63"/>
      <c r="AH453" s="63"/>
      <c r="AI453" s="274" t="s">
        <v>1169</v>
      </c>
      <c r="AJ453" s="734">
        <f>+(0.05*100)/3</f>
        <v>1.6666666666666667</v>
      </c>
      <c r="AK453" s="734">
        <f>+AJ453*C4</f>
        <v>0.16666666666666669</v>
      </c>
      <c r="AL453" s="734">
        <f>+AJ453*D4</f>
        <v>0.75</v>
      </c>
      <c r="AM453" s="734">
        <f>+AJ453*E4</f>
        <v>0.41666666666666669</v>
      </c>
      <c r="AN453" s="734">
        <f>+AJ453*F4</f>
        <v>0.33333333333333337</v>
      </c>
      <c r="AO453" s="155" t="s">
        <v>1255</v>
      </c>
      <c r="AP453" s="735" t="s">
        <v>202</v>
      </c>
      <c r="AQ453" s="274" t="s">
        <v>87</v>
      </c>
      <c r="AR453" s="736">
        <v>0</v>
      </c>
      <c r="AS453" s="162">
        <v>1</v>
      </c>
      <c r="AT453" s="747">
        <v>0.6</v>
      </c>
      <c r="AU453" s="747">
        <v>1</v>
      </c>
      <c r="AV453" s="747">
        <v>1</v>
      </c>
      <c r="AW453" s="747">
        <v>1</v>
      </c>
      <c r="AX453" s="162">
        <v>1</v>
      </c>
      <c r="AY453" s="289">
        <v>300000000</v>
      </c>
      <c r="AZ453" s="289">
        <v>200000000</v>
      </c>
      <c r="BA453" s="289">
        <v>0</v>
      </c>
      <c r="BB453" s="289">
        <v>0</v>
      </c>
      <c r="BC453" s="737">
        <f t="shared" si="98"/>
        <v>500000000</v>
      </c>
      <c r="BD453" s="155" t="s">
        <v>1304</v>
      </c>
      <c r="BE453" s="155" t="s">
        <v>69</v>
      </c>
    </row>
    <row r="454" spans="1:57" ht="33.75">
      <c r="A454" s="11"/>
      <c r="B454" s="11"/>
      <c r="C454" s="11"/>
      <c r="D454" s="11"/>
      <c r="E454" s="11"/>
      <c r="F454" s="11"/>
      <c r="G454" s="11"/>
      <c r="H454" s="11"/>
      <c r="I454" s="738"/>
      <c r="J454" s="738"/>
      <c r="K454" s="738"/>
      <c r="L454" s="738"/>
      <c r="M454" s="738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63"/>
      <c r="AE454" s="63"/>
      <c r="AF454" s="63"/>
      <c r="AG454" s="63"/>
      <c r="AH454" s="63"/>
      <c r="AI454" s="274" t="s">
        <v>1170</v>
      </c>
      <c r="AJ454" s="734">
        <f>+(0.04*100)/3</f>
        <v>1.3333333333333333</v>
      </c>
      <c r="AK454" s="734">
        <f>+AJ454*C4</f>
        <v>0.13333333333333333</v>
      </c>
      <c r="AL454" s="734">
        <f>+AJ454*D4</f>
        <v>0.6</v>
      </c>
      <c r="AM454" s="734">
        <f>+AJ454*E4</f>
        <v>0.33333333333333331</v>
      </c>
      <c r="AN454" s="734">
        <f>+AJ454*F4</f>
        <v>0.26666666666666666</v>
      </c>
      <c r="AO454" s="155" t="s">
        <v>1256</v>
      </c>
      <c r="AP454" s="735" t="s">
        <v>202</v>
      </c>
      <c r="AQ454" s="274" t="s">
        <v>87</v>
      </c>
      <c r="AR454" s="736">
        <v>0</v>
      </c>
      <c r="AS454" s="162">
        <v>40</v>
      </c>
      <c r="AT454" s="747">
        <v>9.5570607998411514</v>
      </c>
      <c r="AU454" s="747">
        <v>9.9524993538980855</v>
      </c>
      <c r="AV454" s="747">
        <v>10</v>
      </c>
      <c r="AW454" s="747">
        <v>10</v>
      </c>
      <c r="AX454" s="162">
        <v>40</v>
      </c>
      <c r="AY454" s="289">
        <v>81622730.040000007</v>
      </c>
      <c r="AZ454" s="289">
        <v>85000000</v>
      </c>
      <c r="BA454" s="289">
        <v>50000000</v>
      </c>
      <c r="BB454" s="289">
        <v>125000000</v>
      </c>
      <c r="BC454" s="737">
        <f t="shared" si="98"/>
        <v>341622730.04000002</v>
      </c>
      <c r="BD454" s="155" t="s">
        <v>1304</v>
      </c>
      <c r="BE454" s="155" t="s">
        <v>69</v>
      </c>
    </row>
    <row r="455" spans="1:57" ht="39.75" customHeight="1">
      <c r="A455" s="11"/>
      <c r="B455" s="11"/>
      <c r="C455" s="11"/>
      <c r="D455" s="11"/>
      <c r="E455" s="11"/>
      <c r="F455" s="11"/>
      <c r="G455" s="11"/>
      <c r="H455" s="11"/>
      <c r="I455" s="738"/>
      <c r="J455" s="738"/>
      <c r="K455" s="738"/>
      <c r="L455" s="738"/>
      <c r="M455" s="738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63"/>
      <c r="AE455" s="63"/>
      <c r="AF455" s="63"/>
      <c r="AG455" s="63"/>
      <c r="AH455" s="63"/>
      <c r="AI455" s="274" t="s">
        <v>1171</v>
      </c>
      <c r="AJ455" s="734">
        <f>+(0*100)/3</f>
        <v>0</v>
      </c>
      <c r="AK455" s="734">
        <f>+AJ455*C4</f>
        <v>0</v>
      </c>
      <c r="AL455" s="734">
        <f>+AJ455*D4</f>
        <v>0</v>
      </c>
      <c r="AM455" s="734">
        <f>+AJ455*E4</f>
        <v>0</v>
      </c>
      <c r="AN455" s="734">
        <f>+AJ455*F4</f>
        <v>0</v>
      </c>
      <c r="AO455" s="155" t="s">
        <v>1257</v>
      </c>
      <c r="AP455" s="735" t="s">
        <v>202</v>
      </c>
      <c r="AQ455" s="274" t="s">
        <v>87</v>
      </c>
      <c r="AR455" s="736">
        <v>7</v>
      </c>
      <c r="AS455" s="162">
        <v>7</v>
      </c>
      <c r="AT455" s="162">
        <v>7</v>
      </c>
      <c r="AU455" s="747">
        <v>7</v>
      </c>
      <c r="AV455" s="747">
        <v>7</v>
      </c>
      <c r="AW455" s="747">
        <v>7</v>
      </c>
      <c r="AX455" s="162">
        <v>7</v>
      </c>
      <c r="AY455" s="289"/>
      <c r="AZ455" s="289"/>
      <c r="BA455" s="289"/>
      <c r="BB455" s="289"/>
      <c r="BC455" s="737">
        <f t="shared" si="98"/>
        <v>0</v>
      </c>
      <c r="BD455" s="155" t="s">
        <v>1304</v>
      </c>
      <c r="BE455" s="155" t="s">
        <v>69</v>
      </c>
    </row>
    <row r="456" spans="1:57" ht="22.5">
      <c r="A456" s="11"/>
      <c r="B456" s="11"/>
      <c r="C456" s="11"/>
      <c r="D456" s="11"/>
      <c r="E456" s="11"/>
      <c r="F456" s="11"/>
      <c r="G456" s="11"/>
      <c r="H456" s="11"/>
      <c r="I456" s="738"/>
      <c r="J456" s="738"/>
      <c r="K456" s="738"/>
      <c r="L456" s="738"/>
      <c r="M456" s="738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63"/>
      <c r="AE456" s="63"/>
      <c r="AF456" s="63"/>
      <c r="AG456" s="63"/>
      <c r="AH456" s="63"/>
      <c r="AI456" s="274" t="s">
        <v>1172</v>
      </c>
      <c r="AJ456" s="734">
        <f>+(0.02*100)/3</f>
        <v>0.66666666666666663</v>
      </c>
      <c r="AK456" s="734">
        <f>+AJ456*C4</f>
        <v>6.6666666666666666E-2</v>
      </c>
      <c r="AL456" s="734">
        <v>0.44</v>
      </c>
      <c r="AM456" s="734">
        <f>+AJ456*E4</f>
        <v>0.16666666666666666</v>
      </c>
      <c r="AN456" s="734">
        <v>0</v>
      </c>
      <c r="AO456" s="155" t="s">
        <v>1258</v>
      </c>
      <c r="AP456" s="735" t="s">
        <v>202</v>
      </c>
      <c r="AQ456" s="274" t="s">
        <v>87</v>
      </c>
      <c r="AR456" s="736">
        <v>0</v>
      </c>
      <c r="AS456" s="162">
        <v>6</v>
      </c>
      <c r="AT456" s="747">
        <v>3.0772030680000002</v>
      </c>
      <c r="AU456" s="747">
        <v>2</v>
      </c>
      <c r="AV456" s="747">
        <v>1.3176000000000001</v>
      </c>
      <c r="AW456" s="747">
        <v>0</v>
      </c>
      <c r="AX456" s="162">
        <v>6</v>
      </c>
      <c r="AY456" s="289">
        <v>256433589</v>
      </c>
      <c r="AZ456" s="289">
        <v>15200000</v>
      </c>
      <c r="BA456" s="289">
        <v>109800000</v>
      </c>
      <c r="BB456" s="289">
        <v>118566411</v>
      </c>
      <c r="BC456" s="737">
        <f t="shared" si="98"/>
        <v>500000000</v>
      </c>
      <c r="BD456" s="155" t="s">
        <v>1304</v>
      </c>
      <c r="BE456" s="155" t="s">
        <v>69</v>
      </c>
    </row>
    <row r="457" spans="1:57" ht="22.5">
      <c r="A457" s="11"/>
      <c r="B457" s="11"/>
      <c r="C457" s="11"/>
      <c r="D457" s="11"/>
      <c r="E457" s="11"/>
      <c r="F457" s="11"/>
      <c r="G457" s="11"/>
      <c r="H457" s="11"/>
      <c r="I457" s="738"/>
      <c r="J457" s="738"/>
      <c r="K457" s="738"/>
      <c r="L457" s="738"/>
      <c r="M457" s="738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2"/>
      <c r="AD457" s="64"/>
      <c r="AE457" s="64"/>
      <c r="AF457" s="64"/>
      <c r="AG457" s="64"/>
      <c r="AH457" s="64"/>
      <c r="AI457" s="274" t="s">
        <v>1173</v>
      </c>
      <c r="AJ457" s="734">
        <f>+(0.02*100)/3</f>
        <v>0.66666666666666663</v>
      </c>
      <c r="AK457" s="734">
        <f>+AJ457*C4</f>
        <v>6.6666666666666666E-2</v>
      </c>
      <c r="AL457" s="734">
        <f>+AJ457*D4</f>
        <v>0.3</v>
      </c>
      <c r="AM457" s="734">
        <f>+AJ457*E4</f>
        <v>0.16666666666666666</v>
      </c>
      <c r="AN457" s="734">
        <f>+AJ457*F4</f>
        <v>0.13333333333333333</v>
      </c>
      <c r="AO457" s="155" t="s">
        <v>1259</v>
      </c>
      <c r="AP457" s="735" t="s">
        <v>202</v>
      </c>
      <c r="AQ457" s="274" t="s">
        <v>87</v>
      </c>
      <c r="AR457" s="736">
        <v>0</v>
      </c>
      <c r="AS457" s="162">
        <v>4</v>
      </c>
      <c r="AT457" s="162">
        <v>1</v>
      </c>
      <c r="AU457" s="747">
        <v>1</v>
      </c>
      <c r="AV457" s="747">
        <v>1</v>
      </c>
      <c r="AW457" s="747">
        <v>1</v>
      </c>
      <c r="AX457" s="162">
        <v>4</v>
      </c>
      <c r="AY457" s="289">
        <v>0</v>
      </c>
      <c r="AZ457" s="289">
        <v>0</v>
      </c>
      <c r="BA457" s="289">
        <v>25000000</v>
      </c>
      <c r="BB457" s="289">
        <v>0</v>
      </c>
      <c r="BC457" s="737">
        <f t="shared" si="98"/>
        <v>25000000</v>
      </c>
      <c r="BD457" s="155" t="s">
        <v>1304</v>
      </c>
      <c r="BE457" s="155" t="s">
        <v>69</v>
      </c>
    </row>
    <row r="458" spans="1:57">
      <c r="A458" s="11"/>
      <c r="B458" s="11"/>
      <c r="C458" s="11"/>
      <c r="D458" s="11"/>
      <c r="E458" s="11"/>
      <c r="F458" s="11"/>
      <c r="G458" s="11"/>
      <c r="H458" s="11"/>
      <c r="I458" s="738"/>
      <c r="J458" s="738"/>
      <c r="K458" s="738"/>
      <c r="L458" s="738"/>
      <c r="M458" s="738"/>
      <c r="N458" s="11"/>
      <c r="O458" s="12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349" t="s">
        <v>1453</v>
      </c>
      <c r="AD458" s="174"/>
      <c r="AE458" s="174"/>
      <c r="AF458" s="174"/>
      <c r="AG458" s="174"/>
      <c r="AH458" s="386"/>
      <c r="AI458" s="174"/>
      <c r="AJ458" s="446">
        <f t="shared" ref="AJ458" si="100">SUM(AJ442:AJ457)</f>
        <v>99.666666666666671</v>
      </c>
      <c r="AK458" s="446"/>
      <c r="AL458" s="446"/>
      <c r="AM458" s="446"/>
      <c r="AN458" s="446"/>
      <c r="AO458" s="204"/>
      <c r="AP458" s="354"/>
      <c r="AQ458" s="174"/>
      <c r="AR458" s="300"/>
      <c r="AS458" s="205"/>
      <c r="AT458" s="205"/>
      <c r="AU458" s="205"/>
      <c r="AV458" s="205"/>
      <c r="AW458" s="205"/>
      <c r="AX458" s="207"/>
      <c r="AY458" s="304">
        <v>14438056319.040001</v>
      </c>
      <c r="AZ458" s="304">
        <v>5670200000</v>
      </c>
      <c r="BA458" s="304">
        <v>7184800000</v>
      </c>
      <c r="BB458" s="304">
        <v>4243566411</v>
      </c>
      <c r="BC458" s="304">
        <f t="shared" si="98"/>
        <v>31536622730.040001</v>
      </c>
      <c r="BD458" s="204"/>
      <c r="BE458" s="204"/>
    </row>
    <row r="459" spans="1:57" ht="45">
      <c r="A459" s="11"/>
      <c r="B459" s="11"/>
      <c r="C459" s="11"/>
      <c r="D459" s="11"/>
      <c r="E459" s="11"/>
      <c r="F459" s="11"/>
      <c r="G459" s="11"/>
      <c r="H459" s="11"/>
      <c r="I459" s="738"/>
      <c r="J459" s="738"/>
      <c r="K459" s="738"/>
      <c r="L459" s="738"/>
      <c r="M459" s="738"/>
      <c r="N459" s="155" t="s">
        <v>1457</v>
      </c>
      <c r="O459" s="405">
        <f>+(0.5*100)/15</f>
        <v>3.3333333333333335</v>
      </c>
      <c r="P459" s="409">
        <f>+O459*C4</f>
        <v>0.33333333333333337</v>
      </c>
      <c r="Q459" s="409">
        <f>+O459*D4</f>
        <v>1.5</v>
      </c>
      <c r="R459" s="409">
        <f>+O459*E4</f>
        <v>0.83333333333333337</v>
      </c>
      <c r="S459" s="409">
        <f>+O459*F4</f>
        <v>0.66666666666666674</v>
      </c>
      <c r="T459" s="155" t="s">
        <v>1458</v>
      </c>
      <c r="U459" s="162" t="s">
        <v>202</v>
      </c>
      <c r="V459" s="162" t="s">
        <v>87</v>
      </c>
      <c r="W459" s="162">
        <v>0</v>
      </c>
      <c r="X459" s="162">
        <v>4</v>
      </c>
      <c r="Y459" s="162">
        <v>2</v>
      </c>
      <c r="Z459" s="162">
        <v>0</v>
      </c>
      <c r="AA459" s="162">
        <v>2</v>
      </c>
      <c r="AB459" s="162">
        <v>0</v>
      </c>
      <c r="AC459" s="155" t="s">
        <v>1306</v>
      </c>
      <c r="AD459" s="405">
        <f>+(1*100)/15</f>
        <v>6.666666666666667</v>
      </c>
      <c r="AE459" s="405">
        <f>+AD459*C4</f>
        <v>0.66666666666666674</v>
      </c>
      <c r="AF459" s="405">
        <f>+AD459*D4</f>
        <v>3</v>
      </c>
      <c r="AG459" s="405">
        <f>+AD459*E4</f>
        <v>1.6666666666666667</v>
      </c>
      <c r="AH459" s="405">
        <f>+AD459*F4</f>
        <v>1.3333333333333335</v>
      </c>
      <c r="AI459" s="274" t="s">
        <v>1174</v>
      </c>
      <c r="AJ459" s="734">
        <f>+(0.27*100)/1</f>
        <v>27</v>
      </c>
      <c r="AK459" s="734">
        <f>+AJ459*C4</f>
        <v>2.7</v>
      </c>
      <c r="AL459" s="734">
        <v>0</v>
      </c>
      <c r="AM459" s="734">
        <f>+AJ459*0.7</f>
        <v>18.899999999999999</v>
      </c>
      <c r="AN459" s="734">
        <f>+AJ459*F4</f>
        <v>5.4</v>
      </c>
      <c r="AO459" s="155" t="s">
        <v>1260</v>
      </c>
      <c r="AP459" s="735" t="s">
        <v>202</v>
      </c>
      <c r="AQ459" s="274" t="s">
        <v>87</v>
      </c>
      <c r="AR459" s="736">
        <v>0</v>
      </c>
      <c r="AS459" s="162">
        <v>6</v>
      </c>
      <c r="AT459" s="162">
        <v>3</v>
      </c>
      <c r="AU459" s="162">
        <v>0</v>
      </c>
      <c r="AV459" s="162">
        <v>1</v>
      </c>
      <c r="AW459" s="162">
        <v>2</v>
      </c>
      <c r="AX459" s="162">
        <v>6</v>
      </c>
      <c r="AY459" s="289">
        <v>5000000000</v>
      </c>
      <c r="AZ459" s="289">
        <v>0</v>
      </c>
      <c r="BA459" s="289">
        <v>5000000000</v>
      </c>
      <c r="BB459" s="289">
        <v>0</v>
      </c>
      <c r="BC459" s="737">
        <f t="shared" si="98"/>
        <v>10000000000</v>
      </c>
      <c r="BD459" s="155" t="s">
        <v>131</v>
      </c>
      <c r="BE459" s="155" t="s">
        <v>69</v>
      </c>
    </row>
    <row r="460" spans="1:57" ht="33.75">
      <c r="A460" s="11"/>
      <c r="B460" s="11"/>
      <c r="C460" s="11"/>
      <c r="D460" s="11"/>
      <c r="E460" s="11"/>
      <c r="F460" s="11"/>
      <c r="G460" s="11"/>
      <c r="H460" s="11"/>
      <c r="I460" s="738"/>
      <c r="J460" s="738"/>
      <c r="K460" s="738"/>
      <c r="L460" s="738"/>
      <c r="M460" s="738"/>
      <c r="N460" s="12"/>
      <c r="O460" s="74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1"/>
      <c r="AD460" s="368"/>
      <c r="AE460" s="11"/>
      <c r="AF460" s="11"/>
      <c r="AG460" s="11"/>
      <c r="AH460" s="11"/>
      <c r="AI460" s="274" t="s">
        <v>1175</v>
      </c>
      <c r="AJ460" s="734">
        <f>+(0.02*100)/1</f>
        <v>2</v>
      </c>
      <c r="AK460" s="734">
        <v>2</v>
      </c>
      <c r="AL460" s="734">
        <v>0</v>
      </c>
      <c r="AM460" s="734">
        <v>0</v>
      </c>
      <c r="AN460" s="734">
        <v>0</v>
      </c>
      <c r="AO460" s="155" t="s">
        <v>1261</v>
      </c>
      <c r="AP460" s="735" t="s">
        <v>202</v>
      </c>
      <c r="AQ460" s="274" t="s">
        <v>87</v>
      </c>
      <c r="AR460" s="736">
        <v>0</v>
      </c>
      <c r="AS460" s="162">
        <v>2</v>
      </c>
      <c r="AT460" s="162">
        <v>2</v>
      </c>
      <c r="AU460" s="162">
        <v>0</v>
      </c>
      <c r="AV460" s="162">
        <v>0</v>
      </c>
      <c r="AW460" s="162">
        <v>0</v>
      </c>
      <c r="AX460" s="162">
        <v>2</v>
      </c>
      <c r="AY460" s="289">
        <v>2000000000</v>
      </c>
      <c r="AZ460" s="289">
        <v>0</v>
      </c>
      <c r="BA460" s="289">
        <v>0</v>
      </c>
      <c r="BB460" s="289">
        <v>0</v>
      </c>
      <c r="BC460" s="737">
        <f t="shared" si="98"/>
        <v>2000000000</v>
      </c>
      <c r="BD460" s="155" t="s">
        <v>131</v>
      </c>
      <c r="BE460" s="155" t="s">
        <v>69</v>
      </c>
    </row>
    <row r="461" spans="1:57" ht="33.75">
      <c r="A461" s="11"/>
      <c r="B461" s="11"/>
      <c r="C461" s="11"/>
      <c r="D461" s="11"/>
      <c r="E461" s="11"/>
      <c r="F461" s="11"/>
      <c r="G461" s="11"/>
      <c r="H461" s="11"/>
      <c r="I461" s="738"/>
      <c r="J461" s="738"/>
      <c r="K461" s="738"/>
      <c r="L461" s="738"/>
      <c r="M461" s="738"/>
      <c r="N461" s="11" t="s">
        <v>1477</v>
      </c>
      <c r="O461" s="405">
        <f>+(0.5*100)/15</f>
        <v>3.3333333333333335</v>
      </c>
      <c r="P461" s="409">
        <f>+O461*C4</f>
        <v>0.33333333333333337</v>
      </c>
      <c r="Q461" s="409">
        <f>+O461*D4</f>
        <v>1.5</v>
      </c>
      <c r="R461" s="409">
        <f>+O461*E4</f>
        <v>0.83333333333333337</v>
      </c>
      <c r="S461" s="409">
        <f>+O461*F4</f>
        <v>0.66666666666666674</v>
      </c>
      <c r="T461" s="11" t="s">
        <v>1478</v>
      </c>
      <c r="U461" s="63" t="s">
        <v>202</v>
      </c>
      <c r="V461" s="63" t="s">
        <v>87</v>
      </c>
      <c r="W461" s="63">
        <v>0</v>
      </c>
      <c r="X461" s="63">
        <v>1400</v>
      </c>
      <c r="Y461" s="63">
        <v>1000</v>
      </c>
      <c r="Z461" s="63">
        <v>0</v>
      </c>
      <c r="AA461" s="63">
        <v>0</v>
      </c>
      <c r="AB461" s="63">
        <v>400</v>
      </c>
      <c r="AC461" s="11"/>
      <c r="AD461" s="11"/>
      <c r="AE461" s="11"/>
      <c r="AF461" s="11"/>
      <c r="AG461" s="11"/>
      <c r="AH461" s="11"/>
      <c r="AI461" s="274" t="s">
        <v>1176</v>
      </c>
      <c r="AJ461" s="734">
        <f>+(0.01*100)/1</f>
        <v>1</v>
      </c>
      <c r="AK461" s="734">
        <f>+AJ461</f>
        <v>1</v>
      </c>
      <c r="AL461" s="734">
        <v>0</v>
      </c>
      <c r="AM461" s="734">
        <v>0</v>
      </c>
      <c r="AN461" s="734">
        <v>0</v>
      </c>
      <c r="AO461" s="155" t="s">
        <v>1262</v>
      </c>
      <c r="AP461" s="735" t="s">
        <v>202</v>
      </c>
      <c r="AQ461" s="274" t="s">
        <v>87</v>
      </c>
      <c r="AR461" s="736">
        <v>500</v>
      </c>
      <c r="AS461" s="162">
        <v>1500</v>
      </c>
      <c r="AT461" s="162">
        <v>1000</v>
      </c>
      <c r="AU461" s="162">
        <v>0</v>
      </c>
      <c r="AV461" s="162">
        <v>0</v>
      </c>
      <c r="AW461" s="162">
        <v>0</v>
      </c>
      <c r="AX461" s="162">
        <v>1500</v>
      </c>
      <c r="AY461" s="289">
        <v>500000000</v>
      </c>
      <c r="AZ461" s="289">
        <v>0</v>
      </c>
      <c r="BA461" s="289">
        <v>0</v>
      </c>
      <c r="BB461" s="289">
        <v>0</v>
      </c>
      <c r="BC461" s="737">
        <f t="shared" si="98"/>
        <v>500000000</v>
      </c>
      <c r="BD461" s="155" t="s">
        <v>131</v>
      </c>
      <c r="BE461" s="155" t="s">
        <v>132</v>
      </c>
    </row>
    <row r="462" spans="1:57" ht="22.5">
      <c r="A462" s="11"/>
      <c r="B462" s="11"/>
      <c r="C462" s="11"/>
      <c r="D462" s="11"/>
      <c r="E462" s="11"/>
      <c r="F462" s="11"/>
      <c r="G462" s="11"/>
      <c r="H462" s="11"/>
      <c r="I462" s="738"/>
      <c r="J462" s="738"/>
      <c r="K462" s="738"/>
      <c r="L462" s="738"/>
      <c r="M462" s="738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63"/>
      <c r="Z462" s="63"/>
      <c r="AA462" s="63"/>
      <c r="AB462" s="63"/>
      <c r="AC462" s="11"/>
      <c r="AD462" s="11"/>
      <c r="AE462" s="11"/>
      <c r="AF462" s="11"/>
      <c r="AG462" s="11"/>
      <c r="AH462" s="11"/>
      <c r="AI462" s="274" t="s">
        <v>1177</v>
      </c>
      <c r="AJ462" s="734">
        <f>+(0.01*100)/1</f>
        <v>1</v>
      </c>
      <c r="AK462" s="734">
        <f>+AJ462*C4</f>
        <v>0.1</v>
      </c>
      <c r="AL462" s="734">
        <v>0</v>
      </c>
      <c r="AM462" s="734">
        <v>0.9</v>
      </c>
      <c r="AN462" s="734">
        <v>0</v>
      </c>
      <c r="AO462" s="155" t="s">
        <v>1263</v>
      </c>
      <c r="AP462" s="735" t="s">
        <v>202</v>
      </c>
      <c r="AQ462" s="274" t="s">
        <v>87</v>
      </c>
      <c r="AR462" s="736">
        <v>0</v>
      </c>
      <c r="AS462" s="162">
        <v>200</v>
      </c>
      <c r="AT462" s="162">
        <v>100</v>
      </c>
      <c r="AU462" s="162">
        <v>0</v>
      </c>
      <c r="AV462" s="162">
        <v>100</v>
      </c>
      <c r="AW462" s="162">
        <v>0</v>
      </c>
      <c r="AX462" s="162">
        <v>200</v>
      </c>
      <c r="AY462" s="289">
        <v>250000000</v>
      </c>
      <c r="AZ462" s="289">
        <v>0</v>
      </c>
      <c r="BA462" s="289">
        <v>250000000</v>
      </c>
      <c r="BB462" s="289">
        <v>0</v>
      </c>
      <c r="BC462" s="737">
        <f t="shared" si="98"/>
        <v>500000000</v>
      </c>
      <c r="BD462" s="155" t="s">
        <v>131</v>
      </c>
      <c r="BE462" s="155" t="s">
        <v>132</v>
      </c>
    </row>
    <row r="463" spans="1:57" ht="33.75">
      <c r="A463" s="11"/>
      <c r="B463" s="11"/>
      <c r="C463" s="11"/>
      <c r="D463" s="11"/>
      <c r="E463" s="11"/>
      <c r="F463" s="11"/>
      <c r="G463" s="11"/>
      <c r="H463" s="11"/>
      <c r="I463" s="738"/>
      <c r="J463" s="738"/>
      <c r="K463" s="738"/>
      <c r="L463" s="738"/>
      <c r="M463" s="738"/>
      <c r="N463" s="11"/>
      <c r="O463" s="368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274" t="s">
        <v>1178</v>
      </c>
      <c r="AJ463" s="734">
        <f>+(0.08*100)/1</f>
        <v>8</v>
      </c>
      <c r="AK463" s="734">
        <f>+AJ463*C4</f>
        <v>0.8</v>
      </c>
      <c r="AL463" s="734">
        <v>7.2</v>
      </c>
      <c r="AM463" s="734">
        <v>0</v>
      </c>
      <c r="AN463" s="734">
        <v>0</v>
      </c>
      <c r="AO463" s="155" t="s">
        <v>1264</v>
      </c>
      <c r="AP463" s="735" t="s">
        <v>202</v>
      </c>
      <c r="AQ463" s="274" t="s">
        <v>88</v>
      </c>
      <c r="AR463" s="736" t="s">
        <v>1302</v>
      </c>
      <c r="AS463" s="736" t="s">
        <v>1303</v>
      </c>
      <c r="AT463" s="162">
        <v>4000</v>
      </c>
      <c r="AU463" s="162">
        <v>4000</v>
      </c>
      <c r="AV463" s="162">
        <v>0</v>
      </c>
      <c r="AW463" s="162">
        <v>0</v>
      </c>
      <c r="AX463" s="162" t="s">
        <v>1303</v>
      </c>
      <c r="AY463" s="289">
        <v>100000000</v>
      </c>
      <c r="AZ463" s="289">
        <v>100000000</v>
      </c>
      <c r="BA463" s="289">
        <v>0</v>
      </c>
      <c r="BB463" s="289">
        <v>0</v>
      </c>
      <c r="BC463" s="737">
        <f t="shared" si="98"/>
        <v>200000000</v>
      </c>
      <c r="BD463" s="155" t="s">
        <v>131</v>
      </c>
      <c r="BE463" s="155" t="s">
        <v>132</v>
      </c>
    </row>
    <row r="464" spans="1:57" ht="56.25">
      <c r="A464" s="11"/>
      <c r="B464" s="11"/>
      <c r="C464" s="11"/>
      <c r="D464" s="11"/>
      <c r="E464" s="11"/>
      <c r="F464" s="11"/>
      <c r="G464" s="11"/>
      <c r="H464" s="11"/>
      <c r="I464" s="738"/>
      <c r="J464" s="738"/>
      <c r="K464" s="738"/>
      <c r="L464" s="738"/>
      <c r="M464" s="738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274" t="s">
        <v>1179</v>
      </c>
      <c r="AJ464" s="734">
        <f>+(0.02*100)/1</f>
        <v>2</v>
      </c>
      <c r="AK464" s="734">
        <f>+AJ464*C4</f>
        <v>0.2</v>
      </c>
      <c r="AL464" s="734">
        <v>0</v>
      </c>
      <c r="AM464" s="734">
        <v>1.8</v>
      </c>
      <c r="AN464" s="734">
        <v>0</v>
      </c>
      <c r="AO464" s="155" t="s">
        <v>1265</v>
      </c>
      <c r="AP464" s="735" t="s">
        <v>202</v>
      </c>
      <c r="AQ464" s="274" t="s">
        <v>87</v>
      </c>
      <c r="AR464" s="736">
        <v>0</v>
      </c>
      <c r="AS464" s="162">
        <v>3</v>
      </c>
      <c r="AT464" s="162">
        <v>1</v>
      </c>
      <c r="AU464" s="162">
        <v>0</v>
      </c>
      <c r="AV464" s="162">
        <v>2</v>
      </c>
      <c r="AW464" s="162">
        <v>0</v>
      </c>
      <c r="AX464" s="162">
        <v>3</v>
      </c>
      <c r="AY464" s="289">
        <v>300000000</v>
      </c>
      <c r="AZ464" s="289">
        <v>0</v>
      </c>
      <c r="BA464" s="289">
        <v>300000000</v>
      </c>
      <c r="BB464" s="289">
        <v>0</v>
      </c>
      <c r="BC464" s="737">
        <f t="shared" si="98"/>
        <v>600000000</v>
      </c>
      <c r="BD464" s="155" t="s">
        <v>131</v>
      </c>
      <c r="BE464" s="155" t="s">
        <v>69</v>
      </c>
    </row>
    <row r="465" spans="1:57" ht="45">
      <c r="A465" s="11"/>
      <c r="B465" s="11"/>
      <c r="C465" s="11"/>
      <c r="D465" s="11"/>
      <c r="E465" s="11"/>
      <c r="F465" s="11"/>
      <c r="G465" s="11"/>
      <c r="H465" s="11"/>
      <c r="I465" s="738"/>
      <c r="J465" s="738"/>
      <c r="K465" s="738"/>
      <c r="L465" s="738"/>
      <c r="M465" s="738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274" t="s">
        <v>1180</v>
      </c>
      <c r="AJ465" s="734">
        <f>+(0.45*100)/1</f>
        <v>45</v>
      </c>
      <c r="AK465" s="734">
        <f>+AJ465*C4</f>
        <v>4.5</v>
      </c>
      <c r="AL465" s="734">
        <f>+AJ465*D4</f>
        <v>20.25</v>
      </c>
      <c r="AM465" s="734">
        <f>+AJ465*E4</f>
        <v>11.25</v>
      </c>
      <c r="AN465" s="734">
        <f>+AJ465*F4</f>
        <v>9</v>
      </c>
      <c r="AO465" s="155" t="s">
        <v>1266</v>
      </c>
      <c r="AP465" s="735" t="s">
        <v>202</v>
      </c>
      <c r="AQ465" s="274" t="s">
        <v>87</v>
      </c>
      <c r="AR465" s="736">
        <v>2</v>
      </c>
      <c r="AS465" s="162">
        <v>5</v>
      </c>
      <c r="AT465" s="162">
        <v>1</v>
      </c>
      <c r="AU465" s="162">
        <v>2</v>
      </c>
      <c r="AV465" s="162">
        <v>1</v>
      </c>
      <c r="AW465" s="162">
        <v>1</v>
      </c>
      <c r="AX465" s="162">
        <v>5</v>
      </c>
      <c r="AY465" s="289">
        <v>300000000</v>
      </c>
      <c r="AZ465" s="289">
        <v>357247266.45999998</v>
      </c>
      <c r="BA465" s="289">
        <v>300000000</v>
      </c>
      <c r="BB465" s="289">
        <v>100000000</v>
      </c>
      <c r="BC465" s="737">
        <f t="shared" si="98"/>
        <v>1057247266.46</v>
      </c>
      <c r="BD465" s="155" t="s">
        <v>131</v>
      </c>
      <c r="BE465" s="155" t="s">
        <v>132</v>
      </c>
    </row>
    <row r="466" spans="1:57" ht="22.5">
      <c r="A466" s="11"/>
      <c r="B466" s="11"/>
      <c r="C466" s="11"/>
      <c r="D466" s="11"/>
      <c r="E466" s="11"/>
      <c r="F466" s="11"/>
      <c r="G466" s="11"/>
      <c r="H466" s="11"/>
      <c r="I466" s="738"/>
      <c r="J466" s="738"/>
      <c r="K466" s="738"/>
      <c r="L466" s="738"/>
      <c r="M466" s="738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274" t="s">
        <v>1181</v>
      </c>
      <c r="AJ466" s="734">
        <f>+(0.09*100)/1</f>
        <v>9</v>
      </c>
      <c r="AK466" s="734">
        <f>+AJ466*C4</f>
        <v>0.9</v>
      </c>
      <c r="AL466" s="734">
        <v>0</v>
      </c>
      <c r="AM466" s="734">
        <v>4.05</v>
      </c>
      <c r="AN466" s="734">
        <v>4.05</v>
      </c>
      <c r="AO466" s="155" t="s">
        <v>1267</v>
      </c>
      <c r="AP466" s="735" t="s">
        <v>202</v>
      </c>
      <c r="AQ466" s="274" t="s">
        <v>87</v>
      </c>
      <c r="AR466" s="736">
        <v>0</v>
      </c>
      <c r="AS466" s="162">
        <v>200</v>
      </c>
      <c r="AT466" s="747">
        <v>66.666666666666671</v>
      </c>
      <c r="AU466" s="162">
        <v>0</v>
      </c>
      <c r="AV466" s="162">
        <v>66</v>
      </c>
      <c r="AW466" s="162">
        <v>67</v>
      </c>
      <c r="AX466" s="162">
        <v>200</v>
      </c>
      <c r="AY466" s="289">
        <v>100000000</v>
      </c>
      <c r="AZ466" s="289">
        <v>100000000</v>
      </c>
      <c r="BA466" s="289">
        <v>100000000</v>
      </c>
      <c r="BB466" s="289">
        <v>0</v>
      </c>
      <c r="BC466" s="737">
        <f t="shared" si="98"/>
        <v>300000000</v>
      </c>
      <c r="BD466" s="155" t="s">
        <v>131</v>
      </c>
      <c r="BE466" s="155" t="s">
        <v>132</v>
      </c>
    </row>
    <row r="467" spans="1:57" ht="33.75">
      <c r="A467" s="11"/>
      <c r="B467" s="11"/>
      <c r="C467" s="11"/>
      <c r="D467" s="11"/>
      <c r="E467" s="11"/>
      <c r="F467" s="11"/>
      <c r="G467" s="11"/>
      <c r="H467" s="11"/>
      <c r="I467" s="738"/>
      <c r="J467" s="738"/>
      <c r="K467" s="738"/>
      <c r="L467" s="738"/>
      <c r="M467" s="738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2"/>
      <c r="AD467" s="12"/>
      <c r="AE467" s="12"/>
      <c r="AF467" s="12"/>
      <c r="AG467" s="12"/>
      <c r="AH467" s="12"/>
      <c r="AI467" s="274" t="s">
        <v>1182</v>
      </c>
      <c r="AJ467" s="734">
        <f>+(0.05*100)/1</f>
        <v>5</v>
      </c>
      <c r="AK467" s="734">
        <f>+AJ467</f>
        <v>5</v>
      </c>
      <c r="AL467" s="734">
        <v>0</v>
      </c>
      <c r="AM467" s="734">
        <v>0</v>
      </c>
      <c r="AN467" s="734">
        <v>0</v>
      </c>
      <c r="AO467" s="155" t="s">
        <v>1268</v>
      </c>
      <c r="AP467" s="735" t="s">
        <v>202</v>
      </c>
      <c r="AQ467" s="274" t="s">
        <v>87</v>
      </c>
      <c r="AR467" s="736">
        <v>0</v>
      </c>
      <c r="AS467" s="162">
        <v>1</v>
      </c>
      <c r="AT467" s="162">
        <v>1</v>
      </c>
      <c r="AU467" s="162">
        <v>0</v>
      </c>
      <c r="AV467" s="162">
        <v>0</v>
      </c>
      <c r="AW467" s="162">
        <v>0</v>
      </c>
      <c r="AX467" s="162">
        <v>1</v>
      </c>
      <c r="AY467" s="289">
        <v>300000000</v>
      </c>
      <c r="AZ467" s="289">
        <v>0</v>
      </c>
      <c r="BA467" s="289">
        <v>0</v>
      </c>
      <c r="BB467" s="289">
        <v>0</v>
      </c>
      <c r="BC467" s="737">
        <f t="shared" si="98"/>
        <v>300000000</v>
      </c>
      <c r="BD467" s="155" t="s">
        <v>131</v>
      </c>
      <c r="BE467" s="155" t="s">
        <v>132</v>
      </c>
    </row>
    <row r="468" spans="1:57">
      <c r="A468" s="11"/>
      <c r="B468" s="11"/>
      <c r="C468" s="11"/>
      <c r="D468" s="11"/>
      <c r="E468" s="11"/>
      <c r="F468" s="11"/>
      <c r="G468" s="11"/>
      <c r="H468" s="11"/>
      <c r="I468" s="738"/>
      <c r="J468" s="738"/>
      <c r="K468" s="738"/>
      <c r="L468" s="738"/>
      <c r="M468" s="738"/>
      <c r="N468" s="11"/>
      <c r="O468" s="12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349" t="s">
        <v>1453</v>
      </c>
      <c r="AD468" s="174"/>
      <c r="AE468" s="174"/>
      <c r="AF468" s="174"/>
      <c r="AG468" s="174"/>
      <c r="AH468" s="174"/>
      <c r="AI468" s="174"/>
      <c r="AJ468" s="444">
        <f t="shared" ref="AJ468" si="101">SUM(AJ459:AJ467)</f>
        <v>100</v>
      </c>
      <c r="AK468" s="444"/>
      <c r="AL468" s="444"/>
      <c r="AM468" s="444"/>
      <c r="AN468" s="444"/>
      <c r="AO468" s="204"/>
      <c r="AP468" s="354"/>
      <c r="AQ468" s="174"/>
      <c r="AR468" s="300"/>
      <c r="AS468" s="205"/>
      <c r="AT468" s="205"/>
      <c r="AU468" s="205"/>
      <c r="AV468" s="205"/>
      <c r="AW468" s="205"/>
      <c r="AX468" s="207"/>
      <c r="AY468" s="304">
        <v>8850000000</v>
      </c>
      <c r="AZ468" s="304">
        <v>557247266.46000004</v>
      </c>
      <c r="BA468" s="304">
        <v>5950000000</v>
      </c>
      <c r="BB468" s="304">
        <v>100000000</v>
      </c>
      <c r="BC468" s="304">
        <f t="shared" si="98"/>
        <v>15457247266.459999</v>
      </c>
      <c r="BD468" s="204"/>
      <c r="BE468" s="204"/>
    </row>
    <row r="469" spans="1:57" ht="45">
      <c r="A469" s="11"/>
      <c r="B469" s="11"/>
      <c r="C469" s="11"/>
      <c r="D469" s="11"/>
      <c r="E469" s="11"/>
      <c r="F469" s="11"/>
      <c r="G469" s="11"/>
      <c r="H469" s="11"/>
      <c r="I469" s="738"/>
      <c r="J469" s="738"/>
      <c r="K469" s="738"/>
      <c r="L469" s="738"/>
      <c r="M469" s="738"/>
      <c r="N469" s="155" t="s">
        <v>1459</v>
      </c>
      <c r="O469" s="405">
        <f>+(1*100)/15</f>
        <v>6.666666666666667</v>
      </c>
      <c r="P469" s="409">
        <f>+O469*C4</f>
        <v>0.66666666666666674</v>
      </c>
      <c r="Q469" s="409">
        <f>+O469*D4</f>
        <v>3</v>
      </c>
      <c r="R469" s="409">
        <f>+O469*E4</f>
        <v>1.6666666666666667</v>
      </c>
      <c r="S469" s="409">
        <f>+O469*F4</f>
        <v>1.3333333333333335</v>
      </c>
      <c r="T469" s="155" t="s">
        <v>1460</v>
      </c>
      <c r="U469" s="155" t="s">
        <v>202</v>
      </c>
      <c r="V469" s="155" t="s">
        <v>88</v>
      </c>
      <c r="W469" s="161">
        <v>0</v>
      </c>
      <c r="X469" s="161">
        <v>0.2</v>
      </c>
      <c r="Y469" s="161">
        <v>0.2</v>
      </c>
      <c r="Z469" s="161">
        <v>0.2</v>
      </c>
      <c r="AA469" s="161">
        <v>0.2</v>
      </c>
      <c r="AB469" s="161">
        <v>0.2</v>
      </c>
      <c r="AC469" s="155" t="s">
        <v>1307</v>
      </c>
      <c r="AD469" s="405">
        <f>+(1*100)/15</f>
        <v>6.666666666666667</v>
      </c>
      <c r="AE469" s="405">
        <f>+AD469*C4</f>
        <v>0.66666666666666674</v>
      </c>
      <c r="AF469" s="405">
        <f>+AD469*D4</f>
        <v>3</v>
      </c>
      <c r="AG469" s="405">
        <f>+AD469*E4</f>
        <v>1.6666666666666667</v>
      </c>
      <c r="AH469" s="405">
        <f>+AD469*F4</f>
        <v>1.3333333333333335</v>
      </c>
      <c r="AI469" s="274" t="s">
        <v>1183</v>
      </c>
      <c r="AJ469" s="734">
        <f>+(0.42*100)/1</f>
        <v>42</v>
      </c>
      <c r="AK469" s="734">
        <f>+AJ469*C4</f>
        <v>4.2</v>
      </c>
      <c r="AL469" s="734">
        <v>37.799999999999997</v>
      </c>
      <c r="AM469" s="734">
        <v>0</v>
      </c>
      <c r="AN469" s="734">
        <v>0</v>
      </c>
      <c r="AO469" s="155" t="s">
        <v>1269</v>
      </c>
      <c r="AP469" s="735" t="s">
        <v>203</v>
      </c>
      <c r="AQ469" s="274" t="s">
        <v>87</v>
      </c>
      <c r="AR469" s="736">
        <v>0</v>
      </c>
      <c r="AS469" s="162">
        <v>2</v>
      </c>
      <c r="AT469" s="162">
        <v>1</v>
      </c>
      <c r="AU469" s="162">
        <v>1</v>
      </c>
      <c r="AV469" s="162">
        <v>0</v>
      </c>
      <c r="AW469" s="162">
        <v>0</v>
      </c>
      <c r="AX469" s="162">
        <v>2</v>
      </c>
      <c r="AY469" s="289">
        <v>1500000000</v>
      </c>
      <c r="AZ469" s="289">
        <v>1500000000</v>
      </c>
      <c r="BA469" s="289">
        <v>0</v>
      </c>
      <c r="BB469" s="289">
        <v>0</v>
      </c>
      <c r="BC469" s="737">
        <f t="shared" si="98"/>
        <v>3000000000</v>
      </c>
      <c r="BD469" s="155" t="s">
        <v>131</v>
      </c>
      <c r="BE469" s="155" t="s">
        <v>132</v>
      </c>
    </row>
    <row r="470" spans="1:57" ht="33.75">
      <c r="A470" s="11"/>
      <c r="B470" s="11"/>
      <c r="C470" s="11"/>
      <c r="D470" s="11"/>
      <c r="E470" s="11"/>
      <c r="F470" s="11"/>
      <c r="G470" s="11"/>
      <c r="H470" s="11"/>
      <c r="I470" s="738"/>
      <c r="J470" s="738"/>
      <c r="K470" s="738"/>
      <c r="L470" s="738"/>
      <c r="M470" s="738"/>
      <c r="N470" s="11"/>
      <c r="O470" s="368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368"/>
      <c r="AE470" s="11"/>
      <c r="AF470" s="11"/>
      <c r="AG470" s="11"/>
      <c r="AH470" s="11"/>
      <c r="AI470" s="274" t="s">
        <v>1184</v>
      </c>
      <c r="AJ470" s="734">
        <f>+(0.02*100)/1</f>
        <v>2</v>
      </c>
      <c r="AK470" s="734">
        <f>+AJ470*C4</f>
        <v>0.2</v>
      </c>
      <c r="AL470" s="734">
        <f>+AJ470*D4</f>
        <v>0.9</v>
      </c>
      <c r="AM470" s="734">
        <v>0</v>
      </c>
      <c r="AN470" s="734">
        <v>0.9</v>
      </c>
      <c r="AO470" s="155" t="s">
        <v>1270</v>
      </c>
      <c r="AP470" s="735" t="s">
        <v>202</v>
      </c>
      <c r="AQ470" s="274" t="s">
        <v>87</v>
      </c>
      <c r="AR470" s="736">
        <v>0</v>
      </c>
      <c r="AS470" s="162">
        <v>1</v>
      </c>
      <c r="AT470" s="162">
        <v>1</v>
      </c>
      <c r="AU470" s="162">
        <v>1</v>
      </c>
      <c r="AV470" s="162">
        <v>0</v>
      </c>
      <c r="AW470" s="162">
        <v>1</v>
      </c>
      <c r="AX470" s="162">
        <v>1</v>
      </c>
      <c r="AY470" s="289">
        <v>500000000</v>
      </c>
      <c r="AZ470" s="289">
        <v>0</v>
      </c>
      <c r="BA470" s="289">
        <v>0</v>
      </c>
      <c r="BB470" s="289">
        <v>0</v>
      </c>
      <c r="BC470" s="737">
        <f t="shared" si="98"/>
        <v>500000000</v>
      </c>
      <c r="BD470" s="155" t="s">
        <v>131</v>
      </c>
      <c r="BE470" s="155" t="s">
        <v>132</v>
      </c>
    </row>
    <row r="471" spans="1:57" ht="22.5">
      <c r="A471" s="11"/>
      <c r="B471" s="11"/>
      <c r="C471" s="11"/>
      <c r="D471" s="11"/>
      <c r="E471" s="11"/>
      <c r="F471" s="11"/>
      <c r="G471" s="11"/>
      <c r="H471" s="11"/>
      <c r="I471" s="738"/>
      <c r="J471" s="738"/>
      <c r="K471" s="738"/>
      <c r="L471" s="738"/>
      <c r="M471" s="738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274" t="s">
        <v>1185</v>
      </c>
      <c r="AJ471" s="734">
        <f>+(0.01*100)/1</f>
        <v>1</v>
      </c>
      <c r="AK471" s="734">
        <f>+AJ471*C4</f>
        <v>0.1</v>
      </c>
      <c r="AL471" s="734">
        <v>0</v>
      </c>
      <c r="AM471" s="734">
        <v>0.45</v>
      </c>
      <c r="AN471" s="734">
        <v>0.45</v>
      </c>
      <c r="AO471" s="155" t="s">
        <v>1271</v>
      </c>
      <c r="AP471" s="735" t="s">
        <v>202</v>
      </c>
      <c r="AQ471" s="274" t="s">
        <v>87</v>
      </c>
      <c r="AR471" s="736">
        <v>0</v>
      </c>
      <c r="AS471" s="162">
        <v>1</v>
      </c>
      <c r="AT471" s="162">
        <v>1</v>
      </c>
      <c r="AU471" s="162">
        <v>0</v>
      </c>
      <c r="AV471" s="162">
        <v>1</v>
      </c>
      <c r="AW471" s="162">
        <v>1</v>
      </c>
      <c r="AX471" s="162">
        <v>1</v>
      </c>
      <c r="AY471" s="289">
        <v>100000000</v>
      </c>
      <c r="AZ471" s="289">
        <v>0</v>
      </c>
      <c r="BA471" s="289">
        <v>0</v>
      </c>
      <c r="BB471" s="289">
        <v>0</v>
      </c>
      <c r="BC471" s="737">
        <f t="shared" si="98"/>
        <v>100000000</v>
      </c>
      <c r="BD471" s="155" t="s">
        <v>131</v>
      </c>
      <c r="BE471" s="155" t="s">
        <v>132</v>
      </c>
    </row>
    <row r="472" spans="1:57" ht="22.5">
      <c r="A472" s="11"/>
      <c r="B472" s="11"/>
      <c r="C472" s="11"/>
      <c r="D472" s="11"/>
      <c r="E472" s="11"/>
      <c r="F472" s="11"/>
      <c r="G472" s="11"/>
      <c r="H472" s="11"/>
      <c r="I472" s="738"/>
      <c r="J472" s="738"/>
      <c r="K472" s="738"/>
      <c r="L472" s="738"/>
      <c r="M472" s="738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274" t="s">
        <v>1186</v>
      </c>
      <c r="AJ472" s="734">
        <f>+(0.02*100)/1</f>
        <v>2</v>
      </c>
      <c r="AK472" s="734">
        <f>+AJ472*C4</f>
        <v>0.2</v>
      </c>
      <c r="AL472" s="734">
        <v>1.8</v>
      </c>
      <c r="AM472" s="734">
        <v>0</v>
      </c>
      <c r="AN472" s="734">
        <v>0</v>
      </c>
      <c r="AO472" s="155" t="s">
        <v>1272</v>
      </c>
      <c r="AP472" s="735" t="s">
        <v>202</v>
      </c>
      <c r="AQ472" s="274" t="s">
        <v>87</v>
      </c>
      <c r="AR472" s="736">
        <v>0</v>
      </c>
      <c r="AS472" s="162">
        <v>2</v>
      </c>
      <c r="AT472" s="162">
        <v>1</v>
      </c>
      <c r="AU472" s="162">
        <v>1</v>
      </c>
      <c r="AV472" s="162">
        <v>0</v>
      </c>
      <c r="AW472" s="162">
        <v>0</v>
      </c>
      <c r="AX472" s="162">
        <v>2</v>
      </c>
      <c r="AY472" s="289">
        <v>50000000</v>
      </c>
      <c r="AZ472" s="289">
        <v>50000000</v>
      </c>
      <c r="BA472" s="289">
        <v>0</v>
      </c>
      <c r="BB472" s="289">
        <v>0</v>
      </c>
      <c r="BC472" s="737">
        <f t="shared" si="98"/>
        <v>100000000</v>
      </c>
      <c r="BD472" s="155" t="s">
        <v>131</v>
      </c>
      <c r="BE472" s="155" t="s">
        <v>132</v>
      </c>
    </row>
    <row r="473" spans="1:57" ht="22.5">
      <c r="A473" s="11"/>
      <c r="B473" s="11"/>
      <c r="C473" s="11"/>
      <c r="D473" s="11"/>
      <c r="E473" s="11"/>
      <c r="F473" s="11"/>
      <c r="G473" s="11"/>
      <c r="H473" s="11"/>
      <c r="I473" s="738"/>
      <c r="J473" s="738"/>
      <c r="K473" s="738"/>
      <c r="L473" s="738"/>
      <c r="M473" s="738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274" t="s">
        <v>1187</v>
      </c>
      <c r="AJ473" s="734">
        <f>+(0.12*100)/1</f>
        <v>12</v>
      </c>
      <c r="AK473" s="734">
        <f>+AJ473*C4</f>
        <v>1.2000000000000002</v>
      </c>
      <c r="AL473" s="734">
        <v>10.8</v>
      </c>
      <c r="AM473" s="734">
        <v>0</v>
      </c>
      <c r="AN473" s="734">
        <v>0</v>
      </c>
      <c r="AO473" s="155" t="s">
        <v>1273</v>
      </c>
      <c r="AP473" s="735" t="s">
        <v>202</v>
      </c>
      <c r="AQ473" s="274" t="s">
        <v>87</v>
      </c>
      <c r="AR473" s="736">
        <v>0</v>
      </c>
      <c r="AS473" s="162">
        <v>3</v>
      </c>
      <c r="AT473" s="162">
        <v>1</v>
      </c>
      <c r="AU473" s="162">
        <v>2</v>
      </c>
      <c r="AV473" s="162">
        <v>0</v>
      </c>
      <c r="AW473" s="162">
        <v>0</v>
      </c>
      <c r="AX473" s="162">
        <v>3</v>
      </c>
      <c r="AY473" s="289">
        <v>0</v>
      </c>
      <c r="AZ473" s="289">
        <v>80000000</v>
      </c>
      <c r="BA473" s="289">
        <v>75000000</v>
      </c>
      <c r="BB473" s="289">
        <v>0</v>
      </c>
      <c r="BC473" s="737">
        <f t="shared" si="98"/>
        <v>155000000</v>
      </c>
      <c r="BD473" s="155" t="s">
        <v>131</v>
      </c>
      <c r="BE473" s="155" t="s">
        <v>132</v>
      </c>
    </row>
    <row r="474" spans="1:57" ht="22.5">
      <c r="A474" s="11"/>
      <c r="B474" s="11"/>
      <c r="C474" s="11"/>
      <c r="D474" s="11"/>
      <c r="E474" s="11"/>
      <c r="F474" s="11"/>
      <c r="G474" s="11"/>
      <c r="H474" s="11"/>
      <c r="I474" s="738"/>
      <c r="J474" s="738"/>
      <c r="K474" s="738"/>
      <c r="L474" s="738"/>
      <c r="M474" s="738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274" t="s">
        <v>1188</v>
      </c>
      <c r="AJ474" s="734">
        <f>+(0.01*100)/1</f>
        <v>1</v>
      </c>
      <c r="AK474" s="734">
        <v>0</v>
      </c>
      <c r="AL474" s="734">
        <v>1</v>
      </c>
      <c r="AM474" s="734">
        <v>0</v>
      </c>
      <c r="AN474" s="734">
        <v>0</v>
      </c>
      <c r="AO474" s="155" t="s">
        <v>1274</v>
      </c>
      <c r="AP474" s="735" t="s">
        <v>202</v>
      </c>
      <c r="AQ474" s="274" t="s">
        <v>87</v>
      </c>
      <c r="AR474" s="736">
        <v>0</v>
      </c>
      <c r="AS474" s="162">
        <v>25</v>
      </c>
      <c r="AT474" s="162">
        <v>0</v>
      </c>
      <c r="AU474" s="162">
        <v>25</v>
      </c>
      <c r="AV474" s="162">
        <v>0</v>
      </c>
      <c r="AW474" s="162">
        <v>0</v>
      </c>
      <c r="AX474" s="162">
        <v>25</v>
      </c>
      <c r="AY474" s="289">
        <v>0</v>
      </c>
      <c r="AZ474" s="289">
        <v>30000000</v>
      </c>
      <c r="BA474" s="289">
        <v>0</v>
      </c>
      <c r="BB474" s="289">
        <v>0</v>
      </c>
      <c r="BC474" s="737">
        <f t="shared" si="98"/>
        <v>30000000</v>
      </c>
      <c r="BD474" s="155" t="s">
        <v>131</v>
      </c>
      <c r="BE474" s="155" t="s">
        <v>132</v>
      </c>
    </row>
    <row r="475" spans="1:57" ht="56.25">
      <c r="A475" s="11"/>
      <c r="B475" s="11"/>
      <c r="C475" s="11"/>
      <c r="D475" s="11"/>
      <c r="E475" s="11"/>
      <c r="F475" s="11"/>
      <c r="G475" s="11"/>
      <c r="H475" s="11"/>
      <c r="I475" s="738"/>
      <c r="J475" s="738"/>
      <c r="K475" s="738"/>
      <c r="L475" s="738"/>
      <c r="M475" s="738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274" t="s">
        <v>1189</v>
      </c>
      <c r="AJ475" s="734">
        <f>+(0.36*100)/1</f>
        <v>36</v>
      </c>
      <c r="AK475" s="734">
        <f>+AJ475*C4</f>
        <v>3.6</v>
      </c>
      <c r="AL475" s="734">
        <v>0</v>
      </c>
      <c r="AM475" s="734">
        <v>25.2</v>
      </c>
      <c r="AN475" s="734">
        <f>+AJ475*F4</f>
        <v>7.2</v>
      </c>
      <c r="AO475" s="155" t="s">
        <v>1275</v>
      </c>
      <c r="AP475" s="735" t="s">
        <v>202</v>
      </c>
      <c r="AQ475" s="274" t="s">
        <v>88</v>
      </c>
      <c r="AR475" s="736">
        <v>0</v>
      </c>
      <c r="AS475" s="748">
        <v>0.5</v>
      </c>
      <c r="AT475" s="161">
        <v>0.05</v>
      </c>
      <c r="AU475" s="161">
        <v>0</v>
      </c>
      <c r="AV475" s="161">
        <v>0.33</v>
      </c>
      <c r="AW475" s="161">
        <v>0.12</v>
      </c>
      <c r="AX475" s="162">
        <v>0.5</v>
      </c>
      <c r="AY475" s="289">
        <v>100000000</v>
      </c>
      <c r="AZ475" s="289">
        <v>100000000</v>
      </c>
      <c r="BA475" s="289">
        <v>100000000</v>
      </c>
      <c r="BB475" s="289">
        <v>100000000</v>
      </c>
      <c r="BC475" s="737">
        <f t="shared" si="98"/>
        <v>400000000</v>
      </c>
      <c r="BD475" s="155" t="s">
        <v>131</v>
      </c>
      <c r="BE475" s="155" t="s">
        <v>132</v>
      </c>
    </row>
    <row r="476" spans="1:57" ht="33.75">
      <c r="A476" s="11"/>
      <c r="B476" s="11"/>
      <c r="C476" s="11"/>
      <c r="D476" s="11"/>
      <c r="E476" s="11"/>
      <c r="F476" s="11"/>
      <c r="G476" s="11"/>
      <c r="H476" s="11"/>
      <c r="I476" s="738"/>
      <c r="J476" s="738"/>
      <c r="K476" s="738"/>
      <c r="L476" s="738"/>
      <c r="M476" s="738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274" t="s">
        <v>1190</v>
      </c>
      <c r="AJ476" s="734">
        <f>+(0.01*100)/1</f>
        <v>1</v>
      </c>
      <c r="AK476" s="734">
        <f>+AJ476*C4</f>
        <v>0.1</v>
      </c>
      <c r="AL476" s="734">
        <f>+AJ476*D4</f>
        <v>0.45</v>
      </c>
      <c r="AM476" s="734">
        <v>0.45</v>
      </c>
      <c r="AN476" s="734">
        <v>0</v>
      </c>
      <c r="AO476" s="155" t="s">
        <v>1276</v>
      </c>
      <c r="AP476" s="735" t="s">
        <v>202</v>
      </c>
      <c r="AQ476" s="274" t="s">
        <v>87</v>
      </c>
      <c r="AR476" s="736">
        <v>0</v>
      </c>
      <c r="AS476" s="162">
        <v>3</v>
      </c>
      <c r="AT476" s="162">
        <v>1</v>
      </c>
      <c r="AU476" s="162">
        <v>1</v>
      </c>
      <c r="AV476" s="162">
        <v>1</v>
      </c>
      <c r="AW476" s="162">
        <v>0</v>
      </c>
      <c r="AX476" s="162">
        <v>3</v>
      </c>
      <c r="AY476" s="289">
        <v>200000000</v>
      </c>
      <c r="AZ476" s="289">
        <v>0</v>
      </c>
      <c r="BA476" s="289">
        <v>0</v>
      </c>
      <c r="BB476" s="289">
        <v>0</v>
      </c>
      <c r="BC476" s="737">
        <f t="shared" si="98"/>
        <v>200000000</v>
      </c>
      <c r="BD476" s="155" t="s">
        <v>131</v>
      </c>
      <c r="BE476" s="155" t="s">
        <v>132</v>
      </c>
    </row>
    <row r="477" spans="1:57" ht="22.5">
      <c r="A477" s="11"/>
      <c r="B477" s="11"/>
      <c r="C477" s="11"/>
      <c r="D477" s="11"/>
      <c r="E477" s="11"/>
      <c r="F477" s="11"/>
      <c r="G477" s="11"/>
      <c r="H477" s="11"/>
      <c r="I477" s="738"/>
      <c r="J477" s="738"/>
      <c r="K477" s="738"/>
      <c r="L477" s="738"/>
      <c r="M477" s="738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274" t="s">
        <v>1191</v>
      </c>
      <c r="AJ477" s="734">
        <f>+(0.02*100)/1</f>
        <v>2</v>
      </c>
      <c r="AK477" s="734">
        <f>+AJ477*C4</f>
        <v>0.2</v>
      </c>
      <c r="AL477" s="734">
        <v>0</v>
      </c>
      <c r="AM477" s="734">
        <f>+AJ477*E4</f>
        <v>0.5</v>
      </c>
      <c r="AN477" s="734">
        <v>1.3</v>
      </c>
      <c r="AO477" s="155" t="s">
        <v>1277</v>
      </c>
      <c r="AP477" s="735" t="s">
        <v>202</v>
      </c>
      <c r="AQ477" s="274" t="s">
        <v>87</v>
      </c>
      <c r="AR477" s="736">
        <v>0</v>
      </c>
      <c r="AS477" s="162">
        <v>1</v>
      </c>
      <c r="AT477" s="162">
        <v>1</v>
      </c>
      <c r="AU477" s="162">
        <v>0</v>
      </c>
      <c r="AV477" s="162">
        <v>1</v>
      </c>
      <c r="AW477" s="162">
        <v>1</v>
      </c>
      <c r="AX477" s="162">
        <v>1</v>
      </c>
      <c r="AY477" s="289">
        <v>600000000</v>
      </c>
      <c r="AZ477" s="289">
        <v>0</v>
      </c>
      <c r="BA477" s="289">
        <v>0</v>
      </c>
      <c r="BB477" s="289">
        <v>0</v>
      </c>
      <c r="BC477" s="737">
        <f t="shared" si="98"/>
        <v>600000000</v>
      </c>
      <c r="BD477" s="155" t="s">
        <v>131</v>
      </c>
      <c r="BE477" s="155" t="s">
        <v>132</v>
      </c>
    </row>
    <row r="478" spans="1:57" ht="33.75">
      <c r="A478" s="11"/>
      <c r="B478" s="11"/>
      <c r="C478" s="11"/>
      <c r="D478" s="11"/>
      <c r="E478" s="11"/>
      <c r="F478" s="11"/>
      <c r="G478" s="11"/>
      <c r="H478" s="11"/>
      <c r="I478" s="738"/>
      <c r="J478" s="738"/>
      <c r="K478" s="738"/>
      <c r="L478" s="738"/>
      <c r="M478" s="738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2"/>
      <c r="AD478" s="12"/>
      <c r="AE478" s="12"/>
      <c r="AF478" s="12"/>
      <c r="AG478" s="12"/>
      <c r="AH478" s="12"/>
      <c r="AI478" s="274" t="s">
        <v>1192</v>
      </c>
      <c r="AJ478" s="734">
        <f>+(0.01*100)/1</f>
        <v>1</v>
      </c>
      <c r="AK478" s="734">
        <f>+AJ478*C4</f>
        <v>0.1</v>
      </c>
      <c r="AL478" s="734">
        <f>+AJ478*D4</f>
        <v>0.45</v>
      </c>
      <c r="AM478" s="734">
        <f>+AJ478*E4</f>
        <v>0.25</v>
      </c>
      <c r="AN478" s="734">
        <f>+AJ478*F4</f>
        <v>0.2</v>
      </c>
      <c r="AO478" s="155" t="s">
        <v>106</v>
      </c>
      <c r="AP478" s="735" t="s">
        <v>202</v>
      </c>
      <c r="AQ478" s="274" t="s">
        <v>87</v>
      </c>
      <c r="AR478" s="736">
        <v>0</v>
      </c>
      <c r="AS478" s="162">
        <v>1</v>
      </c>
      <c r="AT478" s="162">
        <v>1</v>
      </c>
      <c r="AU478" s="162">
        <v>1</v>
      </c>
      <c r="AV478" s="162">
        <v>1</v>
      </c>
      <c r="AW478" s="162">
        <v>1</v>
      </c>
      <c r="AX478" s="162">
        <v>1</v>
      </c>
      <c r="AY478" s="289">
        <v>50000000</v>
      </c>
      <c r="AZ478" s="289">
        <v>30000000</v>
      </c>
      <c r="BA478" s="289">
        <v>0</v>
      </c>
      <c r="BB478" s="289">
        <v>0</v>
      </c>
      <c r="BC478" s="737">
        <f t="shared" si="98"/>
        <v>80000000</v>
      </c>
      <c r="BD478" s="155" t="s">
        <v>131</v>
      </c>
      <c r="BE478" s="155" t="s">
        <v>132</v>
      </c>
    </row>
    <row r="479" spans="1:57">
      <c r="A479" s="11"/>
      <c r="B479" s="11"/>
      <c r="C479" s="11"/>
      <c r="D479" s="11"/>
      <c r="E479" s="11"/>
      <c r="F479" s="11"/>
      <c r="G479" s="11"/>
      <c r="H479" s="11"/>
      <c r="I479" s="738"/>
      <c r="J479" s="738"/>
      <c r="K479" s="738"/>
      <c r="L479" s="738"/>
      <c r="M479" s="738"/>
      <c r="N479" s="11"/>
      <c r="O479" s="12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349" t="s">
        <v>1453</v>
      </c>
      <c r="AD479" s="174"/>
      <c r="AE479" s="174"/>
      <c r="AF479" s="174"/>
      <c r="AG479" s="174"/>
      <c r="AH479" s="174"/>
      <c r="AI479" s="174"/>
      <c r="AJ479" s="444">
        <f t="shared" ref="AJ479" si="102">SUM(AJ469:AJ478)</f>
        <v>100</v>
      </c>
      <c r="AK479" s="444"/>
      <c r="AL479" s="444"/>
      <c r="AM479" s="444"/>
      <c r="AN479" s="444"/>
      <c r="AO479" s="204"/>
      <c r="AP479" s="354"/>
      <c r="AQ479" s="174"/>
      <c r="AR479" s="300"/>
      <c r="AS479" s="205"/>
      <c r="AT479" s="205"/>
      <c r="AU479" s="205"/>
      <c r="AV479" s="205"/>
      <c r="AW479" s="205"/>
      <c r="AX479" s="207"/>
      <c r="AY479" s="304">
        <v>3100000000</v>
      </c>
      <c r="AZ479" s="304">
        <v>1790000000</v>
      </c>
      <c r="BA479" s="304">
        <v>175000000</v>
      </c>
      <c r="BB479" s="304">
        <v>100000000</v>
      </c>
      <c r="BC479" s="304">
        <f t="shared" si="98"/>
        <v>5165000000</v>
      </c>
      <c r="BD479" s="204"/>
      <c r="BE479" s="204"/>
    </row>
    <row r="480" spans="1:57" ht="45">
      <c r="A480" s="11"/>
      <c r="B480" s="11"/>
      <c r="C480" s="11"/>
      <c r="D480" s="11"/>
      <c r="E480" s="11"/>
      <c r="F480" s="11"/>
      <c r="G480" s="11"/>
      <c r="H480" s="11"/>
      <c r="I480" s="738"/>
      <c r="J480" s="738"/>
      <c r="K480" s="738"/>
      <c r="L480" s="738"/>
      <c r="M480" s="738"/>
      <c r="N480" s="155" t="s">
        <v>1461</v>
      </c>
      <c r="O480" s="405">
        <f>+(1*100)/15</f>
        <v>6.666666666666667</v>
      </c>
      <c r="P480" s="409">
        <f>+O480*C4</f>
        <v>0.66666666666666674</v>
      </c>
      <c r="Q480" s="409">
        <f>+O480*D4</f>
        <v>3</v>
      </c>
      <c r="R480" s="409">
        <f>+O480*E4</f>
        <v>1.6666666666666667</v>
      </c>
      <c r="S480" s="409">
        <f>+O480*F4</f>
        <v>1.3333333333333335</v>
      </c>
      <c r="T480" s="155" t="s">
        <v>1284</v>
      </c>
      <c r="U480" s="162" t="s">
        <v>202</v>
      </c>
      <c r="V480" s="162" t="s">
        <v>87</v>
      </c>
      <c r="W480" s="162" t="s">
        <v>221</v>
      </c>
      <c r="X480" s="162" t="s">
        <v>717</v>
      </c>
      <c r="Y480" s="155"/>
      <c r="Z480" s="155"/>
      <c r="AA480" s="155"/>
      <c r="AB480" s="155"/>
      <c r="AC480" s="155" t="s">
        <v>1308</v>
      </c>
      <c r="AD480" s="405">
        <f>+(1*100)/15</f>
        <v>6.666666666666667</v>
      </c>
      <c r="AE480" s="405">
        <f>+AD480*C4</f>
        <v>0.66666666666666674</v>
      </c>
      <c r="AF480" s="405">
        <f>+AD480*D4</f>
        <v>3</v>
      </c>
      <c r="AG480" s="405">
        <f>+AD480*E4</f>
        <v>1.6666666666666667</v>
      </c>
      <c r="AH480" s="405">
        <f>+AD480*F4</f>
        <v>1.3333333333333335</v>
      </c>
      <c r="AI480" s="274" t="s">
        <v>1193</v>
      </c>
      <c r="AJ480" s="734">
        <f>+(0.055*100)/1</f>
        <v>5.5</v>
      </c>
      <c r="AK480" s="734">
        <f>+AJ480*C4</f>
        <v>0.55000000000000004</v>
      </c>
      <c r="AL480" s="734">
        <v>0</v>
      </c>
      <c r="AM480" s="734">
        <v>4.95</v>
      </c>
      <c r="AN480" s="734">
        <v>0</v>
      </c>
      <c r="AO480" s="155" t="s">
        <v>1278</v>
      </c>
      <c r="AP480" s="735" t="s">
        <v>1454</v>
      </c>
      <c r="AQ480" s="155" t="s">
        <v>87</v>
      </c>
      <c r="AR480" s="162">
        <v>597</v>
      </c>
      <c r="AS480" s="748">
        <v>0.1</v>
      </c>
      <c r="AT480" s="162">
        <v>557</v>
      </c>
      <c r="AU480" s="162">
        <v>0</v>
      </c>
      <c r="AV480" s="162">
        <v>537.29999999999995</v>
      </c>
      <c r="AW480" s="162">
        <v>0</v>
      </c>
      <c r="AX480" s="162">
        <v>537</v>
      </c>
      <c r="AY480" s="289">
        <v>100000000</v>
      </c>
      <c r="AZ480" s="289">
        <v>50000000</v>
      </c>
      <c r="BA480" s="289">
        <v>0</v>
      </c>
      <c r="BB480" s="289">
        <v>0</v>
      </c>
      <c r="BC480" s="737">
        <f t="shared" si="98"/>
        <v>150000000</v>
      </c>
      <c r="BD480" s="155" t="s">
        <v>131</v>
      </c>
      <c r="BE480" s="155" t="s">
        <v>132</v>
      </c>
    </row>
    <row r="481" spans="1:57" ht="22.5">
      <c r="A481" s="11"/>
      <c r="B481" s="11"/>
      <c r="C481" s="11"/>
      <c r="D481" s="11"/>
      <c r="E481" s="11"/>
      <c r="F481" s="11"/>
      <c r="G481" s="11"/>
      <c r="H481" s="11"/>
      <c r="I481" s="738"/>
      <c r="J481" s="738"/>
      <c r="K481" s="738"/>
      <c r="L481" s="738"/>
      <c r="M481" s="738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274" t="s">
        <v>1194</v>
      </c>
      <c r="AJ481" s="734">
        <f>+(0.03*100)/1</f>
        <v>3</v>
      </c>
      <c r="AK481" s="734">
        <v>0</v>
      </c>
      <c r="AL481" s="734">
        <v>0</v>
      </c>
      <c r="AM481" s="734">
        <v>3</v>
      </c>
      <c r="AN481" s="734">
        <v>0</v>
      </c>
      <c r="AO481" s="155" t="s">
        <v>1279</v>
      </c>
      <c r="AP481" s="735" t="s">
        <v>202</v>
      </c>
      <c r="AQ481" s="155" t="s">
        <v>87</v>
      </c>
      <c r="AR481" s="162" t="s">
        <v>872</v>
      </c>
      <c r="AS481" s="162">
        <v>400</v>
      </c>
      <c r="AT481" s="162">
        <v>0</v>
      </c>
      <c r="AU481" s="162">
        <v>0</v>
      </c>
      <c r="AV481" s="162">
        <v>400</v>
      </c>
      <c r="AW481" s="162">
        <v>0</v>
      </c>
      <c r="AX481" s="162">
        <v>400</v>
      </c>
      <c r="AY481" s="289">
        <v>50000000</v>
      </c>
      <c r="AZ481" s="289">
        <v>0</v>
      </c>
      <c r="BA481" s="289">
        <v>50000000</v>
      </c>
      <c r="BB481" s="289">
        <v>0</v>
      </c>
      <c r="BC481" s="737">
        <f t="shared" si="98"/>
        <v>100000000</v>
      </c>
      <c r="BD481" s="155" t="s">
        <v>131</v>
      </c>
      <c r="BE481" s="155" t="s">
        <v>132</v>
      </c>
    </row>
    <row r="482" spans="1:57" ht="22.5">
      <c r="A482" s="11"/>
      <c r="B482" s="11"/>
      <c r="C482" s="11"/>
      <c r="D482" s="11"/>
      <c r="E482" s="11"/>
      <c r="F482" s="11"/>
      <c r="G482" s="11"/>
      <c r="H482" s="11"/>
      <c r="I482" s="738"/>
      <c r="J482" s="738"/>
      <c r="K482" s="738"/>
      <c r="L482" s="738"/>
      <c r="M482" s="738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274" t="s">
        <v>1195</v>
      </c>
      <c r="AJ482" s="734">
        <f>+(0.076*100)/1</f>
        <v>7.6</v>
      </c>
      <c r="AK482" s="734">
        <f>+AJ482*C4</f>
        <v>0.76</v>
      </c>
      <c r="AL482" s="734">
        <f>+AJ482*D4</f>
        <v>3.42</v>
      </c>
      <c r="AM482" s="734">
        <v>0</v>
      </c>
      <c r="AN482" s="734">
        <v>3.42</v>
      </c>
      <c r="AO482" s="155" t="s">
        <v>1280</v>
      </c>
      <c r="AP482" s="735" t="s">
        <v>202</v>
      </c>
      <c r="AQ482" s="155" t="s">
        <v>87</v>
      </c>
      <c r="AR482" s="162">
        <v>0</v>
      </c>
      <c r="AS482" s="162">
        <v>1000</v>
      </c>
      <c r="AT482" s="162">
        <v>400</v>
      </c>
      <c r="AU482" s="162">
        <v>300</v>
      </c>
      <c r="AV482" s="162">
        <v>0</v>
      </c>
      <c r="AW482" s="162">
        <v>300</v>
      </c>
      <c r="AX482" s="162">
        <v>1000</v>
      </c>
      <c r="AY482" s="289">
        <v>50000000</v>
      </c>
      <c r="AZ482" s="289">
        <v>50000000</v>
      </c>
      <c r="BA482" s="289">
        <v>50000000</v>
      </c>
      <c r="BB482" s="289">
        <v>0</v>
      </c>
      <c r="BC482" s="737">
        <f t="shared" si="98"/>
        <v>150000000</v>
      </c>
      <c r="BD482" s="155" t="s">
        <v>131</v>
      </c>
      <c r="BE482" s="155" t="s">
        <v>132</v>
      </c>
    </row>
    <row r="483" spans="1:57" ht="22.5">
      <c r="A483" s="11"/>
      <c r="B483" s="11"/>
      <c r="C483" s="11"/>
      <c r="D483" s="11"/>
      <c r="E483" s="11"/>
      <c r="F483" s="11"/>
      <c r="G483" s="11"/>
      <c r="H483" s="11"/>
      <c r="I483" s="738"/>
      <c r="J483" s="738"/>
      <c r="K483" s="738"/>
      <c r="L483" s="738"/>
      <c r="M483" s="738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274" t="s">
        <v>1196</v>
      </c>
      <c r="AJ483" s="734">
        <f>+(0.637*100)/1</f>
        <v>63.7</v>
      </c>
      <c r="AK483" s="734">
        <f>+AJ483*C4</f>
        <v>6.370000000000001</v>
      </c>
      <c r="AL483" s="734">
        <f>+AJ483*D4</f>
        <v>28.665000000000003</v>
      </c>
      <c r="AM483" s="734">
        <f>+AJ483*E4</f>
        <v>15.925000000000001</v>
      </c>
      <c r="AN483" s="734">
        <f>+AJ483*F4</f>
        <v>12.740000000000002</v>
      </c>
      <c r="AO483" s="155" t="s">
        <v>1281</v>
      </c>
      <c r="AP483" s="735" t="s">
        <v>202</v>
      </c>
      <c r="AQ483" s="155" t="s">
        <v>87</v>
      </c>
      <c r="AR483" s="162">
        <v>0</v>
      </c>
      <c r="AS483" s="162">
        <v>20000</v>
      </c>
      <c r="AT483" s="162">
        <v>10000</v>
      </c>
      <c r="AU483" s="162">
        <v>3000</v>
      </c>
      <c r="AV483" s="162">
        <v>3000</v>
      </c>
      <c r="AW483" s="162">
        <v>4000</v>
      </c>
      <c r="AX483" s="162">
        <v>20000</v>
      </c>
      <c r="AY483" s="289">
        <v>1000000000</v>
      </c>
      <c r="AZ483" s="289">
        <v>300000000</v>
      </c>
      <c r="BA483" s="289">
        <v>300000000</v>
      </c>
      <c r="BB483" s="289">
        <v>400000000</v>
      </c>
      <c r="BC483" s="737">
        <f t="shared" si="98"/>
        <v>2000000000</v>
      </c>
      <c r="BD483" s="155" t="s">
        <v>131</v>
      </c>
      <c r="BE483" s="155" t="s">
        <v>132</v>
      </c>
    </row>
    <row r="484" spans="1:57" ht="22.5">
      <c r="A484" s="11"/>
      <c r="B484" s="11"/>
      <c r="C484" s="11"/>
      <c r="D484" s="11"/>
      <c r="E484" s="11"/>
      <c r="F484" s="11"/>
      <c r="G484" s="11"/>
      <c r="H484" s="11"/>
      <c r="I484" s="738"/>
      <c r="J484" s="738"/>
      <c r="K484" s="738"/>
      <c r="L484" s="738"/>
      <c r="M484" s="738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274" t="s">
        <v>1197</v>
      </c>
      <c r="AJ484" s="734">
        <f>+(0.029*100)/1</f>
        <v>2.9000000000000004</v>
      </c>
      <c r="AK484" s="734">
        <f>+AJ484</f>
        <v>2.9000000000000004</v>
      </c>
      <c r="AL484" s="734">
        <v>0</v>
      </c>
      <c r="AM484" s="734">
        <v>0</v>
      </c>
      <c r="AN484" s="734">
        <v>0</v>
      </c>
      <c r="AO484" s="155" t="s">
        <v>1282</v>
      </c>
      <c r="AP484" s="735" t="s">
        <v>202</v>
      </c>
      <c r="AQ484" s="155" t="s">
        <v>87</v>
      </c>
      <c r="AR484" s="162">
        <v>0</v>
      </c>
      <c r="AS484" s="162">
        <v>300</v>
      </c>
      <c r="AT484" s="162">
        <v>300</v>
      </c>
      <c r="AU484" s="162">
        <v>0</v>
      </c>
      <c r="AV484" s="162">
        <v>0</v>
      </c>
      <c r="AW484" s="162">
        <v>0</v>
      </c>
      <c r="AX484" s="162">
        <v>300</v>
      </c>
      <c r="AY484" s="289">
        <v>500000000</v>
      </c>
      <c r="AZ484" s="289">
        <v>0</v>
      </c>
      <c r="BA484" s="289">
        <v>0</v>
      </c>
      <c r="BB484" s="289">
        <v>0</v>
      </c>
      <c r="BC484" s="737">
        <f t="shared" si="98"/>
        <v>500000000</v>
      </c>
      <c r="BD484" s="155" t="s">
        <v>131</v>
      </c>
      <c r="BE484" s="155" t="s">
        <v>132</v>
      </c>
    </row>
    <row r="485" spans="1:57" ht="45">
      <c r="A485" s="11"/>
      <c r="B485" s="11"/>
      <c r="C485" s="11"/>
      <c r="D485" s="11"/>
      <c r="E485" s="11"/>
      <c r="F485" s="11"/>
      <c r="G485" s="11"/>
      <c r="H485" s="11"/>
      <c r="I485" s="738"/>
      <c r="J485" s="738"/>
      <c r="K485" s="738"/>
      <c r="L485" s="738"/>
      <c r="M485" s="738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274" t="s">
        <v>1198</v>
      </c>
      <c r="AJ485" s="734">
        <f>+(0.168*100)/1</f>
        <v>16.8</v>
      </c>
      <c r="AK485" s="734">
        <v>0</v>
      </c>
      <c r="AL485" s="734">
        <v>9.24</v>
      </c>
      <c r="AM485" s="734">
        <v>7.56</v>
      </c>
      <c r="AN485" s="734">
        <v>0</v>
      </c>
      <c r="AO485" s="155" t="s">
        <v>1283</v>
      </c>
      <c r="AP485" s="735" t="s">
        <v>202</v>
      </c>
      <c r="AQ485" s="155" t="s">
        <v>87</v>
      </c>
      <c r="AR485" s="162">
        <v>0</v>
      </c>
      <c r="AS485" s="162">
        <v>3</v>
      </c>
      <c r="AT485" s="162">
        <v>0</v>
      </c>
      <c r="AU485" s="162">
        <v>2</v>
      </c>
      <c r="AV485" s="162">
        <v>1</v>
      </c>
      <c r="AW485" s="162">
        <v>0</v>
      </c>
      <c r="AX485" s="162">
        <v>3</v>
      </c>
      <c r="AY485" s="289">
        <v>150000000</v>
      </c>
      <c r="AZ485" s="289">
        <v>73926535.5</v>
      </c>
      <c r="BA485" s="289">
        <v>100000000</v>
      </c>
      <c r="BB485" s="289">
        <v>100000000</v>
      </c>
      <c r="BC485" s="737">
        <f t="shared" si="98"/>
        <v>423926535.5</v>
      </c>
      <c r="BD485" s="155" t="s">
        <v>131</v>
      </c>
      <c r="BE485" s="155" t="s">
        <v>132</v>
      </c>
    </row>
    <row r="486" spans="1:57" ht="33.75">
      <c r="A486" s="11"/>
      <c r="B486" s="11"/>
      <c r="C486" s="11"/>
      <c r="D486" s="11"/>
      <c r="E486" s="11"/>
      <c r="F486" s="11"/>
      <c r="G486" s="11"/>
      <c r="H486" s="11"/>
      <c r="I486" s="738"/>
      <c r="J486" s="738"/>
      <c r="K486" s="738"/>
      <c r="L486" s="738"/>
      <c r="M486" s="738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2"/>
      <c r="AD486" s="12"/>
      <c r="AE486" s="12"/>
      <c r="AF486" s="12"/>
      <c r="AG486" s="12"/>
      <c r="AH486" s="12"/>
      <c r="AI486" s="274" t="s">
        <v>1199</v>
      </c>
      <c r="AJ486" s="734">
        <f>+(0.006*100)/1</f>
        <v>0.6</v>
      </c>
      <c r="AK486" s="734">
        <f>+AJ486</f>
        <v>0.6</v>
      </c>
      <c r="AL486" s="734">
        <v>0</v>
      </c>
      <c r="AM486" s="734">
        <v>0</v>
      </c>
      <c r="AN486" s="734">
        <v>0</v>
      </c>
      <c r="AO486" s="155" t="s">
        <v>1284</v>
      </c>
      <c r="AP486" s="735" t="s">
        <v>202</v>
      </c>
      <c r="AQ486" s="155" t="s">
        <v>87</v>
      </c>
      <c r="AR486" s="162">
        <v>0</v>
      </c>
      <c r="AS486" s="162">
        <v>2</v>
      </c>
      <c r="AT486" s="162">
        <v>2</v>
      </c>
      <c r="AU486" s="162">
        <v>0</v>
      </c>
      <c r="AV486" s="162">
        <v>0</v>
      </c>
      <c r="AW486" s="162">
        <v>0</v>
      </c>
      <c r="AX486" s="162">
        <v>2</v>
      </c>
      <c r="AY486" s="289">
        <v>50000000</v>
      </c>
      <c r="AZ486" s="289">
        <v>0</v>
      </c>
      <c r="BA486" s="289">
        <v>0</v>
      </c>
      <c r="BB486" s="289">
        <v>0</v>
      </c>
      <c r="BC486" s="737">
        <f t="shared" si="98"/>
        <v>50000000</v>
      </c>
      <c r="BD486" s="155" t="s">
        <v>131</v>
      </c>
      <c r="BE486" s="155" t="s">
        <v>132</v>
      </c>
    </row>
    <row r="487" spans="1:57">
      <c r="A487" s="11"/>
      <c r="B487" s="11"/>
      <c r="C487" s="11"/>
      <c r="D487" s="11"/>
      <c r="E487" s="11"/>
      <c r="F487" s="11"/>
      <c r="G487" s="11"/>
      <c r="H487" s="11"/>
      <c r="I487" s="738"/>
      <c r="J487" s="738"/>
      <c r="K487" s="738"/>
      <c r="L487" s="738"/>
      <c r="M487" s="738"/>
      <c r="N487" s="11"/>
      <c r="O487" s="12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349" t="s">
        <v>1453</v>
      </c>
      <c r="AD487" s="174"/>
      <c r="AE487" s="174"/>
      <c r="AF487" s="174"/>
      <c r="AG487" s="174"/>
      <c r="AH487" s="174"/>
      <c r="AI487" s="174"/>
      <c r="AJ487" s="445">
        <f t="shared" ref="AJ487" si="103">SUM(AJ480:AJ486)</f>
        <v>100.10000000000001</v>
      </c>
      <c r="AK487" s="445"/>
      <c r="AL487" s="445"/>
      <c r="AM487" s="445"/>
      <c r="AN487" s="445"/>
      <c r="AO487" s="204"/>
      <c r="AP487" s="354"/>
      <c r="AQ487" s="204"/>
      <c r="AR487" s="205"/>
      <c r="AS487" s="205"/>
      <c r="AT487" s="205"/>
      <c r="AU487" s="205"/>
      <c r="AV487" s="205"/>
      <c r="AW487" s="205"/>
      <c r="AX487" s="207"/>
      <c r="AY487" s="304">
        <v>1900000000</v>
      </c>
      <c r="AZ487" s="304">
        <v>473926535.5</v>
      </c>
      <c r="BA487" s="304">
        <v>500000000</v>
      </c>
      <c r="BB487" s="304">
        <v>500000000</v>
      </c>
      <c r="BC487" s="304">
        <f t="shared" si="98"/>
        <v>3373926535.5</v>
      </c>
      <c r="BD487" s="204"/>
      <c r="BE487" s="204"/>
    </row>
    <row r="488" spans="1:57" ht="45">
      <c r="A488" s="11"/>
      <c r="B488" s="11"/>
      <c r="C488" s="11"/>
      <c r="D488" s="11"/>
      <c r="E488" s="11"/>
      <c r="F488" s="11"/>
      <c r="G488" s="11"/>
      <c r="H488" s="11"/>
      <c r="I488" s="738"/>
      <c r="J488" s="738"/>
      <c r="K488" s="738"/>
      <c r="L488" s="738"/>
      <c r="M488" s="738"/>
      <c r="N488" s="155" t="s">
        <v>1462</v>
      </c>
      <c r="O488" s="405">
        <f>+(1*100)/15</f>
        <v>6.666666666666667</v>
      </c>
      <c r="P488" s="409">
        <f>+O488*C4</f>
        <v>0.66666666666666674</v>
      </c>
      <c r="Q488" s="409">
        <f>+O488*D4</f>
        <v>3</v>
      </c>
      <c r="R488" s="409">
        <f>+O488*E4</f>
        <v>1.6666666666666667</v>
      </c>
      <c r="S488" s="409">
        <f>+O488*F4</f>
        <v>1.3333333333333335</v>
      </c>
      <c r="T488" s="155" t="s">
        <v>1463</v>
      </c>
      <c r="U488" s="162" t="s">
        <v>202</v>
      </c>
      <c r="V488" s="162" t="s">
        <v>87</v>
      </c>
      <c r="W488" s="161" t="s">
        <v>221</v>
      </c>
      <c r="X488" s="161">
        <v>0.03</v>
      </c>
      <c r="Y488" s="743">
        <v>5.0000000000000001E-3</v>
      </c>
      <c r="Z488" s="743">
        <v>0.02</v>
      </c>
      <c r="AA488" s="743">
        <v>2.5000000000000001E-2</v>
      </c>
      <c r="AB488" s="743">
        <v>0.03</v>
      </c>
      <c r="AC488" s="155" t="s">
        <v>1309</v>
      </c>
      <c r="AD488" s="405">
        <f>+(1*100)/15</f>
        <v>6.666666666666667</v>
      </c>
      <c r="AE488" s="405">
        <f>+AD488*C4</f>
        <v>0.66666666666666674</v>
      </c>
      <c r="AF488" s="405">
        <f>+AD488*D4</f>
        <v>3</v>
      </c>
      <c r="AG488" s="405">
        <f>+AD488*E4</f>
        <v>1.6666666666666667</v>
      </c>
      <c r="AH488" s="405">
        <f>+AD488*F4</f>
        <v>1.3333333333333335</v>
      </c>
      <c r="AI488" s="274" t="s">
        <v>1200</v>
      </c>
      <c r="AJ488" s="734">
        <f>+(0.727*100)/1</f>
        <v>72.7</v>
      </c>
      <c r="AK488" s="734">
        <f>+AJ488*C4</f>
        <v>7.2700000000000005</v>
      </c>
      <c r="AL488" s="734">
        <f>+AJ488*D4</f>
        <v>32.715000000000003</v>
      </c>
      <c r="AM488" s="734">
        <f>+AJ488*E4</f>
        <v>18.175000000000001</v>
      </c>
      <c r="AN488" s="734">
        <f>+AJ488*F4</f>
        <v>14.540000000000001</v>
      </c>
      <c r="AO488" s="155" t="s">
        <v>1285</v>
      </c>
      <c r="AP488" s="735" t="s">
        <v>202</v>
      </c>
      <c r="AQ488" s="155" t="s">
        <v>87</v>
      </c>
      <c r="AR488" s="162">
        <v>1</v>
      </c>
      <c r="AS488" s="162">
        <v>22</v>
      </c>
      <c r="AT488" s="162">
        <v>4</v>
      </c>
      <c r="AU488" s="162">
        <v>6</v>
      </c>
      <c r="AV488" s="162">
        <v>6</v>
      </c>
      <c r="AW488" s="162">
        <v>6</v>
      </c>
      <c r="AX488" s="162">
        <v>22</v>
      </c>
      <c r="AY488" s="289">
        <v>1100000000</v>
      </c>
      <c r="AZ488" s="289">
        <v>300000000</v>
      </c>
      <c r="BA488" s="289">
        <v>300000000</v>
      </c>
      <c r="BB488" s="289">
        <v>300000000</v>
      </c>
      <c r="BC488" s="737">
        <f t="shared" ref="BC488:BC517" si="104">SUM(AY488:BB488)</f>
        <v>2000000000</v>
      </c>
      <c r="BD488" s="155" t="s">
        <v>131</v>
      </c>
      <c r="BE488" s="155" t="s">
        <v>132</v>
      </c>
    </row>
    <row r="489" spans="1:57" ht="45">
      <c r="A489" s="11"/>
      <c r="B489" s="11"/>
      <c r="C489" s="11"/>
      <c r="D489" s="11"/>
      <c r="E489" s="11"/>
      <c r="F489" s="11"/>
      <c r="G489" s="11"/>
      <c r="H489" s="11"/>
      <c r="I489" s="738"/>
      <c r="J489" s="738"/>
      <c r="K489" s="738"/>
      <c r="L489" s="738"/>
      <c r="M489" s="738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274" t="s">
        <v>1201</v>
      </c>
      <c r="AJ489" s="734">
        <f>+(0.212*100)/1</f>
        <v>21.2</v>
      </c>
      <c r="AK489" s="734">
        <f>+AJ489*C4</f>
        <v>2.12</v>
      </c>
      <c r="AL489" s="734">
        <f>+AJ489*D4</f>
        <v>9.5399999999999991</v>
      </c>
      <c r="AM489" s="734">
        <f>+AJ489*E4</f>
        <v>5.3</v>
      </c>
      <c r="AN489" s="734">
        <f>+AJ489*F4</f>
        <v>4.24</v>
      </c>
      <c r="AO489" s="155" t="s">
        <v>1286</v>
      </c>
      <c r="AP489" s="735" t="s">
        <v>202</v>
      </c>
      <c r="AQ489" s="155" t="s">
        <v>87</v>
      </c>
      <c r="AR489" s="162">
        <v>0</v>
      </c>
      <c r="AS489" s="162">
        <v>15</v>
      </c>
      <c r="AT489" s="162">
        <v>3</v>
      </c>
      <c r="AU489" s="162">
        <v>5</v>
      </c>
      <c r="AV489" s="162">
        <v>4</v>
      </c>
      <c r="AW489" s="162">
        <v>3</v>
      </c>
      <c r="AX489" s="162">
        <v>15</v>
      </c>
      <c r="AY489" s="289">
        <v>100000000</v>
      </c>
      <c r="AZ489" s="289">
        <v>100000000</v>
      </c>
      <c r="BA489" s="289">
        <v>100000000</v>
      </c>
      <c r="BB489" s="289">
        <v>50000000</v>
      </c>
      <c r="BC489" s="737">
        <f t="shared" si="104"/>
        <v>350000000</v>
      </c>
      <c r="BD489" s="155" t="s">
        <v>131</v>
      </c>
      <c r="BE489" s="155" t="s">
        <v>132</v>
      </c>
    </row>
    <row r="490" spans="1:57" ht="45">
      <c r="A490" s="11"/>
      <c r="B490" s="11"/>
      <c r="C490" s="11"/>
      <c r="D490" s="11"/>
      <c r="E490" s="11"/>
      <c r="F490" s="11"/>
      <c r="G490" s="11"/>
      <c r="H490" s="11"/>
      <c r="I490" s="738"/>
      <c r="J490" s="738"/>
      <c r="K490" s="738"/>
      <c r="L490" s="738"/>
      <c r="M490" s="738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274" t="s">
        <v>1202</v>
      </c>
      <c r="AJ490" s="734">
        <f t="shared" ref="AJ490:AJ504" si="105">+(0.004*100)/1</f>
        <v>0.4</v>
      </c>
      <c r="AK490" s="734">
        <f>+AJ490*C4</f>
        <v>4.0000000000000008E-2</v>
      </c>
      <c r="AL490" s="734">
        <f>+AJ490*D4</f>
        <v>0.18000000000000002</v>
      </c>
      <c r="AM490" s="734">
        <f>+AJ490*E4</f>
        <v>0.1</v>
      </c>
      <c r="AN490" s="734">
        <f>+AJ490*F4</f>
        <v>8.0000000000000016E-2</v>
      </c>
      <c r="AO490" s="155" t="s">
        <v>1287</v>
      </c>
      <c r="AP490" s="735" t="s">
        <v>202</v>
      </c>
      <c r="AQ490" s="155" t="s">
        <v>87</v>
      </c>
      <c r="AR490" s="162">
        <v>0</v>
      </c>
      <c r="AS490" s="162">
        <v>1</v>
      </c>
      <c r="AT490" s="162">
        <v>1</v>
      </c>
      <c r="AU490" s="162">
        <v>1</v>
      </c>
      <c r="AV490" s="162">
        <v>1</v>
      </c>
      <c r="AW490" s="162">
        <v>1</v>
      </c>
      <c r="AX490" s="162">
        <v>1</v>
      </c>
      <c r="AY490" s="289">
        <v>0</v>
      </c>
      <c r="AZ490" s="289">
        <v>0</v>
      </c>
      <c r="BA490" s="289">
        <v>0</v>
      </c>
      <c r="BB490" s="289">
        <v>0</v>
      </c>
      <c r="BC490" s="737">
        <f t="shared" si="104"/>
        <v>0</v>
      </c>
      <c r="BD490" s="155" t="s">
        <v>131</v>
      </c>
      <c r="BE490" s="155" t="s">
        <v>132</v>
      </c>
    </row>
    <row r="491" spans="1:57" ht="33.75">
      <c r="A491" s="11"/>
      <c r="B491" s="11"/>
      <c r="C491" s="11"/>
      <c r="D491" s="11"/>
      <c r="E491" s="11"/>
      <c r="F491" s="11"/>
      <c r="G491" s="11"/>
      <c r="H491" s="11"/>
      <c r="I491" s="738"/>
      <c r="J491" s="738"/>
      <c r="K491" s="738"/>
      <c r="L491" s="738"/>
      <c r="M491" s="738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274" t="s">
        <v>1203</v>
      </c>
      <c r="AJ491" s="734">
        <f t="shared" si="105"/>
        <v>0.4</v>
      </c>
      <c r="AK491" s="734">
        <v>0</v>
      </c>
      <c r="AL491" s="734">
        <v>0.22</v>
      </c>
      <c r="AM491" s="734">
        <f>+AJ491*E4</f>
        <v>0.1</v>
      </c>
      <c r="AN491" s="734">
        <f>+AJ491*F4</f>
        <v>8.0000000000000016E-2</v>
      </c>
      <c r="AO491" s="155" t="s">
        <v>1288</v>
      </c>
      <c r="AP491" s="735" t="s">
        <v>202</v>
      </c>
      <c r="AQ491" s="155" t="s">
        <v>87</v>
      </c>
      <c r="AR491" s="162">
        <v>0</v>
      </c>
      <c r="AS491" s="162">
        <v>15</v>
      </c>
      <c r="AT491" s="162">
        <v>0</v>
      </c>
      <c r="AU491" s="162">
        <v>4</v>
      </c>
      <c r="AV491" s="162">
        <v>4</v>
      </c>
      <c r="AW491" s="162">
        <v>7</v>
      </c>
      <c r="AX491" s="162">
        <v>15</v>
      </c>
      <c r="AY491" s="289">
        <v>0</v>
      </c>
      <c r="AZ491" s="289">
        <v>0</v>
      </c>
      <c r="BA491" s="289">
        <v>0</v>
      </c>
      <c r="BB491" s="289">
        <v>0</v>
      </c>
      <c r="BC491" s="737">
        <f t="shared" si="104"/>
        <v>0</v>
      </c>
      <c r="BD491" s="155" t="s">
        <v>131</v>
      </c>
      <c r="BE491" s="155" t="s">
        <v>132</v>
      </c>
    </row>
    <row r="492" spans="1:57" ht="56.25">
      <c r="A492" s="11"/>
      <c r="B492" s="11"/>
      <c r="C492" s="11"/>
      <c r="D492" s="11"/>
      <c r="E492" s="11"/>
      <c r="F492" s="11"/>
      <c r="G492" s="11"/>
      <c r="H492" s="11"/>
      <c r="I492" s="738"/>
      <c r="J492" s="738"/>
      <c r="K492" s="738"/>
      <c r="L492" s="738"/>
      <c r="M492" s="738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274" t="s">
        <v>1204</v>
      </c>
      <c r="AJ492" s="734">
        <f t="shared" si="105"/>
        <v>0.4</v>
      </c>
      <c r="AK492" s="734">
        <f>+AJ492*C4</f>
        <v>4.0000000000000008E-2</v>
      </c>
      <c r="AL492" s="734">
        <v>0</v>
      </c>
      <c r="AM492" s="734">
        <v>0.36</v>
      </c>
      <c r="AN492" s="734">
        <v>0</v>
      </c>
      <c r="AO492" s="155" t="s">
        <v>743</v>
      </c>
      <c r="AP492" s="735" t="s">
        <v>202</v>
      </c>
      <c r="AQ492" s="155" t="s">
        <v>87</v>
      </c>
      <c r="AR492" s="162">
        <v>0</v>
      </c>
      <c r="AS492" s="162">
        <v>1</v>
      </c>
      <c r="AT492" s="162">
        <v>1</v>
      </c>
      <c r="AU492" s="162">
        <v>0</v>
      </c>
      <c r="AV492" s="162">
        <v>1</v>
      </c>
      <c r="AW492" s="162">
        <v>0</v>
      </c>
      <c r="AX492" s="162">
        <v>1</v>
      </c>
      <c r="AY492" s="289">
        <v>0</v>
      </c>
      <c r="AZ492" s="289">
        <v>0</v>
      </c>
      <c r="BA492" s="289">
        <v>0</v>
      </c>
      <c r="BB492" s="289">
        <v>0</v>
      </c>
      <c r="BC492" s="737">
        <f t="shared" si="104"/>
        <v>0</v>
      </c>
      <c r="BD492" s="155" t="s">
        <v>131</v>
      </c>
      <c r="BE492" s="155" t="s">
        <v>132</v>
      </c>
    </row>
    <row r="493" spans="1:57" ht="33.75">
      <c r="A493" s="11"/>
      <c r="B493" s="11"/>
      <c r="C493" s="11"/>
      <c r="D493" s="11"/>
      <c r="E493" s="11"/>
      <c r="F493" s="11"/>
      <c r="G493" s="11"/>
      <c r="H493" s="11"/>
      <c r="I493" s="738"/>
      <c r="J493" s="738"/>
      <c r="K493" s="738"/>
      <c r="L493" s="738"/>
      <c r="M493" s="738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274" t="s">
        <v>1205</v>
      </c>
      <c r="AJ493" s="734">
        <f t="shared" si="105"/>
        <v>0.4</v>
      </c>
      <c r="AK493" s="734">
        <f>+AJ493*C4</f>
        <v>4.0000000000000008E-2</v>
      </c>
      <c r="AL493" s="734">
        <v>0.36</v>
      </c>
      <c r="AM493" s="734">
        <v>0</v>
      </c>
      <c r="AN493" s="734">
        <v>0</v>
      </c>
      <c r="AO493" s="155" t="s">
        <v>743</v>
      </c>
      <c r="AP493" s="735" t="s">
        <v>202</v>
      </c>
      <c r="AQ493" s="155" t="s">
        <v>87</v>
      </c>
      <c r="AR493" s="162">
        <v>0</v>
      </c>
      <c r="AS493" s="162">
        <v>1</v>
      </c>
      <c r="AT493" s="162">
        <v>1</v>
      </c>
      <c r="AU493" s="162">
        <v>1</v>
      </c>
      <c r="AV493" s="162">
        <v>0</v>
      </c>
      <c r="AW493" s="162">
        <v>0</v>
      </c>
      <c r="AX493" s="162">
        <v>1</v>
      </c>
      <c r="AY493" s="289">
        <v>0</v>
      </c>
      <c r="AZ493" s="289">
        <v>0</v>
      </c>
      <c r="BA493" s="289">
        <v>0</v>
      </c>
      <c r="BB493" s="289">
        <v>0</v>
      </c>
      <c r="BC493" s="737">
        <f t="shared" si="104"/>
        <v>0</v>
      </c>
      <c r="BD493" s="155" t="s">
        <v>131</v>
      </c>
      <c r="BE493" s="155" t="s">
        <v>132</v>
      </c>
    </row>
    <row r="494" spans="1:57" ht="45">
      <c r="A494" s="11"/>
      <c r="B494" s="11"/>
      <c r="C494" s="11"/>
      <c r="D494" s="11"/>
      <c r="E494" s="11"/>
      <c r="F494" s="11"/>
      <c r="G494" s="11"/>
      <c r="H494" s="11"/>
      <c r="I494" s="738"/>
      <c r="J494" s="738"/>
      <c r="K494" s="738"/>
      <c r="L494" s="738"/>
      <c r="M494" s="738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274" t="s">
        <v>1206</v>
      </c>
      <c r="AJ494" s="734">
        <f t="shared" si="105"/>
        <v>0.4</v>
      </c>
      <c r="AK494" s="734">
        <f>+AJ494*C4</f>
        <v>4.0000000000000008E-2</v>
      </c>
      <c r="AL494" s="734">
        <v>0</v>
      </c>
      <c r="AM494" s="734">
        <v>0.28000000000000003</v>
      </c>
      <c r="AN494" s="734">
        <f>+AJ494*F4</f>
        <v>8.0000000000000016E-2</v>
      </c>
      <c r="AO494" s="155" t="s">
        <v>743</v>
      </c>
      <c r="AP494" s="735" t="s">
        <v>202</v>
      </c>
      <c r="AQ494" s="155" t="s">
        <v>87</v>
      </c>
      <c r="AR494" s="162">
        <v>0</v>
      </c>
      <c r="AS494" s="162">
        <v>1</v>
      </c>
      <c r="AT494" s="162">
        <v>1</v>
      </c>
      <c r="AU494" s="162">
        <v>0</v>
      </c>
      <c r="AV494" s="162">
        <v>1</v>
      </c>
      <c r="AW494" s="162">
        <v>1</v>
      </c>
      <c r="AX494" s="162">
        <v>1</v>
      </c>
      <c r="AY494" s="289">
        <v>0</v>
      </c>
      <c r="AZ494" s="289">
        <v>0</v>
      </c>
      <c r="BA494" s="289">
        <v>0</v>
      </c>
      <c r="BB494" s="289">
        <v>0</v>
      </c>
      <c r="BC494" s="737">
        <f t="shared" si="104"/>
        <v>0</v>
      </c>
      <c r="BD494" s="155" t="s">
        <v>131</v>
      </c>
      <c r="BE494" s="155" t="s">
        <v>132</v>
      </c>
    </row>
    <row r="495" spans="1:57" ht="45">
      <c r="A495" s="11"/>
      <c r="B495" s="11"/>
      <c r="C495" s="11"/>
      <c r="D495" s="11"/>
      <c r="E495" s="11"/>
      <c r="F495" s="11"/>
      <c r="G495" s="11"/>
      <c r="H495" s="11"/>
      <c r="I495" s="738"/>
      <c r="J495" s="738"/>
      <c r="K495" s="738"/>
      <c r="L495" s="738"/>
      <c r="M495" s="738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274" t="s">
        <v>1207</v>
      </c>
      <c r="AJ495" s="734">
        <f t="shared" si="105"/>
        <v>0.4</v>
      </c>
      <c r="AK495" s="734">
        <v>0</v>
      </c>
      <c r="AL495" s="734">
        <v>0.4</v>
      </c>
      <c r="AM495" s="734">
        <v>0</v>
      </c>
      <c r="AN495" s="734">
        <v>0</v>
      </c>
      <c r="AO495" s="155" t="s">
        <v>743</v>
      </c>
      <c r="AP495" s="735" t="s">
        <v>202</v>
      </c>
      <c r="AQ495" s="155" t="s">
        <v>87</v>
      </c>
      <c r="AR495" s="162">
        <v>0</v>
      </c>
      <c r="AS495" s="162">
        <v>1</v>
      </c>
      <c r="AT495" s="162">
        <v>0</v>
      </c>
      <c r="AU495" s="162">
        <v>1</v>
      </c>
      <c r="AV495" s="162">
        <v>0</v>
      </c>
      <c r="AW495" s="162">
        <v>0</v>
      </c>
      <c r="AX495" s="162">
        <v>1</v>
      </c>
      <c r="AY495" s="289">
        <v>0</v>
      </c>
      <c r="AZ495" s="289">
        <v>0</v>
      </c>
      <c r="BA495" s="289">
        <v>0</v>
      </c>
      <c r="BB495" s="289">
        <v>0</v>
      </c>
      <c r="BC495" s="737">
        <f t="shared" si="104"/>
        <v>0</v>
      </c>
      <c r="BD495" s="155" t="s">
        <v>131</v>
      </c>
      <c r="BE495" s="155" t="s">
        <v>132</v>
      </c>
    </row>
    <row r="496" spans="1:57" ht="33.75">
      <c r="A496" s="11"/>
      <c r="B496" s="11"/>
      <c r="C496" s="11"/>
      <c r="D496" s="11"/>
      <c r="E496" s="11"/>
      <c r="F496" s="11"/>
      <c r="G496" s="11"/>
      <c r="H496" s="11"/>
      <c r="I496" s="738"/>
      <c r="J496" s="738"/>
      <c r="K496" s="738"/>
      <c r="L496" s="738"/>
      <c r="M496" s="738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274" t="s">
        <v>1208</v>
      </c>
      <c r="AJ496" s="734">
        <f t="shared" si="105"/>
        <v>0.4</v>
      </c>
      <c r="AK496" s="734">
        <f>+AJ496*C4</f>
        <v>4.0000000000000008E-2</v>
      </c>
      <c r="AL496" s="734">
        <v>0</v>
      </c>
      <c r="AM496" s="734">
        <v>0</v>
      </c>
      <c r="AN496" s="734">
        <v>0.36</v>
      </c>
      <c r="AO496" s="155" t="s">
        <v>743</v>
      </c>
      <c r="AP496" s="735" t="s">
        <v>202</v>
      </c>
      <c r="AQ496" s="155" t="s">
        <v>87</v>
      </c>
      <c r="AR496" s="162">
        <v>0</v>
      </c>
      <c r="AS496" s="162">
        <v>1</v>
      </c>
      <c r="AT496" s="162">
        <v>1</v>
      </c>
      <c r="AU496" s="162">
        <v>0</v>
      </c>
      <c r="AV496" s="162">
        <v>0</v>
      </c>
      <c r="AW496" s="162">
        <v>1</v>
      </c>
      <c r="AX496" s="162">
        <v>1</v>
      </c>
      <c r="AY496" s="289">
        <v>0</v>
      </c>
      <c r="AZ496" s="289">
        <v>0</v>
      </c>
      <c r="BA496" s="289">
        <v>0</v>
      </c>
      <c r="BB496" s="289">
        <v>0</v>
      </c>
      <c r="BC496" s="737">
        <f t="shared" si="104"/>
        <v>0</v>
      </c>
      <c r="BD496" s="155" t="s">
        <v>131</v>
      </c>
      <c r="BE496" s="155" t="s">
        <v>132</v>
      </c>
    </row>
    <row r="497" spans="1:57" ht="33.75">
      <c r="A497" s="11"/>
      <c r="B497" s="11"/>
      <c r="C497" s="11"/>
      <c r="D497" s="11"/>
      <c r="E497" s="11"/>
      <c r="F497" s="11"/>
      <c r="G497" s="11"/>
      <c r="H497" s="11"/>
      <c r="I497" s="738"/>
      <c r="J497" s="738"/>
      <c r="K497" s="738"/>
      <c r="L497" s="738"/>
      <c r="M497" s="738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274" t="s">
        <v>1209</v>
      </c>
      <c r="AJ497" s="734">
        <f t="shared" si="105"/>
        <v>0.4</v>
      </c>
      <c r="AK497" s="734">
        <v>0</v>
      </c>
      <c r="AL497" s="734">
        <v>0</v>
      </c>
      <c r="AM497" s="734">
        <v>0</v>
      </c>
      <c r="AN497" s="734">
        <v>0.4</v>
      </c>
      <c r="AO497" s="155" t="s">
        <v>1289</v>
      </c>
      <c r="AP497" s="735" t="s">
        <v>202</v>
      </c>
      <c r="AQ497" s="155" t="s">
        <v>87</v>
      </c>
      <c r="AR497" s="162">
        <v>0</v>
      </c>
      <c r="AS497" s="162">
        <v>1</v>
      </c>
      <c r="AT497" s="162">
        <v>0</v>
      </c>
      <c r="AU497" s="162">
        <v>0</v>
      </c>
      <c r="AV497" s="162">
        <v>0</v>
      </c>
      <c r="AW497" s="162">
        <v>1</v>
      </c>
      <c r="AX497" s="162">
        <v>1</v>
      </c>
      <c r="AY497" s="289">
        <v>0</v>
      </c>
      <c r="AZ497" s="289">
        <v>0</v>
      </c>
      <c r="BA497" s="289">
        <v>0</v>
      </c>
      <c r="BB497" s="289">
        <v>0</v>
      </c>
      <c r="BC497" s="737">
        <f t="shared" si="104"/>
        <v>0</v>
      </c>
      <c r="BD497" s="155" t="s">
        <v>131</v>
      </c>
      <c r="BE497" s="155" t="s">
        <v>132</v>
      </c>
    </row>
    <row r="498" spans="1:57" ht="33.75">
      <c r="A498" s="11"/>
      <c r="B498" s="11"/>
      <c r="C498" s="11"/>
      <c r="D498" s="11"/>
      <c r="E498" s="11"/>
      <c r="F498" s="11"/>
      <c r="G498" s="11"/>
      <c r="H498" s="11"/>
      <c r="I498" s="738"/>
      <c r="J498" s="738"/>
      <c r="K498" s="738"/>
      <c r="L498" s="738"/>
      <c r="M498" s="738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274" t="s">
        <v>1210</v>
      </c>
      <c r="AJ498" s="734">
        <f t="shared" si="105"/>
        <v>0.4</v>
      </c>
      <c r="AK498" s="734">
        <v>0</v>
      </c>
      <c r="AL498" s="734">
        <v>0</v>
      </c>
      <c r="AM498" s="734">
        <v>0.4</v>
      </c>
      <c r="AN498" s="734">
        <v>0</v>
      </c>
      <c r="AO498" s="155" t="s">
        <v>1289</v>
      </c>
      <c r="AP498" s="735" t="s">
        <v>202</v>
      </c>
      <c r="AQ498" s="155" t="s">
        <v>87</v>
      </c>
      <c r="AR498" s="162">
        <v>0</v>
      </c>
      <c r="AS498" s="162">
        <v>1</v>
      </c>
      <c r="AT498" s="162">
        <v>0</v>
      </c>
      <c r="AU498" s="162">
        <v>0</v>
      </c>
      <c r="AV498" s="162">
        <v>1</v>
      </c>
      <c r="AW498" s="162">
        <v>0</v>
      </c>
      <c r="AX498" s="162">
        <v>1</v>
      </c>
      <c r="AY498" s="289">
        <v>0</v>
      </c>
      <c r="AZ498" s="289">
        <v>0</v>
      </c>
      <c r="BA498" s="289">
        <v>0</v>
      </c>
      <c r="BB498" s="289">
        <v>0</v>
      </c>
      <c r="BC498" s="737">
        <f t="shared" si="104"/>
        <v>0</v>
      </c>
      <c r="BD498" s="155" t="s">
        <v>131</v>
      </c>
      <c r="BE498" s="155" t="s">
        <v>132</v>
      </c>
    </row>
    <row r="499" spans="1:57" ht="22.5">
      <c r="A499" s="11"/>
      <c r="B499" s="11"/>
      <c r="C499" s="11"/>
      <c r="D499" s="11"/>
      <c r="E499" s="11"/>
      <c r="F499" s="11"/>
      <c r="G499" s="11"/>
      <c r="H499" s="11"/>
      <c r="I499" s="738"/>
      <c r="J499" s="738"/>
      <c r="K499" s="738"/>
      <c r="L499" s="738"/>
      <c r="M499" s="738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274" t="s">
        <v>1211</v>
      </c>
      <c r="AJ499" s="734">
        <f t="shared" si="105"/>
        <v>0.4</v>
      </c>
      <c r="AK499" s="734">
        <v>0</v>
      </c>
      <c r="AL499" s="734">
        <v>0</v>
      </c>
      <c r="AM499" s="734">
        <v>0</v>
      </c>
      <c r="AN499" s="734">
        <f>+AJ499</f>
        <v>0.4</v>
      </c>
      <c r="AO499" s="155" t="s">
        <v>1289</v>
      </c>
      <c r="AP499" s="735" t="s">
        <v>202</v>
      </c>
      <c r="AQ499" s="155" t="s">
        <v>87</v>
      </c>
      <c r="AR499" s="162">
        <v>0</v>
      </c>
      <c r="AS499" s="162">
        <v>1</v>
      </c>
      <c r="AT499" s="162">
        <v>0</v>
      </c>
      <c r="AU499" s="162">
        <v>0</v>
      </c>
      <c r="AV499" s="162">
        <v>0</v>
      </c>
      <c r="AW499" s="162">
        <v>1</v>
      </c>
      <c r="AX499" s="162">
        <v>1</v>
      </c>
      <c r="AY499" s="289">
        <v>0</v>
      </c>
      <c r="AZ499" s="289">
        <v>0</v>
      </c>
      <c r="BA499" s="289">
        <v>0</v>
      </c>
      <c r="BB499" s="289">
        <v>0</v>
      </c>
      <c r="BC499" s="737">
        <f t="shared" si="104"/>
        <v>0</v>
      </c>
      <c r="BD499" s="155" t="s">
        <v>131</v>
      </c>
      <c r="BE499" s="155" t="s">
        <v>132</v>
      </c>
    </row>
    <row r="500" spans="1:57" ht="56.25">
      <c r="A500" s="11"/>
      <c r="B500" s="11"/>
      <c r="C500" s="11"/>
      <c r="D500" s="11"/>
      <c r="E500" s="11"/>
      <c r="F500" s="11"/>
      <c r="G500" s="11"/>
      <c r="H500" s="11"/>
      <c r="I500" s="738"/>
      <c r="J500" s="738"/>
      <c r="K500" s="738"/>
      <c r="L500" s="738"/>
      <c r="M500" s="738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274" t="s">
        <v>1212</v>
      </c>
      <c r="AJ500" s="734">
        <f t="shared" si="105"/>
        <v>0.4</v>
      </c>
      <c r="AK500" s="734">
        <v>0</v>
      </c>
      <c r="AL500" s="734">
        <v>0</v>
      </c>
      <c r="AM500" s="734">
        <v>0</v>
      </c>
      <c r="AN500" s="734">
        <f>+AJ500</f>
        <v>0.4</v>
      </c>
      <c r="AO500" s="155" t="s">
        <v>1289</v>
      </c>
      <c r="AP500" s="735" t="s">
        <v>202</v>
      </c>
      <c r="AQ500" s="155" t="s">
        <v>87</v>
      </c>
      <c r="AR500" s="162">
        <v>0</v>
      </c>
      <c r="AS500" s="162">
        <v>1</v>
      </c>
      <c r="AT500" s="162">
        <v>0</v>
      </c>
      <c r="AU500" s="162">
        <v>0</v>
      </c>
      <c r="AV500" s="162">
        <v>0</v>
      </c>
      <c r="AW500" s="162">
        <v>1</v>
      </c>
      <c r="AX500" s="162">
        <v>1</v>
      </c>
      <c r="AY500" s="289">
        <v>0</v>
      </c>
      <c r="AZ500" s="289">
        <v>0</v>
      </c>
      <c r="BA500" s="289">
        <v>0</v>
      </c>
      <c r="BB500" s="289">
        <v>0</v>
      </c>
      <c r="BC500" s="737">
        <f t="shared" si="104"/>
        <v>0</v>
      </c>
      <c r="BD500" s="155" t="s">
        <v>131</v>
      </c>
      <c r="BE500" s="155" t="s">
        <v>132</v>
      </c>
    </row>
    <row r="501" spans="1:57" ht="33.75">
      <c r="A501" s="11"/>
      <c r="B501" s="11"/>
      <c r="C501" s="11"/>
      <c r="D501" s="11"/>
      <c r="E501" s="11"/>
      <c r="F501" s="11"/>
      <c r="G501" s="11"/>
      <c r="H501" s="11"/>
      <c r="I501" s="738"/>
      <c r="J501" s="738"/>
      <c r="K501" s="738"/>
      <c r="L501" s="738"/>
      <c r="M501" s="738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274" t="s">
        <v>1213</v>
      </c>
      <c r="AJ501" s="734">
        <f t="shared" si="105"/>
        <v>0.4</v>
      </c>
      <c r="AK501" s="734">
        <v>0</v>
      </c>
      <c r="AL501" s="734">
        <v>0</v>
      </c>
      <c r="AM501" s="734">
        <v>0</v>
      </c>
      <c r="AN501" s="734">
        <f>+AJ501</f>
        <v>0.4</v>
      </c>
      <c r="AO501" s="155" t="s">
        <v>1289</v>
      </c>
      <c r="AP501" s="735" t="s">
        <v>202</v>
      </c>
      <c r="AQ501" s="155" t="s">
        <v>87</v>
      </c>
      <c r="AR501" s="162">
        <v>0</v>
      </c>
      <c r="AS501" s="162">
        <v>1</v>
      </c>
      <c r="AT501" s="162">
        <v>0</v>
      </c>
      <c r="AU501" s="162">
        <v>0</v>
      </c>
      <c r="AV501" s="162">
        <v>0</v>
      </c>
      <c r="AW501" s="162">
        <v>1</v>
      </c>
      <c r="AX501" s="162">
        <v>1</v>
      </c>
      <c r="AY501" s="289">
        <v>0</v>
      </c>
      <c r="AZ501" s="289">
        <v>0</v>
      </c>
      <c r="BA501" s="289">
        <v>0</v>
      </c>
      <c r="BB501" s="289">
        <v>0</v>
      </c>
      <c r="BC501" s="737">
        <f t="shared" si="104"/>
        <v>0</v>
      </c>
      <c r="BD501" s="155" t="s">
        <v>131</v>
      </c>
      <c r="BE501" s="155" t="s">
        <v>132</v>
      </c>
    </row>
    <row r="502" spans="1:57" ht="33.75">
      <c r="A502" s="11"/>
      <c r="B502" s="11"/>
      <c r="C502" s="11"/>
      <c r="D502" s="11"/>
      <c r="E502" s="11"/>
      <c r="F502" s="11"/>
      <c r="G502" s="11"/>
      <c r="H502" s="11"/>
      <c r="I502" s="738"/>
      <c r="J502" s="738"/>
      <c r="K502" s="738"/>
      <c r="L502" s="738"/>
      <c r="M502" s="738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274" t="s">
        <v>1214</v>
      </c>
      <c r="AJ502" s="734">
        <f t="shared" si="105"/>
        <v>0.4</v>
      </c>
      <c r="AK502" s="734">
        <v>0</v>
      </c>
      <c r="AL502" s="734">
        <v>0</v>
      </c>
      <c r="AM502" s="734">
        <v>0</v>
      </c>
      <c r="AN502" s="734">
        <f>+AJ502</f>
        <v>0.4</v>
      </c>
      <c r="AO502" s="155" t="s">
        <v>1289</v>
      </c>
      <c r="AP502" s="735" t="s">
        <v>202</v>
      </c>
      <c r="AQ502" s="155" t="s">
        <v>87</v>
      </c>
      <c r="AR502" s="162">
        <v>0</v>
      </c>
      <c r="AS502" s="162">
        <v>1</v>
      </c>
      <c r="AT502" s="162">
        <v>0</v>
      </c>
      <c r="AU502" s="162">
        <v>0</v>
      </c>
      <c r="AV502" s="162">
        <v>0</v>
      </c>
      <c r="AW502" s="162">
        <v>1</v>
      </c>
      <c r="AX502" s="162">
        <v>1</v>
      </c>
      <c r="AY502" s="289">
        <v>0</v>
      </c>
      <c r="AZ502" s="289">
        <v>0</v>
      </c>
      <c r="BA502" s="289">
        <v>0</v>
      </c>
      <c r="BB502" s="289">
        <v>0</v>
      </c>
      <c r="BC502" s="737">
        <f t="shared" si="104"/>
        <v>0</v>
      </c>
      <c r="BD502" s="155" t="s">
        <v>131</v>
      </c>
      <c r="BE502" s="155" t="s">
        <v>132</v>
      </c>
    </row>
    <row r="503" spans="1:57" ht="33.75">
      <c r="A503" s="11"/>
      <c r="B503" s="11"/>
      <c r="C503" s="11"/>
      <c r="D503" s="11"/>
      <c r="E503" s="11"/>
      <c r="F503" s="11"/>
      <c r="G503" s="11"/>
      <c r="H503" s="11"/>
      <c r="I503" s="738"/>
      <c r="J503" s="738"/>
      <c r="K503" s="738"/>
      <c r="L503" s="738"/>
      <c r="M503" s="738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274" t="s">
        <v>1215</v>
      </c>
      <c r="AJ503" s="734">
        <f t="shared" si="105"/>
        <v>0.4</v>
      </c>
      <c r="AK503" s="734">
        <v>0</v>
      </c>
      <c r="AL503" s="734">
        <v>0</v>
      </c>
      <c r="AM503" s="734">
        <v>0</v>
      </c>
      <c r="AN503" s="734">
        <f>+AJ503</f>
        <v>0.4</v>
      </c>
      <c r="AO503" s="155" t="s">
        <v>1290</v>
      </c>
      <c r="AP503" s="735" t="s">
        <v>202</v>
      </c>
      <c r="AQ503" s="155" t="s">
        <v>87</v>
      </c>
      <c r="AR503" s="162">
        <v>0</v>
      </c>
      <c r="AS503" s="162">
        <v>1</v>
      </c>
      <c r="AT503" s="162">
        <v>0</v>
      </c>
      <c r="AU503" s="162">
        <v>0</v>
      </c>
      <c r="AV503" s="162">
        <v>0</v>
      </c>
      <c r="AW503" s="162">
        <v>1</v>
      </c>
      <c r="AX503" s="162">
        <v>1</v>
      </c>
      <c r="AY503" s="289">
        <v>0</v>
      </c>
      <c r="AZ503" s="289">
        <v>0</v>
      </c>
      <c r="BA503" s="289">
        <v>0</v>
      </c>
      <c r="BB503" s="289">
        <v>0</v>
      </c>
      <c r="BC503" s="737">
        <f t="shared" si="104"/>
        <v>0</v>
      </c>
      <c r="BD503" s="155" t="s">
        <v>131</v>
      </c>
      <c r="BE503" s="155" t="s">
        <v>132</v>
      </c>
    </row>
    <row r="504" spans="1:57" ht="78.75">
      <c r="A504" s="11"/>
      <c r="B504" s="11"/>
      <c r="C504" s="11"/>
      <c r="D504" s="11"/>
      <c r="E504" s="11"/>
      <c r="F504" s="11"/>
      <c r="G504" s="11"/>
      <c r="H504" s="11"/>
      <c r="I504" s="738"/>
      <c r="J504" s="738"/>
      <c r="K504" s="738"/>
      <c r="L504" s="738"/>
      <c r="M504" s="738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2"/>
      <c r="AD504" s="12"/>
      <c r="AE504" s="12"/>
      <c r="AF504" s="12"/>
      <c r="AG504" s="12"/>
      <c r="AH504" s="12"/>
      <c r="AI504" s="274" t="s">
        <v>1216</v>
      </c>
      <c r="AJ504" s="734">
        <f t="shared" si="105"/>
        <v>0.4</v>
      </c>
      <c r="AK504" s="734">
        <f>+AJ504*C4</f>
        <v>4.0000000000000008E-2</v>
      </c>
      <c r="AL504" s="734">
        <v>0</v>
      </c>
      <c r="AM504" s="734">
        <v>0.36</v>
      </c>
      <c r="AN504" s="734">
        <v>0</v>
      </c>
      <c r="AO504" s="155" t="s">
        <v>992</v>
      </c>
      <c r="AP504" s="735" t="s">
        <v>202</v>
      </c>
      <c r="AQ504" s="155" t="s">
        <v>87</v>
      </c>
      <c r="AR504" s="162">
        <v>1</v>
      </c>
      <c r="AS504" s="162">
        <v>1</v>
      </c>
      <c r="AT504" s="162">
        <v>1</v>
      </c>
      <c r="AU504" s="162">
        <v>0</v>
      </c>
      <c r="AV504" s="162">
        <v>1</v>
      </c>
      <c r="AW504" s="162">
        <v>0</v>
      </c>
      <c r="AX504" s="162">
        <v>1</v>
      </c>
      <c r="AY504" s="289">
        <v>0</v>
      </c>
      <c r="AZ504" s="289">
        <v>0</v>
      </c>
      <c r="BA504" s="289">
        <v>0</v>
      </c>
      <c r="BB504" s="289">
        <v>0</v>
      </c>
      <c r="BC504" s="737">
        <f t="shared" si="104"/>
        <v>0</v>
      </c>
      <c r="BD504" s="155" t="s">
        <v>131</v>
      </c>
      <c r="BE504" s="155" t="s">
        <v>132</v>
      </c>
    </row>
    <row r="505" spans="1:57">
      <c r="A505" s="11"/>
      <c r="B505" s="11"/>
      <c r="C505" s="11"/>
      <c r="D505" s="11"/>
      <c r="E505" s="11"/>
      <c r="F505" s="11"/>
      <c r="G505" s="11"/>
      <c r="H505" s="11"/>
      <c r="I505" s="738"/>
      <c r="J505" s="738"/>
      <c r="K505" s="738"/>
      <c r="L505" s="738"/>
      <c r="M505" s="738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349" t="s">
        <v>1453</v>
      </c>
      <c r="AD505" s="174"/>
      <c r="AE505" s="174"/>
      <c r="AF505" s="174"/>
      <c r="AG505" s="174"/>
      <c r="AH505" s="174"/>
      <c r="AI505" s="174"/>
      <c r="AJ505" s="446">
        <f t="shared" ref="AJ505" si="106">SUM(AJ488:AJ504)</f>
        <v>99.900000000000091</v>
      </c>
      <c r="AK505" s="446"/>
      <c r="AL505" s="446"/>
      <c r="AM505" s="446"/>
      <c r="AN505" s="446"/>
      <c r="AO505" s="204"/>
      <c r="AP505" s="354"/>
      <c r="AQ505" s="204"/>
      <c r="AR505" s="205"/>
      <c r="AS505" s="205"/>
      <c r="AT505" s="205"/>
      <c r="AU505" s="205"/>
      <c r="AV505" s="205"/>
      <c r="AW505" s="205"/>
      <c r="AX505" s="207"/>
      <c r="AY505" s="304">
        <v>1200000000</v>
      </c>
      <c r="AZ505" s="304">
        <v>400000000</v>
      </c>
      <c r="BA505" s="304">
        <v>400000000</v>
      </c>
      <c r="BB505" s="304">
        <v>350000000</v>
      </c>
      <c r="BC505" s="304">
        <f t="shared" si="104"/>
        <v>2350000000</v>
      </c>
      <c r="BD505" s="204"/>
      <c r="BE505" s="204"/>
    </row>
    <row r="506" spans="1:57" ht="56.25">
      <c r="A506" s="11"/>
      <c r="B506" s="11"/>
      <c r="C506" s="11"/>
      <c r="D506" s="11"/>
      <c r="E506" s="11"/>
      <c r="F506" s="11"/>
      <c r="G506" s="11"/>
      <c r="H506" s="11"/>
      <c r="I506" s="738"/>
      <c r="J506" s="738"/>
      <c r="K506" s="738"/>
      <c r="L506" s="738"/>
      <c r="M506" s="738"/>
      <c r="N506" s="274" t="s">
        <v>1464</v>
      </c>
      <c r="O506" s="744">
        <f>+(0.2*100)/15</f>
        <v>1.3333333333333333</v>
      </c>
      <c r="P506" s="409">
        <f>+O506*C4</f>
        <v>0.13333333333333333</v>
      </c>
      <c r="Q506" s="409">
        <f>+O506*D4</f>
        <v>0.6</v>
      </c>
      <c r="R506" s="409">
        <f>+O506*E4</f>
        <v>0.33333333333333331</v>
      </c>
      <c r="S506" s="409">
        <f>+O506*F4</f>
        <v>0.26666666666666666</v>
      </c>
      <c r="T506" s="274" t="s">
        <v>1465</v>
      </c>
      <c r="U506" s="274" t="s">
        <v>202</v>
      </c>
      <c r="V506" s="274" t="s">
        <v>88</v>
      </c>
      <c r="W506" s="745" t="s">
        <v>1466</v>
      </c>
      <c r="X506" s="745" t="s">
        <v>1467</v>
      </c>
      <c r="Y506" s="745" t="s">
        <v>1493</v>
      </c>
      <c r="Z506" s="745" t="s">
        <v>1467</v>
      </c>
      <c r="AA506" s="745">
        <v>0</v>
      </c>
      <c r="AB506" s="745">
        <v>0</v>
      </c>
      <c r="AC506" s="155" t="s">
        <v>1310</v>
      </c>
      <c r="AD506" s="405">
        <f>+(1*100)/15</f>
        <v>6.666666666666667</v>
      </c>
      <c r="AE506" s="405">
        <f>+AD506*C4</f>
        <v>0.66666666666666674</v>
      </c>
      <c r="AF506" s="405">
        <f>+AD506*D4</f>
        <v>3</v>
      </c>
      <c r="AG506" s="405">
        <f>+AD506*E4</f>
        <v>1.6666666666666667</v>
      </c>
      <c r="AH506" s="405">
        <f>+AD506*F4</f>
        <v>1.3333333333333335</v>
      </c>
      <c r="AI506" s="274" t="s">
        <v>1217</v>
      </c>
      <c r="AJ506" s="734">
        <f>+(1.203*100)/2</f>
        <v>60.150000000000006</v>
      </c>
      <c r="AK506" s="734">
        <f>+AJ506*C4</f>
        <v>6.0150000000000006</v>
      </c>
      <c r="AL506" s="734">
        <v>54.14</v>
      </c>
      <c r="AM506" s="734">
        <v>0</v>
      </c>
      <c r="AN506" s="734">
        <v>0</v>
      </c>
      <c r="AO506" s="155" t="s">
        <v>1291</v>
      </c>
      <c r="AP506" s="735" t="s">
        <v>202</v>
      </c>
      <c r="AQ506" s="155" t="s">
        <v>87</v>
      </c>
      <c r="AR506" s="162">
        <v>5</v>
      </c>
      <c r="AS506" s="162">
        <v>7</v>
      </c>
      <c r="AT506" s="162">
        <v>1</v>
      </c>
      <c r="AU506" s="162">
        <v>1</v>
      </c>
      <c r="AV506" s="162">
        <v>0</v>
      </c>
      <c r="AW506" s="162">
        <v>0</v>
      </c>
      <c r="AX506" s="162">
        <v>2</v>
      </c>
      <c r="AY506" s="289">
        <v>1000000000</v>
      </c>
      <c r="AZ506" s="289">
        <v>1000000000</v>
      </c>
      <c r="BA506" s="289">
        <v>2000000000</v>
      </c>
      <c r="BB506" s="289">
        <v>0</v>
      </c>
      <c r="BC506" s="737">
        <f t="shared" si="104"/>
        <v>4000000000</v>
      </c>
      <c r="BD506" s="155" t="s">
        <v>131</v>
      </c>
      <c r="BE506" s="155" t="s">
        <v>132</v>
      </c>
    </row>
    <row r="507" spans="1:57" ht="56.25">
      <c r="A507" s="11"/>
      <c r="B507" s="11"/>
      <c r="C507" s="11"/>
      <c r="D507" s="11"/>
      <c r="E507" s="11"/>
      <c r="F507" s="11"/>
      <c r="G507" s="11"/>
      <c r="H507" s="11"/>
      <c r="I507" s="738"/>
      <c r="J507" s="738"/>
      <c r="K507" s="738"/>
      <c r="L507" s="738"/>
      <c r="M507" s="738"/>
      <c r="N507" s="11" t="s">
        <v>1494</v>
      </c>
      <c r="O507" s="405">
        <f>+(0.2*100)/15</f>
        <v>1.3333333333333333</v>
      </c>
      <c r="P507" s="409">
        <f>+O507*C4</f>
        <v>0.13333333333333333</v>
      </c>
      <c r="Q507" s="409">
        <f>+O507*D4</f>
        <v>0.6</v>
      </c>
      <c r="R507" s="409">
        <f>+O507*E4</f>
        <v>0.33333333333333331</v>
      </c>
      <c r="S507" s="409">
        <f>+O507*F4</f>
        <v>0.26666666666666666</v>
      </c>
      <c r="T507" s="11" t="s">
        <v>1468</v>
      </c>
      <c r="U507" s="11" t="s">
        <v>202</v>
      </c>
      <c r="V507" s="11" t="s">
        <v>1475</v>
      </c>
      <c r="W507" s="365" t="s">
        <v>221</v>
      </c>
      <c r="X507" s="365" t="s">
        <v>1495</v>
      </c>
      <c r="Y507" s="63">
        <v>1000</v>
      </c>
      <c r="Z507" s="63">
        <v>2000</v>
      </c>
      <c r="AA507" s="63">
        <v>1000</v>
      </c>
      <c r="AB507" s="63">
        <v>1000</v>
      </c>
      <c r="AC507" s="11"/>
      <c r="AD507" s="368"/>
      <c r="AE507" s="11"/>
      <c r="AF507" s="11"/>
      <c r="AG507" s="11"/>
      <c r="AH507" s="11"/>
      <c r="AI507" s="274" t="s">
        <v>1218</v>
      </c>
      <c r="AJ507" s="734">
        <f>+(0.191*100)/2</f>
        <v>9.5500000000000007</v>
      </c>
      <c r="AK507" s="734">
        <f>+AJ507*C4</f>
        <v>0.95500000000000007</v>
      </c>
      <c r="AL507" s="734">
        <f>+AJ507*D4</f>
        <v>4.2975000000000003</v>
      </c>
      <c r="AM507" s="734">
        <f>+AJ507*E4</f>
        <v>2.3875000000000002</v>
      </c>
      <c r="AN507" s="734">
        <f>+AJ507*F4</f>
        <v>1.9100000000000001</v>
      </c>
      <c r="AO507" s="155" t="s">
        <v>1292</v>
      </c>
      <c r="AP507" s="735" t="s">
        <v>202</v>
      </c>
      <c r="AQ507" s="155" t="s">
        <v>87</v>
      </c>
      <c r="AR507" s="162">
        <v>5000</v>
      </c>
      <c r="AS507" s="162">
        <v>10000</v>
      </c>
      <c r="AT507" s="162">
        <v>2500</v>
      </c>
      <c r="AU507" s="162">
        <v>2500</v>
      </c>
      <c r="AV507" s="162">
        <v>2500</v>
      </c>
      <c r="AW507" s="162">
        <v>2500</v>
      </c>
      <c r="AX507" s="162">
        <v>10000</v>
      </c>
      <c r="AY507" s="289">
        <v>700000000</v>
      </c>
      <c r="AZ507" s="289">
        <v>0</v>
      </c>
      <c r="BA507" s="289">
        <v>700000000</v>
      </c>
      <c r="BB507" s="289">
        <v>0</v>
      </c>
      <c r="BC507" s="737">
        <f t="shared" si="104"/>
        <v>1400000000</v>
      </c>
      <c r="BD507" s="155" t="s">
        <v>131</v>
      </c>
      <c r="BE507" s="155" t="s">
        <v>132</v>
      </c>
    </row>
    <row r="508" spans="1:57" ht="33.75">
      <c r="A508" s="11"/>
      <c r="B508" s="11"/>
      <c r="C508" s="11"/>
      <c r="D508" s="11"/>
      <c r="E508" s="11"/>
      <c r="F508" s="11"/>
      <c r="G508" s="11"/>
      <c r="H508" s="11"/>
      <c r="I508" s="738"/>
      <c r="J508" s="738"/>
      <c r="K508" s="738"/>
      <c r="L508" s="738"/>
      <c r="M508" s="738"/>
      <c r="N508" s="11"/>
      <c r="O508" s="368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274" t="s">
        <v>1219</v>
      </c>
      <c r="AJ508" s="734">
        <f>+(0.004*100)/2</f>
        <v>0.2</v>
      </c>
      <c r="AK508" s="734">
        <f>+AJ508*C4</f>
        <v>2.0000000000000004E-2</v>
      </c>
      <c r="AL508" s="734">
        <v>0</v>
      </c>
      <c r="AM508" s="734">
        <v>0.18</v>
      </c>
      <c r="AN508" s="734">
        <v>0</v>
      </c>
      <c r="AO508" s="155" t="s">
        <v>1293</v>
      </c>
      <c r="AP508" s="735" t="s">
        <v>202</v>
      </c>
      <c r="AQ508" s="155" t="s">
        <v>87</v>
      </c>
      <c r="AR508" s="162">
        <v>1</v>
      </c>
      <c r="AS508" s="162">
        <v>4</v>
      </c>
      <c r="AT508" s="162">
        <v>1</v>
      </c>
      <c r="AU508" s="162">
        <v>0</v>
      </c>
      <c r="AV508" s="162">
        <v>1</v>
      </c>
      <c r="AW508" s="162">
        <v>0</v>
      </c>
      <c r="AX508" s="162">
        <v>4</v>
      </c>
      <c r="AY508" s="289">
        <v>0</v>
      </c>
      <c r="AZ508" s="289">
        <v>0</v>
      </c>
      <c r="BA508" s="289">
        <v>0</v>
      </c>
      <c r="BB508" s="289">
        <v>0</v>
      </c>
      <c r="BC508" s="737">
        <f t="shared" si="104"/>
        <v>0</v>
      </c>
      <c r="BD508" s="155" t="s">
        <v>131</v>
      </c>
      <c r="BE508" s="155" t="s">
        <v>132</v>
      </c>
    </row>
    <row r="509" spans="1:57" ht="22.5">
      <c r="A509" s="11"/>
      <c r="B509" s="11"/>
      <c r="C509" s="11"/>
      <c r="D509" s="11"/>
      <c r="E509" s="11"/>
      <c r="F509" s="11"/>
      <c r="G509" s="11"/>
      <c r="H509" s="11"/>
      <c r="I509" s="738"/>
      <c r="J509" s="738"/>
      <c r="K509" s="738"/>
      <c r="L509" s="738"/>
      <c r="M509" s="738"/>
      <c r="N509" s="11"/>
      <c r="O509" s="11"/>
      <c r="P509" s="11"/>
      <c r="Q509" s="11"/>
      <c r="R509" s="11"/>
      <c r="S509" s="11"/>
      <c r="T509" s="11"/>
      <c r="U509" s="12"/>
      <c r="V509" s="12"/>
      <c r="W509" s="12"/>
      <c r="X509" s="12"/>
      <c r="Y509" s="12"/>
      <c r="Z509" s="12"/>
      <c r="AA509" s="12"/>
      <c r="AB509" s="12"/>
      <c r="AC509" s="11"/>
      <c r="AD509" s="11"/>
      <c r="AE509" s="11"/>
      <c r="AF509" s="11"/>
      <c r="AG509" s="11"/>
      <c r="AH509" s="11"/>
      <c r="AI509" s="274" t="s">
        <v>1220</v>
      </c>
      <c r="AJ509" s="741">
        <f>+(0.004%*100)/2</f>
        <v>2E-3</v>
      </c>
      <c r="AK509" s="741">
        <v>0</v>
      </c>
      <c r="AL509" s="741">
        <v>0</v>
      </c>
      <c r="AM509" s="741">
        <v>2E-3</v>
      </c>
      <c r="AN509" s="741">
        <v>0</v>
      </c>
      <c r="AO509" s="734" t="s">
        <v>1294</v>
      </c>
      <c r="AP509" s="734" t="s">
        <v>202</v>
      </c>
      <c r="AQ509" s="734" t="s">
        <v>87</v>
      </c>
      <c r="AR509" s="734" t="s">
        <v>221</v>
      </c>
      <c r="AS509" s="749">
        <v>1</v>
      </c>
      <c r="AT509" s="749">
        <v>0</v>
      </c>
      <c r="AU509" s="162">
        <v>0</v>
      </c>
      <c r="AV509" s="162">
        <v>1</v>
      </c>
      <c r="AW509" s="162">
        <v>0</v>
      </c>
      <c r="AX509" s="749">
        <v>1</v>
      </c>
      <c r="AY509" s="289"/>
      <c r="AZ509" s="289"/>
      <c r="BA509" s="289"/>
      <c r="BB509" s="289"/>
      <c r="BC509" s="737">
        <f t="shared" si="104"/>
        <v>0</v>
      </c>
      <c r="BD509" s="155" t="s">
        <v>131</v>
      </c>
      <c r="BE509" s="155" t="s">
        <v>132</v>
      </c>
    </row>
    <row r="510" spans="1:57" ht="45">
      <c r="A510" s="11"/>
      <c r="B510" s="11"/>
      <c r="C510" s="11"/>
      <c r="D510" s="11"/>
      <c r="E510" s="11"/>
      <c r="F510" s="11"/>
      <c r="G510" s="11"/>
      <c r="H510" s="11"/>
      <c r="I510" s="738"/>
      <c r="J510" s="738"/>
      <c r="K510" s="738"/>
      <c r="L510" s="738"/>
      <c r="M510" s="738"/>
      <c r="N510" s="274" t="s">
        <v>1469</v>
      </c>
      <c r="O510" s="744">
        <f>+(0.2*100)/15</f>
        <v>1.3333333333333333</v>
      </c>
      <c r="P510" s="409">
        <f>+O510*C7</f>
        <v>1.0666666666666667</v>
      </c>
      <c r="Q510" s="409">
        <f>+O510*D7</f>
        <v>4.8</v>
      </c>
      <c r="R510" s="409">
        <f>+O510*E7</f>
        <v>2.6666666666666665</v>
      </c>
      <c r="S510" s="409">
        <f>+O510*F7</f>
        <v>2.1333333333333333</v>
      </c>
      <c r="T510" s="274" t="s">
        <v>1472</v>
      </c>
      <c r="U510" s="274" t="s">
        <v>202</v>
      </c>
      <c r="V510" s="274" t="s">
        <v>1476</v>
      </c>
      <c r="W510" s="745" t="s">
        <v>221</v>
      </c>
      <c r="X510" s="745">
        <v>4</v>
      </c>
      <c r="Y510" s="745">
        <v>1</v>
      </c>
      <c r="Z510" s="745">
        <v>1</v>
      </c>
      <c r="AA510" s="745">
        <v>1</v>
      </c>
      <c r="AB510" s="745">
        <v>1</v>
      </c>
      <c r="AC510" s="11"/>
      <c r="AD510" s="11"/>
      <c r="AE510" s="11"/>
      <c r="AF510" s="11"/>
      <c r="AG510" s="11"/>
      <c r="AH510" s="11"/>
      <c r="AI510" s="274" t="s">
        <v>1221</v>
      </c>
      <c r="AJ510" s="734">
        <f>+(0.09*100)/2</f>
        <v>4.5</v>
      </c>
      <c r="AK510" s="734">
        <f>+AJ510*C4</f>
        <v>0.45</v>
      </c>
      <c r="AL510" s="734">
        <f>+AJ510*D4</f>
        <v>2.0249999999999999</v>
      </c>
      <c r="AM510" s="734">
        <v>2.02</v>
      </c>
      <c r="AN510" s="734">
        <v>0</v>
      </c>
      <c r="AO510" s="155" t="s">
        <v>1295</v>
      </c>
      <c r="AP510" s="735" t="s">
        <v>202</v>
      </c>
      <c r="AQ510" s="155" t="s">
        <v>87</v>
      </c>
      <c r="AR510" s="162" t="s">
        <v>872</v>
      </c>
      <c r="AS510" s="162">
        <v>500</v>
      </c>
      <c r="AT510" s="162">
        <v>200</v>
      </c>
      <c r="AU510" s="162">
        <v>200</v>
      </c>
      <c r="AV510" s="162">
        <v>100</v>
      </c>
      <c r="AW510" s="162">
        <v>0</v>
      </c>
      <c r="AX510" s="162">
        <v>500</v>
      </c>
      <c r="AY510" s="289">
        <v>100000000</v>
      </c>
      <c r="AZ510" s="289">
        <v>100000000</v>
      </c>
      <c r="BA510" s="289">
        <v>42850000</v>
      </c>
      <c r="BB510" s="289">
        <v>0</v>
      </c>
      <c r="BC510" s="737">
        <f t="shared" si="104"/>
        <v>242850000</v>
      </c>
      <c r="BD510" s="155" t="s">
        <v>131</v>
      </c>
      <c r="BE510" s="155" t="s">
        <v>132</v>
      </c>
    </row>
    <row r="511" spans="1:57" ht="45">
      <c r="A511" s="11"/>
      <c r="B511" s="11"/>
      <c r="C511" s="11"/>
      <c r="D511" s="11"/>
      <c r="E511" s="11"/>
      <c r="F511" s="11"/>
      <c r="G511" s="11"/>
      <c r="H511" s="11"/>
      <c r="I511" s="738"/>
      <c r="J511" s="738"/>
      <c r="K511" s="738"/>
      <c r="L511" s="738"/>
      <c r="M511" s="738"/>
      <c r="N511" s="274" t="s">
        <v>1470</v>
      </c>
      <c r="O511" s="744">
        <f>+(0.2*100)/15</f>
        <v>1.3333333333333333</v>
      </c>
      <c r="P511" s="409">
        <f>+O511*C4</f>
        <v>0.13333333333333333</v>
      </c>
      <c r="Q511" s="409">
        <f>+O511*D4</f>
        <v>0.6</v>
      </c>
      <c r="R511" s="409">
        <f>+O511*E4</f>
        <v>0.33333333333333331</v>
      </c>
      <c r="S511" s="409">
        <f>+O511*F4</f>
        <v>0.26666666666666666</v>
      </c>
      <c r="T511" s="274" t="s">
        <v>1473</v>
      </c>
      <c r="U511" s="274" t="s">
        <v>202</v>
      </c>
      <c r="V511" s="274" t="s">
        <v>1476</v>
      </c>
      <c r="W511" s="745" t="s">
        <v>221</v>
      </c>
      <c r="X511" s="745">
        <v>200</v>
      </c>
      <c r="Y511" s="745">
        <v>10</v>
      </c>
      <c r="Z511" s="745">
        <v>140</v>
      </c>
      <c r="AA511" s="745">
        <v>25</v>
      </c>
      <c r="AB511" s="745">
        <v>25</v>
      </c>
      <c r="AC511" s="11"/>
      <c r="AD511" s="11"/>
      <c r="AE511" s="11"/>
      <c r="AF511" s="11"/>
      <c r="AG511" s="11"/>
      <c r="AH511" s="11"/>
      <c r="AI511" s="274" t="s">
        <v>1222</v>
      </c>
      <c r="AJ511" s="734">
        <f>+(0.03*100)/2</f>
        <v>1.5</v>
      </c>
      <c r="AK511" s="734">
        <f>+AJ511*C4</f>
        <v>0.15000000000000002</v>
      </c>
      <c r="AL511" s="734">
        <v>1.35</v>
      </c>
      <c r="AM511" s="734">
        <v>0</v>
      </c>
      <c r="AN511" s="734">
        <v>0</v>
      </c>
      <c r="AO511" s="155" t="s">
        <v>843</v>
      </c>
      <c r="AP511" s="735" t="s">
        <v>202</v>
      </c>
      <c r="AQ511" s="155" t="s">
        <v>87</v>
      </c>
      <c r="AR511" s="162">
        <v>0</v>
      </c>
      <c r="AS511" s="162">
        <v>2</v>
      </c>
      <c r="AT511" s="162">
        <v>1</v>
      </c>
      <c r="AU511" s="162">
        <v>1</v>
      </c>
      <c r="AV511" s="162">
        <v>0</v>
      </c>
      <c r="AW511" s="162">
        <v>0</v>
      </c>
      <c r="AX511" s="162">
        <v>2</v>
      </c>
      <c r="AY511" s="289">
        <v>50000000</v>
      </c>
      <c r="AZ511" s="289">
        <v>25000000</v>
      </c>
      <c r="BA511" s="289">
        <v>25000000</v>
      </c>
      <c r="BB511" s="289">
        <v>0</v>
      </c>
      <c r="BC511" s="737">
        <f t="shared" si="104"/>
        <v>100000000</v>
      </c>
      <c r="BD511" s="155" t="s">
        <v>131</v>
      </c>
      <c r="BE511" s="155" t="s">
        <v>132</v>
      </c>
    </row>
    <row r="512" spans="1:57" ht="33.75">
      <c r="A512" s="11"/>
      <c r="B512" s="11"/>
      <c r="C512" s="11"/>
      <c r="D512" s="11"/>
      <c r="E512" s="11"/>
      <c r="F512" s="11"/>
      <c r="G512" s="11"/>
      <c r="H512" s="11"/>
      <c r="I512" s="738"/>
      <c r="J512" s="738"/>
      <c r="K512" s="738"/>
      <c r="L512" s="738"/>
      <c r="M512" s="738"/>
      <c r="N512" s="155" t="s">
        <v>1471</v>
      </c>
      <c r="O512" s="405">
        <f>+(0.2*100)/15</f>
        <v>1.3333333333333333</v>
      </c>
      <c r="P512" s="409">
        <f>+O512*C4</f>
        <v>0.13333333333333333</v>
      </c>
      <c r="Q512" s="409">
        <f>+O512*D4</f>
        <v>0.6</v>
      </c>
      <c r="R512" s="409">
        <f>+O512*E4</f>
        <v>0.33333333333333331</v>
      </c>
      <c r="S512" s="409">
        <f>+O512*F4</f>
        <v>0.26666666666666666</v>
      </c>
      <c r="T512" s="155" t="s">
        <v>1474</v>
      </c>
      <c r="U512" s="155" t="s">
        <v>202</v>
      </c>
      <c r="V512" s="155" t="s">
        <v>88</v>
      </c>
      <c r="W512" s="161" t="s">
        <v>221</v>
      </c>
      <c r="X512" s="161">
        <v>0.7</v>
      </c>
      <c r="Y512" s="161">
        <v>0.1</v>
      </c>
      <c r="Z512" s="161">
        <v>0.5</v>
      </c>
      <c r="AA512" s="161">
        <v>0.6</v>
      </c>
      <c r="AB512" s="161">
        <v>0.7</v>
      </c>
      <c r="AC512" s="11"/>
      <c r="AD512" s="11"/>
      <c r="AE512" s="11"/>
      <c r="AF512" s="11"/>
      <c r="AG512" s="11"/>
      <c r="AH512" s="11"/>
      <c r="AI512" s="274" t="s">
        <v>1223</v>
      </c>
      <c r="AJ512" s="734">
        <f>+(0.01*100)/2</f>
        <v>0.5</v>
      </c>
      <c r="AK512" s="734">
        <f>+AJ512*C4</f>
        <v>0.05</v>
      </c>
      <c r="AL512" s="734">
        <v>0.45</v>
      </c>
      <c r="AM512" s="734">
        <v>0</v>
      </c>
      <c r="AN512" s="734">
        <v>0</v>
      </c>
      <c r="AO512" s="155" t="s">
        <v>1296</v>
      </c>
      <c r="AP512" s="735" t="s">
        <v>202</v>
      </c>
      <c r="AQ512" s="155" t="s">
        <v>87</v>
      </c>
      <c r="AR512" s="162">
        <v>0</v>
      </c>
      <c r="AS512" s="162">
        <v>2</v>
      </c>
      <c r="AT512" s="162">
        <v>1</v>
      </c>
      <c r="AU512" s="162">
        <v>1</v>
      </c>
      <c r="AV512" s="162">
        <v>0</v>
      </c>
      <c r="AW512" s="162">
        <v>0</v>
      </c>
      <c r="AX512" s="162">
        <v>2</v>
      </c>
      <c r="AY512" s="289">
        <v>100000000</v>
      </c>
      <c r="AZ512" s="289">
        <v>0</v>
      </c>
      <c r="BA512" s="289">
        <v>0</v>
      </c>
      <c r="BB512" s="289">
        <v>0</v>
      </c>
      <c r="BC512" s="737">
        <f t="shared" si="104"/>
        <v>100000000</v>
      </c>
      <c r="BD512" s="155" t="s">
        <v>131</v>
      </c>
      <c r="BE512" s="155" t="s">
        <v>132</v>
      </c>
    </row>
    <row r="513" spans="1:57" ht="22.5">
      <c r="A513" s="11"/>
      <c r="B513" s="11"/>
      <c r="C513" s="11"/>
      <c r="D513" s="11"/>
      <c r="E513" s="11"/>
      <c r="F513" s="11"/>
      <c r="G513" s="11"/>
      <c r="H513" s="11"/>
      <c r="I513" s="738"/>
      <c r="J513" s="738"/>
      <c r="K513" s="738"/>
      <c r="L513" s="738"/>
      <c r="M513" s="738"/>
      <c r="N513" s="11"/>
      <c r="O513" s="368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274" t="s">
        <v>1224</v>
      </c>
      <c r="AJ513" s="734">
        <f>+(0.2*100)/2</f>
        <v>10</v>
      </c>
      <c r="AK513" s="734">
        <v>0</v>
      </c>
      <c r="AL513" s="734">
        <v>0</v>
      </c>
      <c r="AM513" s="734">
        <v>8</v>
      </c>
      <c r="AN513" s="734">
        <f>+AJ513*F4</f>
        <v>2</v>
      </c>
      <c r="AO513" s="155" t="s">
        <v>1297</v>
      </c>
      <c r="AP513" s="735" t="s">
        <v>202</v>
      </c>
      <c r="AQ513" s="155" t="s">
        <v>87</v>
      </c>
      <c r="AR513" s="162">
        <v>0</v>
      </c>
      <c r="AS513" s="162">
        <v>6</v>
      </c>
      <c r="AT513" s="162">
        <v>0</v>
      </c>
      <c r="AU513" s="162">
        <v>0</v>
      </c>
      <c r="AV513" s="162">
        <v>3</v>
      </c>
      <c r="AW513" s="162">
        <v>3</v>
      </c>
      <c r="AX513" s="162">
        <v>6</v>
      </c>
      <c r="AY513" s="289">
        <v>0</v>
      </c>
      <c r="AZ513" s="289">
        <v>0</v>
      </c>
      <c r="BA513" s="289">
        <v>40000000</v>
      </c>
      <c r="BB513" s="289">
        <v>50000000</v>
      </c>
      <c r="BC513" s="737">
        <f t="shared" si="104"/>
        <v>90000000</v>
      </c>
      <c r="BD513" s="155" t="s">
        <v>131</v>
      </c>
      <c r="BE513" s="155" t="s">
        <v>132</v>
      </c>
    </row>
    <row r="514" spans="1:57" ht="33.75">
      <c r="A514" s="11"/>
      <c r="B514" s="11"/>
      <c r="C514" s="11"/>
      <c r="D514" s="11"/>
      <c r="E514" s="11"/>
      <c r="F514" s="11"/>
      <c r="G514" s="11"/>
      <c r="H514" s="11"/>
      <c r="I514" s="738"/>
      <c r="J514" s="738"/>
      <c r="K514" s="738"/>
      <c r="L514" s="738"/>
      <c r="M514" s="738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274" t="s">
        <v>1225</v>
      </c>
      <c r="AJ514" s="734">
        <f>+(0.21*100)/2</f>
        <v>10.5</v>
      </c>
      <c r="AK514" s="734">
        <v>0</v>
      </c>
      <c r="AL514" s="734">
        <v>0</v>
      </c>
      <c r="AM514" s="734">
        <v>8.4</v>
      </c>
      <c r="AN514" s="734">
        <f>+AJ514*F4</f>
        <v>2.1</v>
      </c>
      <c r="AO514" s="155" t="s">
        <v>1298</v>
      </c>
      <c r="AP514" s="735" t="s">
        <v>202</v>
      </c>
      <c r="AQ514" s="155" t="s">
        <v>87</v>
      </c>
      <c r="AR514" s="162" t="s">
        <v>872</v>
      </c>
      <c r="AS514" s="162">
        <v>2</v>
      </c>
      <c r="AT514" s="162">
        <v>0</v>
      </c>
      <c r="AU514" s="162">
        <v>0</v>
      </c>
      <c r="AV514" s="162">
        <v>1</v>
      </c>
      <c r="AW514" s="162">
        <v>1</v>
      </c>
      <c r="AX514" s="162">
        <v>2</v>
      </c>
      <c r="AY514" s="289">
        <v>0</v>
      </c>
      <c r="AZ514" s="289">
        <v>0</v>
      </c>
      <c r="BA514" s="289">
        <v>40000000</v>
      </c>
      <c r="BB514" s="289">
        <v>50000000</v>
      </c>
      <c r="BC514" s="737">
        <f t="shared" si="104"/>
        <v>90000000</v>
      </c>
      <c r="BD514" s="155" t="s">
        <v>131</v>
      </c>
      <c r="BE514" s="155" t="s">
        <v>132</v>
      </c>
    </row>
    <row r="515" spans="1:57" ht="22.5">
      <c r="A515" s="11"/>
      <c r="B515" s="11"/>
      <c r="C515" s="11"/>
      <c r="D515" s="11"/>
      <c r="E515" s="11"/>
      <c r="F515" s="11"/>
      <c r="G515" s="11"/>
      <c r="H515" s="11"/>
      <c r="I515" s="738"/>
      <c r="J515" s="738"/>
      <c r="K515" s="738"/>
      <c r="L515" s="738"/>
      <c r="M515" s="738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274" t="s">
        <v>1226</v>
      </c>
      <c r="AJ515" s="734">
        <f>+(0.01*100)/2</f>
        <v>0.5</v>
      </c>
      <c r="AK515" s="734">
        <f>+AJ515</f>
        <v>0.5</v>
      </c>
      <c r="AL515" s="734">
        <v>0</v>
      </c>
      <c r="AM515" s="734">
        <v>0</v>
      </c>
      <c r="AN515" s="734">
        <v>0</v>
      </c>
      <c r="AO515" s="155" t="s">
        <v>1299</v>
      </c>
      <c r="AP515" s="735" t="s">
        <v>202</v>
      </c>
      <c r="AQ515" s="155" t="s">
        <v>87</v>
      </c>
      <c r="AR515" s="162" t="s">
        <v>872</v>
      </c>
      <c r="AS515" s="162">
        <v>1</v>
      </c>
      <c r="AT515" s="162">
        <v>1</v>
      </c>
      <c r="AU515" s="162">
        <v>0</v>
      </c>
      <c r="AV515" s="162">
        <v>0</v>
      </c>
      <c r="AW515" s="162">
        <v>0</v>
      </c>
      <c r="AX515" s="162">
        <v>1</v>
      </c>
      <c r="AY515" s="289">
        <v>50000000</v>
      </c>
      <c r="AZ515" s="289">
        <v>0</v>
      </c>
      <c r="BA515" s="289">
        <v>0</v>
      </c>
      <c r="BB515" s="289">
        <v>0</v>
      </c>
      <c r="BC515" s="737">
        <f t="shared" si="104"/>
        <v>50000000</v>
      </c>
      <c r="BD515" s="155" t="s">
        <v>131</v>
      </c>
      <c r="BE515" s="155" t="s">
        <v>132</v>
      </c>
    </row>
    <row r="516" spans="1:57" ht="33.75">
      <c r="A516" s="12"/>
      <c r="B516" s="12"/>
      <c r="C516" s="12"/>
      <c r="D516" s="12"/>
      <c r="E516" s="12"/>
      <c r="F516" s="12"/>
      <c r="G516" s="12"/>
      <c r="H516" s="12"/>
      <c r="I516" s="746"/>
      <c r="J516" s="746"/>
      <c r="K516" s="746"/>
      <c r="L516" s="746"/>
      <c r="M516" s="746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274" t="s">
        <v>1227</v>
      </c>
      <c r="AJ516" s="734">
        <f>+(0.052*100)/2</f>
        <v>2.6</v>
      </c>
      <c r="AK516" s="734">
        <f>+AJ516</f>
        <v>2.6</v>
      </c>
      <c r="AL516" s="734">
        <v>0</v>
      </c>
      <c r="AM516" s="734">
        <v>0</v>
      </c>
      <c r="AN516" s="734">
        <v>0</v>
      </c>
      <c r="AO516" s="155" t="s">
        <v>1300</v>
      </c>
      <c r="AP516" s="735" t="s">
        <v>202</v>
      </c>
      <c r="AQ516" s="155" t="s">
        <v>88</v>
      </c>
      <c r="AR516" s="162" t="s">
        <v>872</v>
      </c>
      <c r="AS516" s="162">
        <v>1</v>
      </c>
      <c r="AT516" s="162">
        <v>1</v>
      </c>
      <c r="AU516" s="162">
        <v>0</v>
      </c>
      <c r="AV516" s="162">
        <v>0</v>
      </c>
      <c r="AW516" s="162">
        <v>0</v>
      </c>
      <c r="AX516" s="162">
        <v>1</v>
      </c>
      <c r="AY516" s="289">
        <v>122629512</v>
      </c>
      <c r="AZ516" s="289">
        <v>50000000</v>
      </c>
      <c r="BA516" s="289">
        <v>0</v>
      </c>
      <c r="BB516" s="289">
        <v>0</v>
      </c>
      <c r="BC516" s="737">
        <f t="shared" si="104"/>
        <v>172629512</v>
      </c>
      <c r="BD516" s="155" t="s">
        <v>131</v>
      </c>
      <c r="BE516" s="155" t="s">
        <v>132</v>
      </c>
    </row>
    <row r="517" spans="1:57">
      <c r="A517" s="174"/>
      <c r="B517" s="174"/>
      <c r="C517" s="174"/>
      <c r="D517" s="174"/>
      <c r="E517" s="174"/>
      <c r="F517" s="174"/>
      <c r="G517" s="174"/>
      <c r="H517" s="174"/>
      <c r="I517" s="174"/>
      <c r="J517" s="174"/>
      <c r="K517" s="174"/>
      <c r="L517" s="174"/>
      <c r="M517" s="174"/>
      <c r="N517" s="174"/>
      <c r="O517" s="174"/>
      <c r="P517" s="174"/>
      <c r="Q517" s="174"/>
      <c r="R517" s="174"/>
      <c r="S517" s="174"/>
      <c r="T517" s="174"/>
      <c r="U517" s="174"/>
      <c r="V517" s="174"/>
      <c r="W517" s="174"/>
      <c r="X517" s="174"/>
      <c r="Y517" s="174"/>
      <c r="Z517" s="174"/>
      <c r="AA517" s="174"/>
      <c r="AB517" s="174"/>
      <c r="AC517" s="349" t="s">
        <v>1453</v>
      </c>
      <c r="AD517" s="174"/>
      <c r="AE517" s="174"/>
      <c r="AF517" s="174"/>
      <c r="AG517" s="174"/>
      <c r="AH517" s="174"/>
      <c r="AI517" s="290"/>
      <c r="AJ517" s="441">
        <f>SUM(AJ506:AJ516)</f>
        <v>100.002</v>
      </c>
      <c r="AK517" s="441"/>
      <c r="AL517" s="441"/>
      <c r="AM517" s="441"/>
      <c r="AN517" s="441"/>
      <c r="AO517" s="174"/>
      <c r="AP517" s="186"/>
      <c r="AQ517" s="290"/>
      <c r="AR517" s="299"/>
      <c r="AS517" s="290"/>
      <c r="AT517" s="299"/>
      <c r="AU517" s="299"/>
      <c r="AV517" s="299"/>
      <c r="AW517" s="299"/>
      <c r="AX517" s="290"/>
      <c r="AY517" s="291">
        <v>2122629512</v>
      </c>
      <c r="AZ517" s="291">
        <v>1175000000</v>
      </c>
      <c r="BA517" s="291">
        <v>2847850000</v>
      </c>
      <c r="BB517" s="291">
        <v>100000000</v>
      </c>
      <c r="BC517" s="291">
        <f t="shared" si="104"/>
        <v>6245479512</v>
      </c>
      <c r="BD517" s="290"/>
      <c r="BE517" s="290"/>
    </row>
    <row r="518" spans="1:57">
      <c r="A518" s="91"/>
      <c r="B518" s="91"/>
      <c r="C518" s="91"/>
      <c r="D518" s="91"/>
      <c r="E518" s="91"/>
      <c r="F518" s="91"/>
      <c r="G518" s="91"/>
      <c r="H518" s="91" t="s">
        <v>85</v>
      </c>
      <c r="I518" s="387">
        <f>+I423</f>
        <v>100</v>
      </c>
      <c r="J518" s="91"/>
      <c r="K518" s="91"/>
      <c r="L518" s="91"/>
      <c r="M518" s="91"/>
      <c r="N518" s="91"/>
      <c r="O518" s="413">
        <f>SUM(O423:O517)</f>
        <v>99.999999999999986</v>
      </c>
      <c r="P518" s="91"/>
      <c r="Q518" s="91"/>
      <c r="R518" s="91"/>
      <c r="S518" s="91"/>
      <c r="T518" s="91"/>
      <c r="U518" s="91"/>
      <c r="V518" s="91"/>
      <c r="W518" s="91"/>
      <c r="X518" s="91"/>
      <c r="Y518" s="91"/>
      <c r="Z518" s="91"/>
      <c r="AA518" s="91"/>
      <c r="AB518" s="91"/>
      <c r="AC518" s="91"/>
      <c r="AD518" s="414">
        <f>SUM(AD423:AD517)</f>
        <v>100.00000000000003</v>
      </c>
      <c r="AE518" s="91"/>
      <c r="AF518" s="91"/>
      <c r="AG518" s="91"/>
      <c r="AH518" s="91"/>
      <c r="AI518" s="91"/>
      <c r="AJ518" s="308"/>
      <c r="AK518" s="308"/>
      <c r="AL518" s="308"/>
      <c r="AM518" s="308"/>
      <c r="AN518" s="308"/>
      <c r="AO518" s="91"/>
      <c r="AP518" s="355"/>
      <c r="AQ518" s="91"/>
      <c r="AR518" s="91"/>
      <c r="AS518" s="91"/>
      <c r="AT518" s="91"/>
      <c r="AU518" s="91"/>
      <c r="AV518" s="91"/>
      <c r="AW518" s="91"/>
      <c r="AX518" s="91"/>
      <c r="AY518" s="310">
        <f>+AY517+AY505+AY487+AY479+AY468+AY458+AY441</f>
        <v>54749998781.540001</v>
      </c>
      <c r="AZ518" s="310">
        <f t="shared" ref="AZ518:BC518" si="107">+AZ517+AZ505+AZ487+AZ479+AZ468+AZ458+AZ441</f>
        <v>18738610245.959999</v>
      </c>
      <c r="BA518" s="310">
        <f t="shared" si="107"/>
        <v>26922905000</v>
      </c>
      <c r="BB518" s="310">
        <f t="shared" si="107"/>
        <v>27607316243</v>
      </c>
      <c r="BC518" s="310">
        <f t="shared" si="107"/>
        <v>128018830270.5</v>
      </c>
      <c r="BD518" s="91"/>
      <c r="BE518" s="91"/>
    </row>
    <row r="519" spans="1:57">
      <c r="A519" s="297" t="s">
        <v>176</v>
      </c>
      <c r="B519" s="297">
        <f>+B423</f>
        <v>15</v>
      </c>
      <c r="C519" s="297"/>
      <c r="D519" s="297"/>
      <c r="E519" s="297"/>
      <c r="F519" s="297"/>
      <c r="G519" s="297"/>
      <c r="H519" s="297"/>
      <c r="I519" s="297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  <c r="AD519" s="297"/>
      <c r="AE519" s="297"/>
      <c r="AF519" s="297"/>
      <c r="AG519" s="297"/>
      <c r="AH519" s="297"/>
      <c r="AI519" s="297"/>
      <c r="AJ519" s="309"/>
      <c r="AK519" s="309"/>
      <c r="AL519" s="309"/>
      <c r="AM519" s="309"/>
      <c r="AN519" s="309"/>
      <c r="AO519" s="297"/>
      <c r="AP519" s="356"/>
      <c r="AQ519" s="297"/>
      <c r="AR519" s="297"/>
      <c r="AS519" s="297"/>
      <c r="AT519" s="297"/>
      <c r="AU519" s="297"/>
      <c r="AV519" s="297"/>
      <c r="AW519" s="297"/>
      <c r="AX519" s="297"/>
      <c r="AY519" s="311">
        <f>+AY518</f>
        <v>54749998781.540001</v>
      </c>
      <c r="AZ519" s="311">
        <f t="shared" ref="AZ519:BC519" si="108">+AZ518</f>
        <v>18738610245.959999</v>
      </c>
      <c r="BA519" s="311">
        <f t="shared" si="108"/>
        <v>26922905000</v>
      </c>
      <c r="BB519" s="311">
        <f t="shared" si="108"/>
        <v>27607316243</v>
      </c>
      <c r="BC519" s="311">
        <f t="shared" si="108"/>
        <v>128018830270.5</v>
      </c>
      <c r="BD519" s="297"/>
      <c r="BE519" s="297"/>
    </row>
    <row r="520" spans="1:57" ht="63" customHeight="1">
      <c r="A520" s="750" t="s">
        <v>1311</v>
      </c>
      <c r="B520" s="751">
        <v>14</v>
      </c>
      <c r="C520" s="750">
        <f>+B520*C4</f>
        <v>1.4000000000000001</v>
      </c>
      <c r="D520" s="750">
        <f>+B520*D4</f>
        <v>6.3</v>
      </c>
      <c r="E520" s="750">
        <f>+B520*E4</f>
        <v>3.5</v>
      </c>
      <c r="F520" s="750">
        <f>+B520*F4</f>
        <v>2.8000000000000003</v>
      </c>
      <c r="G520" s="750" t="s">
        <v>1312</v>
      </c>
      <c r="H520" s="752" t="s">
        <v>1322</v>
      </c>
      <c r="I520" s="753">
        <f>+(6*100)/14</f>
        <v>42.857142857142854</v>
      </c>
      <c r="J520" s="754">
        <f>+I520*C4</f>
        <v>4.2857142857142856</v>
      </c>
      <c r="K520" s="754">
        <f>+I520*D4</f>
        <v>19.285714285714285</v>
      </c>
      <c r="L520" s="754">
        <f>+I520*E4</f>
        <v>10.714285714285714</v>
      </c>
      <c r="M520" s="754">
        <f>+I520*F4</f>
        <v>8.5714285714285712</v>
      </c>
      <c r="N520" s="757" t="s">
        <v>1313</v>
      </c>
      <c r="O520" s="754">
        <f>+(1*100)/6</f>
        <v>16.666666666666668</v>
      </c>
      <c r="P520" s="754">
        <f>+O520*C4</f>
        <v>1.666666666666667</v>
      </c>
      <c r="Q520" s="754">
        <f>+O520*D4</f>
        <v>7.5000000000000009</v>
      </c>
      <c r="R520" s="754">
        <f>+O520*E4</f>
        <v>4.166666666666667</v>
      </c>
      <c r="S520" s="754">
        <f>+O520*F4</f>
        <v>3.3333333333333339</v>
      </c>
      <c r="T520" s="757" t="s">
        <v>1324</v>
      </c>
      <c r="U520" s="757" t="s">
        <v>202</v>
      </c>
      <c r="V520" s="757" t="s">
        <v>88</v>
      </c>
      <c r="W520" s="758" t="s">
        <v>872</v>
      </c>
      <c r="X520" s="759">
        <v>0.7</v>
      </c>
      <c r="Y520" s="759">
        <v>0.7</v>
      </c>
      <c r="Z520" s="759">
        <v>0.7</v>
      </c>
      <c r="AA520" s="759">
        <v>0.7</v>
      </c>
      <c r="AB520" s="759">
        <v>0.7</v>
      </c>
      <c r="AC520" s="752" t="s">
        <v>1335</v>
      </c>
      <c r="AD520" s="760">
        <f>+(2*100)/6</f>
        <v>33.333333333333336</v>
      </c>
      <c r="AE520" s="760">
        <f>+AD520*C4</f>
        <v>3.3333333333333339</v>
      </c>
      <c r="AF520" s="760">
        <f>+AD520*D4</f>
        <v>15.000000000000002</v>
      </c>
      <c r="AG520" s="760">
        <f>+AD520*E4</f>
        <v>8.3333333333333339</v>
      </c>
      <c r="AH520" s="760">
        <f>+AD520*F4</f>
        <v>6.6666666666666679</v>
      </c>
      <c r="AI520" s="766" t="s">
        <v>1342</v>
      </c>
      <c r="AJ520" s="767">
        <f>+(0.081*100)/2</f>
        <v>4.05</v>
      </c>
      <c r="AK520" s="767">
        <f>+AJ520*C4</f>
        <v>0.40500000000000003</v>
      </c>
      <c r="AL520" s="767">
        <v>3.65</v>
      </c>
      <c r="AM520" s="767">
        <v>0</v>
      </c>
      <c r="AN520" s="767">
        <v>0</v>
      </c>
      <c r="AO520" s="766" t="s">
        <v>1397</v>
      </c>
      <c r="AP520" s="758" t="s">
        <v>202</v>
      </c>
      <c r="AQ520" s="757" t="s">
        <v>87</v>
      </c>
      <c r="AR520" s="758">
        <v>0</v>
      </c>
      <c r="AS520" s="768">
        <v>1</v>
      </c>
      <c r="AT520" s="758">
        <v>1</v>
      </c>
      <c r="AU520" s="758">
        <v>1</v>
      </c>
      <c r="AV520" s="758">
        <v>0</v>
      </c>
      <c r="AW520" s="758">
        <v>0</v>
      </c>
      <c r="AX520" s="768">
        <v>1</v>
      </c>
      <c r="AY520" s="769">
        <v>150000000</v>
      </c>
      <c r="AZ520" s="769">
        <v>50000000</v>
      </c>
      <c r="BA520" s="769">
        <v>0</v>
      </c>
      <c r="BB520" s="769">
        <v>0</v>
      </c>
      <c r="BC520" s="770">
        <f>SUM(AY520:BB520)</f>
        <v>200000000</v>
      </c>
      <c r="BD520" s="770" t="s">
        <v>130</v>
      </c>
      <c r="BE520" s="770" t="s">
        <v>1444</v>
      </c>
    </row>
    <row r="521" spans="1:57" ht="56.25">
      <c r="A521" s="755"/>
      <c r="B521" s="755"/>
      <c r="C521" s="755"/>
      <c r="D521" s="755"/>
      <c r="E521" s="755"/>
      <c r="F521" s="755"/>
      <c r="G521" s="755"/>
      <c r="H521" s="750"/>
      <c r="I521" s="756"/>
      <c r="J521" s="755"/>
      <c r="K521" s="755"/>
      <c r="L521" s="755"/>
      <c r="M521" s="755"/>
      <c r="N521" s="750" t="s">
        <v>1314</v>
      </c>
      <c r="O521" s="760">
        <f>+(1*100)/6</f>
        <v>16.666666666666668</v>
      </c>
      <c r="P521" s="760">
        <f>+O521*C4</f>
        <v>1.666666666666667</v>
      </c>
      <c r="Q521" s="760">
        <f>+O521*D4</f>
        <v>7.5000000000000009</v>
      </c>
      <c r="R521" s="760">
        <f>+O521*E4</f>
        <v>4.166666666666667</v>
      </c>
      <c r="S521" s="760">
        <f>+O521*F4</f>
        <v>3.3333333333333339</v>
      </c>
      <c r="T521" s="750" t="s">
        <v>1325</v>
      </c>
      <c r="U521" s="750" t="s">
        <v>202</v>
      </c>
      <c r="V521" s="750" t="s">
        <v>88</v>
      </c>
      <c r="W521" s="761">
        <v>0.61209999999999998</v>
      </c>
      <c r="X521" s="761">
        <v>1</v>
      </c>
      <c r="Y521" s="761">
        <v>0.65</v>
      </c>
      <c r="Z521" s="761">
        <v>0.85</v>
      </c>
      <c r="AA521" s="761">
        <v>0.95</v>
      </c>
      <c r="AB521" s="761">
        <v>1</v>
      </c>
      <c r="AC521" s="750"/>
      <c r="AD521" s="765"/>
      <c r="AE521" s="765"/>
      <c r="AF521" s="765"/>
      <c r="AG521" s="765"/>
      <c r="AH521" s="765"/>
      <c r="AI521" s="766" t="s">
        <v>1343</v>
      </c>
      <c r="AJ521" s="767">
        <f>+(0.131*100)/2</f>
        <v>6.5500000000000007</v>
      </c>
      <c r="AK521" s="767">
        <v>0</v>
      </c>
      <c r="AL521" s="767">
        <f>+AJ521*0.55</f>
        <v>3.6025000000000005</v>
      </c>
      <c r="AM521" s="767">
        <f>+AJ521*E4</f>
        <v>1.6375000000000002</v>
      </c>
      <c r="AN521" s="767">
        <f>+AJ521*F4</f>
        <v>1.3100000000000003</v>
      </c>
      <c r="AO521" s="766" t="s">
        <v>1398</v>
      </c>
      <c r="AP521" s="758" t="s">
        <v>202</v>
      </c>
      <c r="AQ521" s="757" t="s">
        <v>87</v>
      </c>
      <c r="AR521" s="758">
        <v>0</v>
      </c>
      <c r="AS521" s="768">
        <v>1</v>
      </c>
      <c r="AT521" s="758">
        <v>0</v>
      </c>
      <c r="AU521" s="758">
        <v>1</v>
      </c>
      <c r="AV521" s="758">
        <v>1</v>
      </c>
      <c r="AW521" s="758">
        <v>1</v>
      </c>
      <c r="AX521" s="768">
        <v>1</v>
      </c>
      <c r="AY521" s="769">
        <v>102774390</v>
      </c>
      <c r="AZ521" s="769">
        <v>97225610</v>
      </c>
      <c r="BA521" s="769">
        <v>0</v>
      </c>
      <c r="BB521" s="769">
        <v>0</v>
      </c>
      <c r="BC521" s="770">
        <f t="shared" ref="BC521:BC583" si="109">SUM(AY521:BB521)</f>
        <v>200000000</v>
      </c>
      <c r="BD521" s="770" t="s">
        <v>130</v>
      </c>
      <c r="BE521" s="770" t="s">
        <v>1444</v>
      </c>
    </row>
    <row r="522" spans="1:57" ht="33.75">
      <c r="A522" s="755"/>
      <c r="B522" s="755"/>
      <c r="C522" s="755"/>
      <c r="D522" s="755"/>
      <c r="E522" s="755"/>
      <c r="F522" s="755"/>
      <c r="G522" s="755"/>
      <c r="H522" s="750"/>
      <c r="I522" s="755"/>
      <c r="J522" s="755"/>
      <c r="K522" s="755"/>
      <c r="L522" s="755"/>
      <c r="M522" s="755"/>
      <c r="N522" s="750"/>
      <c r="O522" s="755"/>
      <c r="P522" s="755"/>
      <c r="Q522" s="755"/>
      <c r="R522" s="755"/>
      <c r="S522" s="755"/>
      <c r="T522" s="750"/>
      <c r="U522" s="755"/>
      <c r="V522" s="755"/>
      <c r="W522" s="751"/>
      <c r="X522" s="751"/>
      <c r="Y522" s="755"/>
      <c r="Z522" s="755"/>
      <c r="AA522" s="755"/>
      <c r="AB522" s="755"/>
      <c r="AC522" s="750"/>
      <c r="AD522" s="765"/>
      <c r="AE522" s="765"/>
      <c r="AF522" s="765"/>
      <c r="AG522" s="765"/>
      <c r="AH522" s="765"/>
      <c r="AI522" s="766" t="s">
        <v>1344</v>
      </c>
      <c r="AJ522" s="767">
        <f>+(0.08*100)/2</f>
        <v>4</v>
      </c>
      <c r="AK522" s="767">
        <v>0</v>
      </c>
      <c r="AL522" s="767">
        <v>0</v>
      </c>
      <c r="AM522" s="767">
        <v>0</v>
      </c>
      <c r="AN522" s="767">
        <f>+AJ522</f>
        <v>4</v>
      </c>
      <c r="AO522" s="766" t="s">
        <v>1115</v>
      </c>
      <c r="AP522" s="758" t="s">
        <v>202</v>
      </c>
      <c r="AQ522" s="757" t="s">
        <v>87</v>
      </c>
      <c r="AR522" s="758">
        <v>0</v>
      </c>
      <c r="AS522" s="768">
        <v>1</v>
      </c>
      <c r="AT522" s="758">
        <v>0</v>
      </c>
      <c r="AU522" s="758">
        <v>0</v>
      </c>
      <c r="AV522" s="758">
        <v>0</v>
      </c>
      <c r="AW522" s="758">
        <v>1</v>
      </c>
      <c r="AX522" s="768">
        <v>1</v>
      </c>
      <c r="AY522" s="769">
        <v>0</v>
      </c>
      <c r="AZ522" s="769">
        <v>0</v>
      </c>
      <c r="BA522" s="769">
        <v>0</v>
      </c>
      <c r="BB522" s="769">
        <v>0</v>
      </c>
      <c r="BC522" s="770">
        <f t="shared" si="109"/>
        <v>0</v>
      </c>
      <c r="BD522" s="770" t="s">
        <v>130</v>
      </c>
      <c r="BE522" s="770" t="s">
        <v>1444</v>
      </c>
    </row>
    <row r="523" spans="1:57" ht="33.75">
      <c r="A523" s="755"/>
      <c r="B523" s="755"/>
      <c r="C523" s="755"/>
      <c r="D523" s="755"/>
      <c r="E523" s="755"/>
      <c r="F523" s="755"/>
      <c r="G523" s="755"/>
      <c r="H523" s="750"/>
      <c r="I523" s="755"/>
      <c r="J523" s="755"/>
      <c r="K523" s="755"/>
      <c r="L523" s="755"/>
      <c r="M523" s="755"/>
      <c r="N523" s="750"/>
      <c r="O523" s="755"/>
      <c r="P523" s="755"/>
      <c r="Q523" s="755"/>
      <c r="R523" s="755"/>
      <c r="S523" s="755"/>
      <c r="T523" s="750"/>
      <c r="U523" s="755"/>
      <c r="V523" s="755"/>
      <c r="W523" s="751"/>
      <c r="X523" s="751"/>
      <c r="Y523" s="755"/>
      <c r="Z523" s="755"/>
      <c r="AA523" s="755"/>
      <c r="AB523" s="755"/>
      <c r="AC523" s="750"/>
      <c r="AD523" s="765"/>
      <c r="AE523" s="765"/>
      <c r="AF523" s="765"/>
      <c r="AG523" s="765"/>
      <c r="AH523" s="765"/>
      <c r="AI523" s="766" t="s">
        <v>1345</v>
      </c>
      <c r="AJ523" s="767">
        <f>+(0.1*100)/2</f>
        <v>5</v>
      </c>
      <c r="AK523" s="767">
        <f>+AJ523*C4</f>
        <v>0.5</v>
      </c>
      <c r="AL523" s="767">
        <v>4.5</v>
      </c>
      <c r="AM523" s="767">
        <v>0</v>
      </c>
      <c r="AN523" s="767">
        <v>0</v>
      </c>
      <c r="AO523" s="766" t="s">
        <v>1399</v>
      </c>
      <c r="AP523" s="758" t="s">
        <v>202</v>
      </c>
      <c r="AQ523" s="757" t="s">
        <v>87</v>
      </c>
      <c r="AR523" s="758">
        <v>0</v>
      </c>
      <c r="AS523" s="768">
        <v>1</v>
      </c>
      <c r="AT523" s="758">
        <v>1</v>
      </c>
      <c r="AU523" s="758">
        <v>1</v>
      </c>
      <c r="AV523" s="758">
        <v>0</v>
      </c>
      <c r="AW523" s="758">
        <v>0</v>
      </c>
      <c r="AX523" s="768">
        <v>1</v>
      </c>
      <c r="AY523" s="769">
        <v>100000000</v>
      </c>
      <c r="AZ523" s="769">
        <v>50000000</v>
      </c>
      <c r="BA523" s="769">
        <v>0</v>
      </c>
      <c r="BB523" s="769">
        <v>0</v>
      </c>
      <c r="BC523" s="770">
        <f t="shared" si="109"/>
        <v>150000000</v>
      </c>
      <c r="BD523" s="770" t="s">
        <v>130</v>
      </c>
      <c r="BE523" s="770" t="s">
        <v>1444</v>
      </c>
    </row>
    <row r="524" spans="1:57" ht="22.5">
      <c r="A524" s="755"/>
      <c r="B524" s="755"/>
      <c r="C524" s="755"/>
      <c r="D524" s="755"/>
      <c r="E524" s="755"/>
      <c r="F524" s="755"/>
      <c r="G524" s="755"/>
      <c r="H524" s="750"/>
      <c r="I524" s="755"/>
      <c r="J524" s="755"/>
      <c r="K524" s="755"/>
      <c r="L524" s="755"/>
      <c r="M524" s="755"/>
      <c r="N524" s="750"/>
      <c r="O524" s="755"/>
      <c r="P524" s="755"/>
      <c r="Q524" s="755"/>
      <c r="R524" s="755"/>
      <c r="S524" s="755"/>
      <c r="T524" s="750"/>
      <c r="U524" s="755"/>
      <c r="V524" s="755"/>
      <c r="W524" s="751"/>
      <c r="X524" s="751"/>
      <c r="Y524" s="755"/>
      <c r="Z524" s="755"/>
      <c r="AA524" s="755"/>
      <c r="AB524" s="755"/>
      <c r="AC524" s="750"/>
      <c r="AD524" s="765"/>
      <c r="AE524" s="765"/>
      <c r="AF524" s="765"/>
      <c r="AG524" s="765"/>
      <c r="AH524" s="765"/>
      <c r="AI524" s="766" t="s">
        <v>1346</v>
      </c>
      <c r="AJ524" s="767">
        <f>+(0.37*100)/2</f>
        <v>18.5</v>
      </c>
      <c r="AK524" s="767">
        <f>+AJ524*C4</f>
        <v>1.85</v>
      </c>
      <c r="AL524" s="767">
        <f>+AJ524*D4</f>
        <v>8.3250000000000011</v>
      </c>
      <c r="AM524" s="767">
        <f>+AJ524*E4</f>
        <v>4.625</v>
      </c>
      <c r="AN524" s="767">
        <f>+AJ524*F4</f>
        <v>3.7</v>
      </c>
      <c r="AO524" s="766" t="s">
        <v>82</v>
      </c>
      <c r="AP524" s="758" t="s">
        <v>202</v>
      </c>
      <c r="AQ524" s="757" t="s">
        <v>87</v>
      </c>
      <c r="AR524" s="758">
        <v>0</v>
      </c>
      <c r="AS524" s="768">
        <v>1</v>
      </c>
      <c r="AT524" s="758">
        <v>1</v>
      </c>
      <c r="AU524" s="758">
        <v>1</v>
      </c>
      <c r="AV524" s="758">
        <v>1</v>
      </c>
      <c r="AW524" s="758">
        <v>1</v>
      </c>
      <c r="AX524" s="768">
        <v>1</v>
      </c>
      <c r="AY524" s="769">
        <v>311022729.80000001</v>
      </c>
      <c r="AZ524" s="769">
        <v>200000000</v>
      </c>
      <c r="BA524" s="769">
        <v>118977270.2</v>
      </c>
      <c r="BB524" s="769">
        <v>222636937.69999999</v>
      </c>
      <c r="BC524" s="770">
        <f t="shared" si="109"/>
        <v>852636937.70000005</v>
      </c>
      <c r="BD524" s="770" t="s">
        <v>130</v>
      </c>
      <c r="BE524" s="770" t="s">
        <v>1444</v>
      </c>
    </row>
    <row r="525" spans="1:57" ht="33.75">
      <c r="A525" s="755"/>
      <c r="B525" s="755"/>
      <c r="C525" s="755"/>
      <c r="D525" s="755"/>
      <c r="E525" s="755"/>
      <c r="F525" s="755"/>
      <c r="G525" s="755"/>
      <c r="H525" s="750"/>
      <c r="I525" s="755"/>
      <c r="J525" s="755"/>
      <c r="K525" s="755"/>
      <c r="L525" s="755"/>
      <c r="M525" s="755"/>
      <c r="N525" s="750"/>
      <c r="O525" s="755"/>
      <c r="P525" s="755"/>
      <c r="Q525" s="755"/>
      <c r="R525" s="755"/>
      <c r="S525" s="755"/>
      <c r="T525" s="750"/>
      <c r="U525" s="755"/>
      <c r="V525" s="755"/>
      <c r="W525" s="751"/>
      <c r="X525" s="751"/>
      <c r="Y525" s="755"/>
      <c r="Z525" s="755"/>
      <c r="AA525" s="755"/>
      <c r="AB525" s="755"/>
      <c r="AC525" s="750"/>
      <c r="AD525" s="765"/>
      <c r="AE525" s="765"/>
      <c r="AF525" s="765"/>
      <c r="AG525" s="765"/>
      <c r="AH525" s="765"/>
      <c r="AI525" s="766" t="s">
        <v>1347</v>
      </c>
      <c r="AJ525" s="767">
        <f>+(0.092*100)/2</f>
        <v>4.5999999999999996</v>
      </c>
      <c r="AK525" s="767">
        <f>+AJ525*C4</f>
        <v>0.45999999999999996</v>
      </c>
      <c r="AL525" s="767">
        <f>+AJ525*D4</f>
        <v>2.0699999999999998</v>
      </c>
      <c r="AM525" s="767">
        <f>+AJ525*E4</f>
        <v>1.1499999999999999</v>
      </c>
      <c r="AN525" s="767">
        <f>+AJ525*F4</f>
        <v>0.91999999999999993</v>
      </c>
      <c r="AO525" s="766" t="s">
        <v>1400</v>
      </c>
      <c r="AP525" s="758" t="s">
        <v>202</v>
      </c>
      <c r="AQ525" s="757" t="s">
        <v>88</v>
      </c>
      <c r="AR525" s="758" t="s">
        <v>872</v>
      </c>
      <c r="AS525" s="759">
        <v>1</v>
      </c>
      <c r="AT525" s="771">
        <v>0.1</v>
      </c>
      <c r="AU525" s="771">
        <v>0.3</v>
      </c>
      <c r="AV525" s="771">
        <v>0.3</v>
      </c>
      <c r="AW525" s="771">
        <v>0.3</v>
      </c>
      <c r="AX525" s="759">
        <v>1</v>
      </c>
      <c r="AY525" s="769">
        <v>150000000</v>
      </c>
      <c r="AZ525" s="769">
        <v>50000000</v>
      </c>
      <c r="BA525" s="769">
        <v>0</v>
      </c>
      <c r="BB525" s="769">
        <v>26640000</v>
      </c>
      <c r="BC525" s="770">
        <f t="shared" si="109"/>
        <v>226640000</v>
      </c>
      <c r="BD525" s="770" t="s">
        <v>130</v>
      </c>
      <c r="BE525" s="770" t="s">
        <v>1444</v>
      </c>
    </row>
    <row r="526" spans="1:57" ht="45">
      <c r="A526" s="755"/>
      <c r="B526" s="755"/>
      <c r="C526" s="755"/>
      <c r="D526" s="755"/>
      <c r="E526" s="755"/>
      <c r="F526" s="755"/>
      <c r="G526" s="755"/>
      <c r="H526" s="750"/>
      <c r="I526" s="755"/>
      <c r="J526" s="755"/>
      <c r="K526" s="755"/>
      <c r="L526" s="755"/>
      <c r="M526" s="755"/>
      <c r="N526" s="750"/>
      <c r="O526" s="755"/>
      <c r="P526" s="755"/>
      <c r="Q526" s="755"/>
      <c r="R526" s="755"/>
      <c r="S526" s="755"/>
      <c r="T526" s="750"/>
      <c r="U526" s="755"/>
      <c r="V526" s="755"/>
      <c r="W526" s="751"/>
      <c r="X526" s="751"/>
      <c r="Y526" s="755"/>
      <c r="Z526" s="755"/>
      <c r="AA526" s="755"/>
      <c r="AB526" s="755"/>
      <c r="AC526" s="750"/>
      <c r="AD526" s="765"/>
      <c r="AE526" s="765"/>
      <c r="AF526" s="765"/>
      <c r="AG526" s="765"/>
      <c r="AH526" s="765"/>
      <c r="AI526" s="766" t="s">
        <v>1348</v>
      </c>
      <c r="AJ526" s="767">
        <f>+(0.139*100)/2</f>
        <v>6.9500000000000011</v>
      </c>
      <c r="AK526" s="767">
        <f>+AJ526*C4</f>
        <v>0.69500000000000017</v>
      </c>
      <c r="AL526" s="767">
        <f>+AJ526*D4</f>
        <v>3.1275000000000004</v>
      </c>
      <c r="AM526" s="767">
        <v>3.13</v>
      </c>
      <c r="AN526" s="767">
        <v>0</v>
      </c>
      <c r="AO526" s="766" t="s">
        <v>63</v>
      </c>
      <c r="AP526" s="758" t="s">
        <v>202</v>
      </c>
      <c r="AQ526" s="757" t="s">
        <v>87</v>
      </c>
      <c r="AR526" s="759">
        <v>0.6</v>
      </c>
      <c r="AS526" s="759">
        <v>1</v>
      </c>
      <c r="AT526" s="758">
        <v>1</v>
      </c>
      <c r="AU526" s="758">
        <v>1</v>
      </c>
      <c r="AV526" s="758">
        <v>1</v>
      </c>
      <c r="AW526" s="758">
        <v>1</v>
      </c>
      <c r="AX526" s="759">
        <v>1</v>
      </c>
      <c r="AY526" s="769">
        <v>125000000</v>
      </c>
      <c r="AZ526" s="769">
        <v>65000000</v>
      </c>
      <c r="BA526" s="769">
        <v>60000000</v>
      </c>
      <c r="BB526" s="769">
        <v>0</v>
      </c>
      <c r="BC526" s="770">
        <f t="shared" si="109"/>
        <v>250000000</v>
      </c>
      <c r="BD526" s="770" t="s">
        <v>130</v>
      </c>
      <c r="BE526" s="770" t="s">
        <v>1444</v>
      </c>
    </row>
    <row r="527" spans="1:57" ht="22.5">
      <c r="A527" s="755"/>
      <c r="B527" s="755"/>
      <c r="C527" s="755"/>
      <c r="D527" s="755"/>
      <c r="E527" s="755"/>
      <c r="F527" s="755"/>
      <c r="G527" s="755"/>
      <c r="H527" s="750"/>
      <c r="I527" s="755"/>
      <c r="J527" s="755"/>
      <c r="K527" s="755"/>
      <c r="L527" s="755"/>
      <c r="M527" s="755"/>
      <c r="N527" s="750"/>
      <c r="O527" s="755"/>
      <c r="P527" s="755"/>
      <c r="Q527" s="755"/>
      <c r="R527" s="755"/>
      <c r="S527" s="755"/>
      <c r="T527" s="750"/>
      <c r="U527" s="755"/>
      <c r="V527" s="755"/>
      <c r="W527" s="751"/>
      <c r="X527" s="751"/>
      <c r="Y527" s="755"/>
      <c r="Z527" s="755"/>
      <c r="AA527" s="755"/>
      <c r="AB527" s="755"/>
      <c r="AC527" s="750"/>
      <c r="AD527" s="765"/>
      <c r="AE527" s="765"/>
      <c r="AF527" s="765"/>
      <c r="AG527" s="765"/>
      <c r="AH527" s="765"/>
      <c r="AI527" s="766" t="s">
        <v>1349</v>
      </c>
      <c r="AJ527" s="767">
        <f>+(0.321*100)/2</f>
        <v>16.05</v>
      </c>
      <c r="AK527" s="767">
        <v>0</v>
      </c>
      <c r="AL527" s="767">
        <v>8.83</v>
      </c>
      <c r="AM527" s="767">
        <f>+AJ527*E4</f>
        <v>4.0125000000000002</v>
      </c>
      <c r="AN527" s="767">
        <f>+AJ527*F4</f>
        <v>3.2100000000000004</v>
      </c>
      <c r="AO527" s="766" t="s">
        <v>1401</v>
      </c>
      <c r="AP527" s="758" t="s">
        <v>202</v>
      </c>
      <c r="AQ527" s="757" t="s">
        <v>87</v>
      </c>
      <c r="AR527" s="754">
        <v>0.5</v>
      </c>
      <c r="AS527" s="768">
        <v>1</v>
      </c>
      <c r="AT527" s="758">
        <v>0</v>
      </c>
      <c r="AU527" s="758">
        <v>1</v>
      </c>
      <c r="AV527" s="758">
        <v>1</v>
      </c>
      <c r="AW527" s="758">
        <v>1</v>
      </c>
      <c r="AX527" s="768">
        <v>1</v>
      </c>
      <c r="AY527" s="769">
        <v>250000000</v>
      </c>
      <c r="AZ527" s="769">
        <v>45716828</v>
      </c>
      <c r="BA527" s="769">
        <v>147629512</v>
      </c>
      <c r="BB527" s="769">
        <v>280380000</v>
      </c>
      <c r="BC527" s="770">
        <f t="shared" si="109"/>
        <v>723726340</v>
      </c>
      <c r="BD527" s="770" t="s">
        <v>130</v>
      </c>
      <c r="BE527" s="770" t="s">
        <v>1444</v>
      </c>
    </row>
    <row r="528" spans="1:57" ht="56.25">
      <c r="A528" s="755"/>
      <c r="B528" s="755"/>
      <c r="C528" s="755"/>
      <c r="D528" s="755"/>
      <c r="E528" s="755"/>
      <c r="F528" s="755"/>
      <c r="G528" s="755"/>
      <c r="H528" s="750"/>
      <c r="I528" s="755"/>
      <c r="J528" s="755"/>
      <c r="K528" s="755"/>
      <c r="L528" s="755"/>
      <c r="M528" s="755"/>
      <c r="N528" s="750"/>
      <c r="O528" s="755"/>
      <c r="P528" s="755"/>
      <c r="Q528" s="755"/>
      <c r="R528" s="755"/>
      <c r="S528" s="755"/>
      <c r="T528" s="750"/>
      <c r="U528" s="755"/>
      <c r="V528" s="755"/>
      <c r="W528" s="751"/>
      <c r="X528" s="751"/>
      <c r="Y528" s="755"/>
      <c r="Z528" s="755"/>
      <c r="AA528" s="755"/>
      <c r="AB528" s="755"/>
      <c r="AC528" s="750"/>
      <c r="AD528" s="765"/>
      <c r="AE528" s="765"/>
      <c r="AF528" s="765"/>
      <c r="AG528" s="765"/>
      <c r="AH528" s="765"/>
      <c r="AI528" s="766" t="s">
        <v>1350</v>
      </c>
      <c r="AJ528" s="767">
        <f>+(0.241*100)/2</f>
        <v>12.049999999999999</v>
      </c>
      <c r="AK528" s="767">
        <v>0</v>
      </c>
      <c r="AL528" s="767">
        <f>+AJ528*0.55</f>
        <v>6.6275000000000004</v>
      </c>
      <c r="AM528" s="767">
        <v>0</v>
      </c>
      <c r="AN528" s="767">
        <f>+AJ528</f>
        <v>12.049999999999999</v>
      </c>
      <c r="AO528" s="766" t="s">
        <v>1402</v>
      </c>
      <c r="AP528" s="758" t="s">
        <v>202</v>
      </c>
      <c r="AQ528" s="757" t="s">
        <v>87</v>
      </c>
      <c r="AR528" s="758">
        <v>1</v>
      </c>
      <c r="AS528" s="768">
        <v>1</v>
      </c>
      <c r="AT528" s="758">
        <v>0</v>
      </c>
      <c r="AU528" s="758">
        <v>1</v>
      </c>
      <c r="AV528" s="758">
        <v>1</v>
      </c>
      <c r="AW528" s="758">
        <v>1</v>
      </c>
      <c r="AX528" s="768">
        <v>1</v>
      </c>
      <c r="AY528" s="769">
        <v>145200000</v>
      </c>
      <c r="AZ528" s="769">
        <v>100000000</v>
      </c>
      <c r="BA528" s="769">
        <v>50000000</v>
      </c>
      <c r="BB528" s="769">
        <v>154283172</v>
      </c>
      <c r="BC528" s="770">
        <f t="shared" si="109"/>
        <v>449483172</v>
      </c>
      <c r="BD528" s="770" t="s">
        <v>130</v>
      </c>
      <c r="BE528" s="770" t="s">
        <v>1444</v>
      </c>
    </row>
    <row r="529" spans="1:57" ht="33.75">
      <c r="A529" s="755"/>
      <c r="B529" s="755"/>
      <c r="C529" s="755"/>
      <c r="D529" s="755"/>
      <c r="E529" s="755"/>
      <c r="F529" s="755"/>
      <c r="G529" s="755"/>
      <c r="H529" s="750"/>
      <c r="I529" s="755"/>
      <c r="J529" s="755"/>
      <c r="K529" s="755"/>
      <c r="L529" s="755"/>
      <c r="M529" s="755"/>
      <c r="N529" s="750"/>
      <c r="O529" s="755"/>
      <c r="P529" s="755"/>
      <c r="Q529" s="755"/>
      <c r="R529" s="755"/>
      <c r="S529" s="755"/>
      <c r="T529" s="750"/>
      <c r="U529" s="755"/>
      <c r="V529" s="755"/>
      <c r="W529" s="751"/>
      <c r="X529" s="751"/>
      <c r="Y529" s="755"/>
      <c r="Z529" s="755"/>
      <c r="AA529" s="755"/>
      <c r="AB529" s="755"/>
      <c r="AC529" s="762"/>
      <c r="AD529" s="765"/>
      <c r="AE529" s="765"/>
      <c r="AF529" s="765"/>
      <c r="AG529" s="765"/>
      <c r="AH529" s="765"/>
      <c r="AI529" s="766" t="s">
        <v>1351</v>
      </c>
      <c r="AJ529" s="767">
        <f>+(0.448*100)/2</f>
        <v>22.400000000000002</v>
      </c>
      <c r="AK529" s="767">
        <f>+AJ529*C4</f>
        <v>2.2400000000000002</v>
      </c>
      <c r="AL529" s="767">
        <v>15.68</v>
      </c>
      <c r="AM529" s="767">
        <v>4.4800000000000004</v>
      </c>
      <c r="AN529" s="767">
        <v>0</v>
      </c>
      <c r="AO529" s="766" t="s">
        <v>1403</v>
      </c>
      <c r="AP529" s="758" t="s">
        <v>202</v>
      </c>
      <c r="AQ529" s="757" t="s">
        <v>87</v>
      </c>
      <c r="AR529" s="758">
        <v>21</v>
      </c>
      <c r="AS529" s="758">
        <v>27</v>
      </c>
      <c r="AT529" s="758">
        <v>4</v>
      </c>
      <c r="AU529" s="758">
        <v>1</v>
      </c>
      <c r="AV529" s="758">
        <v>1</v>
      </c>
      <c r="AW529" s="758">
        <v>0</v>
      </c>
      <c r="AX529" s="768">
        <v>6</v>
      </c>
      <c r="AY529" s="769">
        <v>300000000</v>
      </c>
      <c r="AZ529" s="769">
        <v>90000000</v>
      </c>
      <c r="BA529" s="769">
        <v>280000000</v>
      </c>
      <c r="BB529" s="769">
        <v>200000000</v>
      </c>
      <c r="BC529" s="770">
        <f t="shared" si="109"/>
        <v>870000000</v>
      </c>
      <c r="BD529" s="770" t="s">
        <v>130</v>
      </c>
      <c r="BE529" s="770" t="s">
        <v>1444</v>
      </c>
    </row>
    <row r="530" spans="1:57">
      <c r="A530" s="755"/>
      <c r="B530" s="755"/>
      <c r="C530" s="755"/>
      <c r="D530" s="755"/>
      <c r="E530" s="755"/>
      <c r="F530" s="755"/>
      <c r="G530" s="755"/>
      <c r="H530" s="750"/>
      <c r="I530" s="755"/>
      <c r="J530" s="755"/>
      <c r="K530" s="755"/>
      <c r="L530" s="755"/>
      <c r="M530" s="755"/>
      <c r="N530" s="762"/>
      <c r="O530" s="763"/>
      <c r="P530" s="763"/>
      <c r="Q530" s="763"/>
      <c r="R530" s="763"/>
      <c r="S530" s="763"/>
      <c r="T530" s="762"/>
      <c r="U530" s="763"/>
      <c r="V530" s="763"/>
      <c r="W530" s="764"/>
      <c r="X530" s="764"/>
      <c r="Y530" s="763"/>
      <c r="Z530" s="763"/>
      <c r="AA530" s="763"/>
      <c r="AB530" s="763"/>
      <c r="AC530" s="349" t="s">
        <v>1453</v>
      </c>
      <c r="AD530" s="315"/>
      <c r="AE530" s="315"/>
      <c r="AF530" s="315"/>
      <c r="AG530" s="315"/>
      <c r="AH530" s="315"/>
      <c r="AI530" s="314"/>
      <c r="AJ530" s="448">
        <f t="shared" ref="AJ530" si="110">SUM(AJ520:AJ529)</f>
        <v>100.15</v>
      </c>
      <c r="AK530" s="448"/>
      <c r="AL530" s="448"/>
      <c r="AM530" s="448"/>
      <c r="AN530" s="448"/>
      <c r="AO530" s="314"/>
      <c r="AP530" s="320"/>
      <c r="AQ530" s="314"/>
      <c r="AR530" s="320"/>
      <c r="AS530" s="314"/>
      <c r="AT530" s="320"/>
      <c r="AU530" s="320"/>
      <c r="AV530" s="320"/>
      <c r="AW530" s="320"/>
      <c r="AX530" s="314"/>
      <c r="AY530" s="322">
        <v>1633997119.8</v>
      </c>
      <c r="AZ530" s="322">
        <v>747942438</v>
      </c>
      <c r="BA530" s="322">
        <v>656606782.20000005</v>
      </c>
      <c r="BB530" s="322">
        <v>883940109.70000005</v>
      </c>
      <c r="BC530" s="322">
        <f t="shared" si="109"/>
        <v>3922486449.6999998</v>
      </c>
      <c r="BD530" s="321"/>
      <c r="BE530" s="321"/>
    </row>
    <row r="531" spans="1:57" ht="45">
      <c r="A531" s="755"/>
      <c r="B531" s="755"/>
      <c r="C531" s="755"/>
      <c r="D531" s="755"/>
      <c r="E531" s="755"/>
      <c r="F531" s="755"/>
      <c r="G531" s="755"/>
      <c r="H531" s="750"/>
      <c r="I531" s="755"/>
      <c r="J531" s="755"/>
      <c r="K531" s="755"/>
      <c r="L531" s="755"/>
      <c r="M531" s="755"/>
      <c r="N531" s="750" t="s">
        <v>1315</v>
      </c>
      <c r="O531" s="760">
        <f>+(2*100)/6</f>
        <v>33.333333333333336</v>
      </c>
      <c r="P531" s="760">
        <f>+O531*C4</f>
        <v>3.3333333333333339</v>
      </c>
      <c r="Q531" s="760">
        <f>+O531*D4</f>
        <v>15.000000000000002</v>
      </c>
      <c r="R531" s="760">
        <f>+O531*E4</f>
        <v>8.3333333333333339</v>
      </c>
      <c r="S531" s="760">
        <f>+O531*F4</f>
        <v>6.6666666666666679</v>
      </c>
      <c r="T531" s="750" t="s">
        <v>1326</v>
      </c>
      <c r="U531" s="750" t="s">
        <v>202</v>
      </c>
      <c r="V531" s="750" t="s">
        <v>88</v>
      </c>
      <c r="W531" s="765">
        <v>0.73970000000000002</v>
      </c>
      <c r="X531" s="751" t="s">
        <v>1334</v>
      </c>
      <c r="Y531" s="751" t="s">
        <v>1334</v>
      </c>
      <c r="Z531" s="751" t="s">
        <v>1334</v>
      </c>
      <c r="AA531" s="751" t="s">
        <v>1334</v>
      </c>
      <c r="AB531" s="751" t="s">
        <v>1334</v>
      </c>
      <c r="AC531" s="752" t="s">
        <v>1336</v>
      </c>
      <c r="AD531" s="760">
        <f>+(2*100)/6</f>
        <v>33.333333333333336</v>
      </c>
      <c r="AE531" s="760">
        <f>+AD531*C4</f>
        <v>3.3333333333333339</v>
      </c>
      <c r="AF531" s="760">
        <f>+AD531*D4</f>
        <v>15.000000000000002</v>
      </c>
      <c r="AG531" s="760">
        <f>+AD531*E4</f>
        <v>8.3333333333333339</v>
      </c>
      <c r="AH531" s="760">
        <f>+AD531*F4</f>
        <v>6.6666666666666679</v>
      </c>
      <c r="AI531" s="766" t="s">
        <v>1352</v>
      </c>
      <c r="AJ531" s="767">
        <f>+(1.06*100)/2</f>
        <v>53</v>
      </c>
      <c r="AK531" s="767">
        <v>0</v>
      </c>
      <c r="AL531" s="767">
        <v>29.15</v>
      </c>
      <c r="AM531" s="767">
        <f>+AJ531*E4</f>
        <v>13.25</v>
      </c>
      <c r="AN531" s="767">
        <f>+AJ531*F4</f>
        <v>10.600000000000001</v>
      </c>
      <c r="AO531" s="766" t="s">
        <v>1404</v>
      </c>
      <c r="AP531" s="758" t="s">
        <v>203</v>
      </c>
      <c r="AQ531" s="757" t="s">
        <v>87</v>
      </c>
      <c r="AR531" s="758">
        <v>0</v>
      </c>
      <c r="AS531" s="768">
        <v>1</v>
      </c>
      <c r="AT531" s="758">
        <v>0</v>
      </c>
      <c r="AU531" s="758">
        <v>1</v>
      </c>
      <c r="AV531" s="758">
        <v>1</v>
      </c>
      <c r="AW531" s="758">
        <v>1</v>
      </c>
      <c r="AX531" s="768">
        <v>1</v>
      </c>
      <c r="AY531" s="769">
        <v>392187937.69</v>
      </c>
      <c r="AZ531" s="769">
        <v>300000000</v>
      </c>
      <c r="BA531" s="769">
        <v>180000000</v>
      </c>
      <c r="BB531" s="769">
        <v>400000000</v>
      </c>
      <c r="BC531" s="770">
        <f t="shared" si="109"/>
        <v>1272187937.6900001</v>
      </c>
      <c r="BD531" s="770" t="s">
        <v>130</v>
      </c>
      <c r="BE531" s="770" t="s">
        <v>1445</v>
      </c>
    </row>
    <row r="532" spans="1:57" ht="22.5">
      <c r="A532" s="755"/>
      <c r="B532" s="755"/>
      <c r="C532" s="755"/>
      <c r="D532" s="755"/>
      <c r="E532" s="755"/>
      <c r="F532" s="755"/>
      <c r="G532" s="755"/>
      <c r="H532" s="750"/>
      <c r="I532" s="755"/>
      <c r="J532" s="755"/>
      <c r="K532" s="755"/>
      <c r="L532" s="755"/>
      <c r="M532" s="755"/>
      <c r="N532" s="750"/>
      <c r="O532" s="755"/>
      <c r="P532" s="755"/>
      <c r="Q532" s="755"/>
      <c r="R532" s="755"/>
      <c r="S532" s="755"/>
      <c r="T532" s="750"/>
      <c r="U532" s="755"/>
      <c r="V532" s="755"/>
      <c r="W532" s="751"/>
      <c r="X532" s="751"/>
      <c r="Y532" s="755"/>
      <c r="Z532" s="755"/>
      <c r="AA532" s="755"/>
      <c r="AB532" s="755"/>
      <c r="AC532" s="755"/>
      <c r="AD532" s="765"/>
      <c r="AE532" s="755"/>
      <c r="AF532" s="755"/>
      <c r="AG532" s="755"/>
      <c r="AH532" s="755"/>
      <c r="AI532" s="766" t="s">
        <v>1353</v>
      </c>
      <c r="AJ532" s="767">
        <f>+(0.35*100)/2</f>
        <v>17.5</v>
      </c>
      <c r="AK532" s="767">
        <f>+AJ532*C4</f>
        <v>1.75</v>
      </c>
      <c r="AL532" s="767">
        <f>+AJ532*D4</f>
        <v>7.875</v>
      </c>
      <c r="AM532" s="767">
        <f>+AJ532*E4</f>
        <v>4.375</v>
      </c>
      <c r="AN532" s="767">
        <f>+AJ532*F4</f>
        <v>3.5</v>
      </c>
      <c r="AO532" s="766" t="s">
        <v>1405</v>
      </c>
      <c r="AP532" s="758" t="s">
        <v>203</v>
      </c>
      <c r="AQ532" s="757" t="s">
        <v>87</v>
      </c>
      <c r="AR532" s="758">
        <v>0</v>
      </c>
      <c r="AS532" s="768">
        <v>1</v>
      </c>
      <c r="AT532" s="758">
        <v>1</v>
      </c>
      <c r="AU532" s="758">
        <v>1</v>
      </c>
      <c r="AV532" s="758">
        <v>1</v>
      </c>
      <c r="AW532" s="758">
        <v>1</v>
      </c>
      <c r="AX532" s="768">
        <v>1</v>
      </c>
      <c r="AY532" s="769">
        <v>168377269.96000001</v>
      </c>
      <c r="AZ532" s="769">
        <v>50000000</v>
      </c>
      <c r="BA532" s="769">
        <v>130000000</v>
      </c>
      <c r="BB532" s="769">
        <v>200000000</v>
      </c>
      <c r="BC532" s="770">
        <f t="shared" si="109"/>
        <v>548377269.96000004</v>
      </c>
      <c r="BD532" s="770" t="s">
        <v>130</v>
      </c>
      <c r="BE532" s="770" t="s">
        <v>1445</v>
      </c>
    </row>
    <row r="533" spans="1:57" ht="22.5">
      <c r="A533" s="755"/>
      <c r="B533" s="755"/>
      <c r="C533" s="755"/>
      <c r="D533" s="755"/>
      <c r="E533" s="755"/>
      <c r="F533" s="755"/>
      <c r="G533" s="755"/>
      <c r="H533" s="750"/>
      <c r="I533" s="755"/>
      <c r="J533" s="755"/>
      <c r="K533" s="755"/>
      <c r="L533" s="755"/>
      <c r="M533" s="755"/>
      <c r="N533" s="750"/>
      <c r="O533" s="755"/>
      <c r="P533" s="755"/>
      <c r="Q533" s="755"/>
      <c r="R533" s="755"/>
      <c r="S533" s="755"/>
      <c r="T533" s="750"/>
      <c r="U533" s="755"/>
      <c r="V533" s="755"/>
      <c r="W533" s="751"/>
      <c r="X533" s="751"/>
      <c r="Y533" s="755"/>
      <c r="Z533" s="755"/>
      <c r="AA533" s="755"/>
      <c r="AB533" s="755"/>
      <c r="AC533" s="755"/>
      <c r="AD533" s="755"/>
      <c r="AE533" s="755"/>
      <c r="AF533" s="755"/>
      <c r="AG533" s="755"/>
      <c r="AH533" s="755"/>
      <c r="AI533" s="766" t="s">
        <v>1354</v>
      </c>
      <c r="AJ533" s="767">
        <f>+(0.16*100)/2</f>
        <v>8</v>
      </c>
      <c r="AK533" s="767">
        <f>+AJ533*C4</f>
        <v>0.8</v>
      </c>
      <c r="AL533" s="767">
        <f>+AJ533*D4</f>
        <v>3.6</v>
      </c>
      <c r="AM533" s="767">
        <f>+AJ533*E4</f>
        <v>2</v>
      </c>
      <c r="AN533" s="767">
        <f>+AJ533*F4</f>
        <v>1.6</v>
      </c>
      <c r="AO533" s="766" t="s">
        <v>1406</v>
      </c>
      <c r="AP533" s="758" t="s">
        <v>203</v>
      </c>
      <c r="AQ533" s="757" t="s">
        <v>87</v>
      </c>
      <c r="AR533" s="758">
        <v>0</v>
      </c>
      <c r="AS533" s="768">
        <v>1</v>
      </c>
      <c r="AT533" s="758">
        <v>1</v>
      </c>
      <c r="AU533" s="758">
        <v>1</v>
      </c>
      <c r="AV533" s="758">
        <v>1</v>
      </c>
      <c r="AW533" s="758">
        <v>1</v>
      </c>
      <c r="AX533" s="768">
        <v>1</v>
      </c>
      <c r="AY533" s="769">
        <v>50000000</v>
      </c>
      <c r="AZ533" s="769">
        <v>25000000</v>
      </c>
      <c r="BA533" s="769">
        <v>50000000</v>
      </c>
      <c r="BB533" s="769">
        <v>125000000</v>
      </c>
      <c r="BC533" s="770">
        <f t="shared" si="109"/>
        <v>250000000</v>
      </c>
      <c r="BD533" s="770" t="s">
        <v>130</v>
      </c>
      <c r="BE533" s="770" t="s">
        <v>1445</v>
      </c>
    </row>
    <row r="534" spans="1:57" ht="40.5" customHeight="1">
      <c r="A534" s="755"/>
      <c r="B534" s="755"/>
      <c r="C534" s="755"/>
      <c r="D534" s="755"/>
      <c r="E534" s="755"/>
      <c r="F534" s="755"/>
      <c r="G534" s="755"/>
      <c r="H534" s="750"/>
      <c r="I534" s="755"/>
      <c r="J534" s="755"/>
      <c r="K534" s="755"/>
      <c r="L534" s="755"/>
      <c r="M534" s="755"/>
      <c r="N534" s="750"/>
      <c r="O534" s="755"/>
      <c r="P534" s="755"/>
      <c r="Q534" s="755"/>
      <c r="R534" s="755"/>
      <c r="S534" s="755"/>
      <c r="T534" s="750"/>
      <c r="U534" s="755"/>
      <c r="V534" s="755"/>
      <c r="W534" s="751"/>
      <c r="X534" s="751"/>
      <c r="Y534" s="755"/>
      <c r="Z534" s="755"/>
      <c r="AA534" s="755"/>
      <c r="AB534" s="755"/>
      <c r="AC534" s="755"/>
      <c r="AD534" s="755"/>
      <c r="AE534" s="755"/>
      <c r="AF534" s="755"/>
      <c r="AG534" s="755"/>
      <c r="AH534" s="755"/>
      <c r="AI534" s="766" t="s">
        <v>1355</v>
      </c>
      <c r="AJ534" s="767">
        <f>+(0.43*100)/2</f>
        <v>21.5</v>
      </c>
      <c r="AK534" s="767">
        <f>+AJ534*C4</f>
        <v>2.15</v>
      </c>
      <c r="AL534" s="767">
        <f>+AJ534*D4</f>
        <v>9.6750000000000007</v>
      </c>
      <c r="AM534" s="767">
        <f>+AJ534*E4</f>
        <v>5.375</v>
      </c>
      <c r="AN534" s="767">
        <f>+AJ534*F4</f>
        <v>4.3</v>
      </c>
      <c r="AO534" s="766" t="s">
        <v>1407</v>
      </c>
      <c r="AP534" s="758" t="s">
        <v>202</v>
      </c>
      <c r="AQ534" s="757" t="s">
        <v>88</v>
      </c>
      <c r="AR534" s="759">
        <v>0.09</v>
      </c>
      <c r="AS534" s="759">
        <v>0.12</v>
      </c>
      <c r="AT534" s="759">
        <v>0.03</v>
      </c>
      <c r="AU534" s="759">
        <v>0.03</v>
      </c>
      <c r="AV534" s="759">
        <v>0.03</v>
      </c>
      <c r="AW534" s="759">
        <v>0.03</v>
      </c>
      <c r="AX534" s="759">
        <v>0.03</v>
      </c>
      <c r="AY534" s="769">
        <v>50000000</v>
      </c>
      <c r="AZ534" s="769">
        <v>50000000</v>
      </c>
      <c r="BA534" s="769">
        <v>169940330.80000001</v>
      </c>
      <c r="BB534" s="769">
        <v>440000000</v>
      </c>
      <c r="BC534" s="770">
        <f t="shared" si="109"/>
        <v>709940330.79999995</v>
      </c>
      <c r="BD534" s="770" t="s">
        <v>130</v>
      </c>
      <c r="BE534" s="770" t="s">
        <v>1445</v>
      </c>
    </row>
    <row r="535" spans="1:57">
      <c r="A535" s="755"/>
      <c r="B535" s="755"/>
      <c r="C535" s="755"/>
      <c r="D535" s="755"/>
      <c r="E535" s="755"/>
      <c r="F535" s="755"/>
      <c r="G535" s="755"/>
      <c r="H535" s="750"/>
      <c r="I535" s="755"/>
      <c r="J535" s="755"/>
      <c r="K535" s="755"/>
      <c r="L535" s="755"/>
      <c r="M535" s="755"/>
      <c r="N535" s="762"/>
      <c r="O535" s="763"/>
      <c r="P535" s="763"/>
      <c r="Q535" s="763"/>
      <c r="R535" s="763"/>
      <c r="S535" s="763"/>
      <c r="T535" s="762"/>
      <c r="U535" s="763"/>
      <c r="V535" s="763"/>
      <c r="W535" s="764"/>
      <c r="X535" s="764"/>
      <c r="Y535" s="763"/>
      <c r="Z535" s="763"/>
      <c r="AA535" s="763"/>
      <c r="AB535" s="763"/>
      <c r="AC535" s="349" t="s">
        <v>1453</v>
      </c>
      <c r="AD535" s="316"/>
      <c r="AE535" s="316"/>
      <c r="AF535" s="316"/>
      <c r="AG535" s="316"/>
      <c r="AH535" s="316"/>
      <c r="AI535" s="314"/>
      <c r="AJ535" s="447">
        <f t="shared" ref="AJ535" si="111">SUM(AJ531:AJ534)</f>
        <v>100</v>
      </c>
      <c r="AK535" s="447"/>
      <c r="AL535" s="447"/>
      <c r="AM535" s="447"/>
      <c r="AN535" s="447"/>
      <c r="AO535" s="314"/>
      <c r="AP535" s="320"/>
      <c r="AQ535" s="314"/>
      <c r="AR535" s="320"/>
      <c r="AS535" s="314"/>
      <c r="AT535" s="320">
        <v>1.3199999999999998</v>
      </c>
      <c r="AU535" s="320">
        <v>2.2999999999999998</v>
      </c>
      <c r="AV535" s="320">
        <v>2.68</v>
      </c>
      <c r="AW535" s="320">
        <v>3.21</v>
      </c>
      <c r="AX535" s="314"/>
      <c r="AY535" s="322">
        <v>660565207.64999998</v>
      </c>
      <c r="AZ535" s="322">
        <v>425000000</v>
      </c>
      <c r="BA535" s="322">
        <v>529940330.80000001</v>
      </c>
      <c r="BB535" s="322">
        <v>1165000000</v>
      </c>
      <c r="BC535" s="234">
        <f t="shared" si="109"/>
        <v>2780505538.4499998</v>
      </c>
      <c r="BD535" s="321"/>
      <c r="BE535" s="321"/>
    </row>
    <row r="536" spans="1:57" ht="78.75">
      <c r="A536" s="755"/>
      <c r="B536" s="755"/>
      <c r="C536" s="755"/>
      <c r="D536" s="755"/>
      <c r="E536" s="755"/>
      <c r="F536" s="755"/>
      <c r="G536" s="755"/>
      <c r="H536" s="750"/>
      <c r="I536" s="755"/>
      <c r="J536" s="755"/>
      <c r="K536" s="755"/>
      <c r="L536" s="755"/>
      <c r="M536" s="755"/>
      <c r="N536" s="750" t="s">
        <v>1316</v>
      </c>
      <c r="O536" s="760">
        <f>+(1*100)/6</f>
        <v>16.666666666666668</v>
      </c>
      <c r="P536" s="760">
        <f>+O536*C4</f>
        <v>1.666666666666667</v>
      </c>
      <c r="Q536" s="760">
        <f>+O536*D4</f>
        <v>7.5000000000000009</v>
      </c>
      <c r="R536" s="760">
        <f>+O536*E4</f>
        <v>4.166666666666667</v>
      </c>
      <c r="S536" s="760">
        <f>+O536*F4</f>
        <v>3.3333333333333339</v>
      </c>
      <c r="T536" s="750" t="s">
        <v>1327</v>
      </c>
      <c r="U536" s="750" t="s">
        <v>202</v>
      </c>
      <c r="V536" s="750" t="s">
        <v>88</v>
      </c>
      <c r="W536" s="751" t="s">
        <v>221</v>
      </c>
      <c r="X536" s="761">
        <v>0.5</v>
      </c>
      <c r="Y536" s="761">
        <v>0.1</v>
      </c>
      <c r="Z536" s="761">
        <v>0.35</v>
      </c>
      <c r="AA536" s="761">
        <v>0.45</v>
      </c>
      <c r="AB536" s="761">
        <v>0.5</v>
      </c>
      <c r="AC536" s="752" t="s">
        <v>1337</v>
      </c>
      <c r="AD536" s="760">
        <f>+(2*100)/6</f>
        <v>33.333333333333336</v>
      </c>
      <c r="AE536" s="760">
        <f>+AD536*C4</f>
        <v>3.3333333333333339</v>
      </c>
      <c r="AF536" s="760">
        <f>+AD536*D4</f>
        <v>15.000000000000002</v>
      </c>
      <c r="AG536" s="760">
        <f>+AD536*E4</f>
        <v>8.3333333333333339</v>
      </c>
      <c r="AH536" s="760">
        <f>+AD536*F4</f>
        <v>6.6666666666666679</v>
      </c>
      <c r="AI536" s="766" t="s">
        <v>1356</v>
      </c>
      <c r="AJ536" s="767">
        <f>+(0.275*100)/2</f>
        <v>13.750000000000002</v>
      </c>
      <c r="AK536" s="767">
        <v>0</v>
      </c>
      <c r="AL536" s="767">
        <v>7.56</v>
      </c>
      <c r="AM536" s="767">
        <v>0</v>
      </c>
      <c r="AN536" s="767">
        <v>6.19</v>
      </c>
      <c r="AO536" s="766" t="s">
        <v>1408</v>
      </c>
      <c r="AP536" s="758" t="s">
        <v>202</v>
      </c>
      <c r="AQ536" s="757" t="s">
        <v>87</v>
      </c>
      <c r="AR536" s="758">
        <v>4</v>
      </c>
      <c r="AS536" s="768">
        <v>6</v>
      </c>
      <c r="AT536" s="758">
        <v>0</v>
      </c>
      <c r="AU536" s="758">
        <v>1</v>
      </c>
      <c r="AV536" s="758">
        <v>0</v>
      </c>
      <c r="AW536" s="758">
        <v>1</v>
      </c>
      <c r="AX536" s="768">
        <v>2</v>
      </c>
      <c r="AY536" s="769">
        <v>50000000</v>
      </c>
      <c r="AZ536" s="769">
        <v>50000000</v>
      </c>
      <c r="BA536" s="769">
        <v>50000000</v>
      </c>
      <c r="BB536" s="769">
        <v>50000000</v>
      </c>
      <c r="BC536" s="770">
        <f t="shared" si="109"/>
        <v>200000000</v>
      </c>
      <c r="BD536" s="770" t="s">
        <v>1441</v>
      </c>
      <c r="BE536" s="770" t="s">
        <v>112</v>
      </c>
    </row>
    <row r="537" spans="1:57" ht="33.75">
      <c r="A537" s="755"/>
      <c r="B537" s="755"/>
      <c r="C537" s="755"/>
      <c r="D537" s="755"/>
      <c r="E537" s="755"/>
      <c r="F537" s="755"/>
      <c r="G537" s="755"/>
      <c r="H537" s="750"/>
      <c r="I537" s="755"/>
      <c r="J537" s="755"/>
      <c r="K537" s="755"/>
      <c r="L537" s="755"/>
      <c r="M537" s="755"/>
      <c r="N537" s="750"/>
      <c r="O537" s="755"/>
      <c r="P537" s="755"/>
      <c r="Q537" s="755"/>
      <c r="R537" s="755"/>
      <c r="S537" s="755"/>
      <c r="T537" s="750"/>
      <c r="U537" s="755"/>
      <c r="V537" s="755"/>
      <c r="W537" s="751"/>
      <c r="X537" s="751"/>
      <c r="Y537" s="755"/>
      <c r="Z537" s="755"/>
      <c r="AA537" s="755"/>
      <c r="AB537" s="755"/>
      <c r="AC537" s="755"/>
      <c r="AD537" s="765"/>
      <c r="AE537" s="755"/>
      <c r="AF537" s="755"/>
      <c r="AG537" s="755"/>
      <c r="AH537" s="755"/>
      <c r="AI537" s="766" t="s">
        <v>1357</v>
      </c>
      <c r="AJ537" s="767">
        <f>+(0.138*100)/2</f>
        <v>6.9</v>
      </c>
      <c r="AK537" s="767">
        <f>+AJ537*C4</f>
        <v>0.69000000000000006</v>
      </c>
      <c r="AL537" s="767">
        <f>+AJ537*D4</f>
        <v>3.1050000000000004</v>
      </c>
      <c r="AM537" s="767">
        <f>+AJ537*E4</f>
        <v>1.7250000000000001</v>
      </c>
      <c r="AN537" s="767">
        <f>+AJ537*F4</f>
        <v>1.3800000000000001</v>
      </c>
      <c r="AO537" s="766" t="s">
        <v>1409</v>
      </c>
      <c r="AP537" s="758" t="s">
        <v>202</v>
      </c>
      <c r="AQ537" s="757" t="s">
        <v>87</v>
      </c>
      <c r="AR537" s="758">
        <v>1</v>
      </c>
      <c r="AS537" s="758">
        <v>11</v>
      </c>
      <c r="AT537" s="758">
        <v>2</v>
      </c>
      <c r="AU537" s="758">
        <v>3</v>
      </c>
      <c r="AV537" s="758">
        <v>3</v>
      </c>
      <c r="AW537" s="758">
        <v>2</v>
      </c>
      <c r="AX537" s="758">
        <v>10</v>
      </c>
      <c r="AY537" s="769">
        <v>25000000</v>
      </c>
      <c r="AZ537" s="769">
        <v>25000000</v>
      </c>
      <c r="BA537" s="769">
        <v>25000000</v>
      </c>
      <c r="BB537" s="769">
        <v>25000000</v>
      </c>
      <c r="BC537" s="770">
        <f t="shared" si="109"/>
        <v>100000000</v>
      </c>
      <c r="BD537" s="770" t="s">
        <v>1441</v>
      </c>
      <c r="BE537" s="770" t="s">
        <v>112</v>
      </c>
    </row>
    <row r="538" spans="1:57" ht="22.5">
      <c r="A538" s="755"/>
      <c r="B538" s="755"/>
      <c r="C538" s="755"/>
      <c r="D538" s="755"/>
      <c r="E538" s="755"/>
      <c r="F538" s="755"/>
      <c r="G538" s="755"/>
      <c r="H538" s="750"/>
      <c r="I538" s="755"/>
      <c r="J538" s="755"/>
      <c r="K538" s="755"/>
      <c r="L538" s="755"/>
      <c r="M538" s="755"/>
      <c r="N538" s="750"/>
      <c r="O538" s="755"/>
      <c r="P538" s="755"/>
      <c r="Q538" s="755"/>
      <c r="R538" s="755"/>
      <c r="S538" s="755"/>
      <c r="T538" s="750"/>
      <c r="U538" s="755"/>
      <c r="V538" s="755"/>
      <c r="W538" s="751"/>
      <c r="X538" s="751"/>
      <c r="Y538" s="755"/>
      <c r="Z538" s="755"/>
      <c r="AA538" s="755"/>
      <c r="AB538" s="755"/>
      <c r="AC538" s="755"/>
      <c r="AD538" s="755"/>
      <c r="AE538" s="755"/>
      <c r="AF538" s="755"/>
      <c r="AG538" s="755"/>
      <c r="AH538" s="755"/>
      <c r="AI538" s="766" t="s">
        <v>1358</v>
      </c>
      <c r="AJ538" s="767">
        <f>+(0.235*100)/2</f>
        <v>11.75</v>
      </c>
      <c r="AK538" s="767">
        <v>0</v>
      </c>
      <c r="AL538" s="767">
        <v>6.46</v>
      </c>
      <c r="AM538" s="767">
        <f>+AJ538*E4</f>
        <v>2.9375</v>
      </c>
      <c r="AN538" s="767">
        <f>+AJ538*F4</f>
        <v>2.35</v>
      </c>
      <c r="AO538" s="766" t="s">
        <v>1410</v>
      </c>
      <c r="AP538" s="758" t="s">
        <v>202</v>
      </c>
      <c r="AQ538" s="757" t="s">
        <v>87</v>
      </c>
      <c r="AR538" s="758">
        <v>7</v>
      </c>
      <c r="AS538" s="768">
        <v>7</v>
      </c>
      <c r="AT538" s="758">
        <v>0</v>
      </c>
      <c r="AU538" s="758">
        <v>3</v>
      </c>
      <c r="AV538" s="758">
        <v>2</v>
      </c>
      <c r="AW538" s="758">
        <v>2</v>
      </c>
      <c r="AX538" s="768">
        <v>7</v>
      </c>
      <c r="AY538" s="769">
        <v>0</v>
      </c>
      <c r="AZ538" s="769">
        <v>50000000</v>
      </c>
      <c r="BA538" s="769">
        <v>40000000</v>
      </c>
      <c r="BB538" s="769">
        <v>50000000</v>
      </c>
      <c r="BC538" s="770">
        <f t="shared" si="109"/>
        <v>140000000</v>
      </c>
      <c r="BD538" s="770" t="s">
        <v>1441</v>
      </c>
      <c r="BE538" s="770" t="s">
        <v>112</v>
      </c>
    </row>
    <row r="539" spans="1:57" ht="33.75">
      <c r="A539" s="755"/>
      <c r="B539" s="755"/>
      <c r="C539" s="755"/>
      <c r="D539" s="755"/>
      <c r="E539" s="755"/>
      <c r="F539" s="755"/>
      <c r="G539" s="755"/>
      <c r="H539" s="750"/>
      <c r="I539" s="755"/>
      <c r="J539" s="755"/>
      <c r="K539" s="755"/>
      <c r="L539" s="755"/>
      <c r="M539" s="755"/>
      <c r="N539" s="750"/>
      <c r="O539" s="755"/>
      <c r="P539" s="755"/>
      <c r="Q539" s="755"/>
      <c r="R539" s="755"/>
      <c r="S539" s="755"/>
      <c r="T539" s="750"/>
      <c r="U539" s="755"/>
      <c r="V539" s="755"/>
      <c r="W539" s="751"/>
      <c r="X539" s="751"/>
      <c r="Y539" s="755"/>
      <c r="Z539" s="755"/>
      <c r="AA539" s="755"/>
      <c r="AB539" s="755"/>
      <c r="AC539" s="755"/>
      <c r="AD539" s="755"/>
      <c r="AE539" s="755"/>
      <c r="AF539" s="755"/>
      <c r="AG539" s="755"/>
      <c r="AH539" s="755"/>
      <c r="AI539" s="766" t="s">
        <v>1359</v>
      </c>
      <c r="AJ539" s="767">
        <f>+(0.182*100)/2</f>
        <v>9.1</v>
      </c>
      <c r="AK539" s="767">
        <f>+AJ539*C4</f>
        <v>0.91</v>
      </c>
      <c r="AL539" s="767">
        <f>+AJ539*D4</f>
        <v>4.0949999999999998</v>
      </c>
      <c r="AM539" s="767">
        <f>+AJ539*E4</f>
        <v>2.2749999999999999</v>
      </c>
      <c r="AN539" s="767">
        <f>+AJ539*F4</f>
        <v>1.82</v>
      </c>
      <c r="AO539" s="766" t="s">
        <v>63</v>
      </c>
      <c r="AP539" s="758" t="s">
        <v>203</v>
      </c>
      <c r="AQ539" s="757" t="s">
        <v>87</v>
      </c>
      <c r="AR539" s="758">
        <v>0</v>
      </c>
      <c r="AS539" s="768">
        <v>1</v>
      </c>
      <c r="AT539" s="768">
        <v>1</v>
      </c>
      <c r="AU539" s="758">
        <v>1</v>
      </c>
      <c r="AV539" s="758">
        <v>1</v>
      </c>
      <c r="AW539" s="758">
        <v>1</v>
      </c>
      <c r="AX539" s="768">
        <v>1</v>
      </c>
      <c r="AY539" s="769">
        <v>50000000</v>
      </c>
      <c r="AZ539" s="769">
        <v>43700000</v>
      </c>
      <c r="BA539" s="769">
        <v>40000000</v>
      </c>
      <c r="BB539" s="769">
        <v>0</v>
      </c>
      <c r="BC539" s="770">
        <f t="shared" si="109"/>
        <v>133700000</v>
      </c>
      <c r="BD539" s="770" t="s">
        <v>1441</v>
      </c>
      <c r="BE539" s="770" t="s">
        <v>112</v>
      </c>
    </row>
    <row r="540" spans="1:57" ht="33.75">
      <c r="A540" s="755"/>
      <c r="B540" s="755"/>
      <c r="C540" s="755"/>
      <c r="D540" s="755"/>
      <c r="E540" s="755"/>
      <c r="F540" s="755"/>
      <c r="G540" s="755"/>
      <c r="H540" s="750"/>
      <c r="I540" s="755"/>
      <c r="J540" s="755"/>
      <c r="K540" s="755"/>
      <c r="L540" s="755"/>
      <c r="M540" s="755"/>
      <c r="N540" s="762"/>
      <c r="O540" s="763"/>
      <c r="P540" s="763"/>
      <c r="Q540" s="763"/>
      <c r="R540" s="763"/>
      <c r="S540" s="763"/>
      <c r="T540" s="762"/>
      <c r="U540" s="763"/>
      <c r="V540" s="763"/>
      <c r="W540" s="764"/>
      <c r="X540" s="764"/>
      <c r="Y540" s="763"/>
      <c r="Z540" s="763"/>
      <c r="AA540" s="763"/>
      <c r="AB540" s="763"/>
      <c r="AC540" s="755"/>
      <c r="AD540" s="755"/>
      <c r="AE540" s="755"/>
      <c r="AF540" s="755"/>
      <c r="AG540" s="755"/>
      <c r="AH540" s="755"/>
      <c r="AI540" s="766" t="s">
        <v>1360</v>
      </c>
      <c r="AJ540" s="767">
        <f>+(0.239*100)/2</f>
        <v>11.95</v>
      </c>
      <c r="AK540" s="767">
        <f>+AJ540*C4</f>
        <v>1.1950000000000001</v>
      </c>
      <c r="AL540" s="767">
        <f>+AJ540*D4</f>
        <v>5.3774999999999995</v>
      </c>
      <c r="AM540" s="767">
        <f>+AJ540*E4</f>
        <v>2.9874999999999998</v>
      </c>
      <c r="AN540" s="767">
        <f>+AJ540*F4</f>
        <v>2.39</v>
      </c>
      <c r="AO540" s="766" t="s">
        <v>724</v>
      </c>
      <c r="AP540" s="758" t="s">
        <v>202</v>
      </c>
      <c r="AQ540" s="757" t="s">
        <v>87</v>
      </c>
      <c r="AR540" s="758">
        <v>0</v>
      </c>
      <c r="AS540" s="768">
        <v>4</v>
      </c>
      <c r="AT540" s="758">
        <v>1</v>
      </c>
      <c r="AU540" s="758">
        <v>1</v>
      </c>
      <c r="AV540" s="758">
        <v>1</v>
      </c>
      <c r="AW540" s="758">
        <v>1</v>
      </c>
      <c r="AX540" s="768">
        <v>4</v>
      </c>
      <c r="AY540" s="769">
        <v>50000000</v>
      </c>
      <c r="AZ540" s="769">
        <v>40000000</v>
      </c>
      <c r="BA540" s="769">
        <v>40000000</v>
      </c>
      <c r="BB540" s="769">
        <v>50000000</v>
      </c>
      <c r="BC540" s="770">
        <f t="shared" si="109"/>
        <v>180000000</v>
      </c>
      <c r="BD540" s="770" t="s">
        <v>1441</v>
      </c>
      <c r="BE540" s="770" t="s">
        <v>112</v>
      </c>
    </row>
    <row r="541" spans="1:57" ht="56.25">
      <c r="A541" s="755"/>
      <c r="B541" s="755"/>
      <c r="C541" s="755"/>
      <c r="D541" s="755"/>
      <c r="E541" s="755"/>
      <c r="F541" s="755"/>
      <c r="G541" s="755"/>
      <c r="H541" s="750"/>
      <c r="I541" s="755"/>
      <c r="J541" s="755"/>
      <c r="K541" s="755"/>
      <c r="L541" s="755"/>
      <c r="M541" s="755"/>
      <c r="N541" s="750" t="s">
        <v>1317</v>
      </c>
      <c r="O541" s="760">
        <f>+(1*100)/6</f>
        <v>16.666666666666668</v>
      </c>
      <c r="P541" s="760">
        <f>O541*C4</f>
        <v>1.666666666666667</v>
      </c>
      <c r="Q541" s="760">
        <f>O541*D4</f>
        <v>7.5000000000000009</v>
      </c>
      <c r="R541" s="760">
        <f>O541*E4</f>
        <v>4.166666666666667</v>
      </c>
      <c r="S541" s="760">
        <f>O541*F4</f>
        <v>3.3333333333333339</v>
      </c>
      <c r="T541" s="750" t="s">
        <v>1328</v>
      </c>
      <c r="U541" s="750" t="s">
        <v>202</v>
      </c>
      <c r="V541" s="750" t="s">
        <v>88</v>
      </c>
      <c r="W541" s="751" t="s">
        <v>221</v>
      </c>
      <c r="X541" s="761">
        <v>0.4</v>
      </c>
      <c r="Y541" s="761">
        <v>0.1</v>
      </c>
      <c r="Z541" s="761">
        <v>0.3</v>
      </c>
      <c r="AA541" s="761">
        <v>0.37</v>
      </c>
      <c r="AB541" s="761">
        <v>0.4</v>
      </c>
      <c r="AC541" s="755"/>
      <c r="AD541" s="755"/>
      <c r="AE541" s="755"/>
      <c r="AF541" s="755"/>
      <c r="AG541" s="755"/>
      <c r="AH541" s="755"/>
      <c r="AI541" s="766" t="s">
        <v>1361</v>
      </c>
      <c r="AJ541" s="767">
        <f>+(0.138*100)/2</f>
        <v>6.9</v>
      </c>
      <c r="AK541" s="767">
        <f>+AJ541*C4</f>
        <v>0.69000000000000006</v>
      </c>
      <c r="AL541" s="767">
        <f>+AJ541*D4</f>
        <v>3.1050000000000004</v>
      </c>
      <c r="AM541" s="767">
        <f>+AJ541*E4</f>
        <v>1.7250000000000001</v>
      </c>
      <c r="AN541" s="767">
        <f>+AJ541*F4</f>
        <v>1.3800000000000001</v>
      </c>
      <c r="AO541" s="766" t="s">
        <v>973</v>
      </c>
      <c r="AP541" s="758" t="s">
        <v>202</v>
      </c>
      <c r="AQ541" s="757" t="s">
        <v>87</v>
      </c>
      <c r="AR541" s="758">
        <v>0</v>
      </c>
      <c r="AS541" s="758">
        <v>20</v>
      </c>
      <c r="AT541" s="758">
        <v>5</v>
      </c>
      <c r="AU541" s="758">
        <v>5</v>
      </c>
      <c r="AV541" s="758">
        <v>5</v>
      </c>
      <c r="AW541" s="758">
        <v>5</v>
      </c>
      <c r="AX541" s="758">
        <v>20</v>
      </c>
      <c r="AY541" s="769">
        <v>25000000</v>
      </c>
      <c r="AZ541" s="769">
        <v>25000000</v>
      </c>
      <c r="BA541" s="769">
        <v>25000000</v>
      </c>
      <c r="BB541" s="769">
        <v>25000000</v>
      </c>
      <c r="BC541" s="770">
        <f t="shared" si="109"/>
        <v>100000000</v>
      </c>
      <c r="BD541" s="770" t="s">
        <v>1441</v>
      </c>
      <c r="BE541" s="770" t="s">
        <v>112</v>
      </c>
    </row>
    <row r="542" spans="1:57" ht="33.75">
      <c r="A542" s="755"/>
      <c r="B542" s="755"/>
      <c r="C542" s="755"/>
      <c r="D542" s="755"/>
      <c r="E542" s="755"/>
      <c r="F542" s="755"/>
      <c r="G542" s="755"/>
      <c r="H542" s="750"/>
      <c r="I542" s="755"/>
      <c r="J542" s="755"/>
      <c r="K542" s="755"/>
      <c r="L542" s="755"/>
      <c r="M542" s="755"/>
      <c r="N542" s="750"/>
      <c r="O542" s="755"/>
      <c r="P542" s="755"/>
      <c r="Q542" s="755"/>
      <c r="R542" s="755"/>
      <c r="S542" s="755"/>
      <c r="T542" s="750"/>
      <c r="U542" s="755"/>
      <c r="V542" s="755"/>
      <c r="W542" s="751"/>
      <c r="X542" s="751"/>
      <c r="Y542" s="755"/>
      <c r="Z542" s="755"/>
      <c r="AA542" s="755"/>
      <c r="AB542" s="755"/>
      <c r="AC542" s="755"/>
      <c r="AD542" s="755"/>
      <c r="AE542" s="755"/>
      <c r="AF542" s="755"/>
      <c r="AG542" s="755"/>
      <c r="AH542" s="755"/>
      <c r="AI542" s="766" t="s">
        <v>1362</v>
      </c>
      <c r="AJ542" s="767">
        <f>+(0.238*100)/2</f>
        <v>11.899999999999999</v>
      </c>
      <c r="AK542" s="767">
        <f>+AJ542*C4</f>
        <v>1.19</v>
      </c>
      <c r="AL542" s="767">
        <f>+AJ542*D4</f>
        <v>5.3549999999999995</v>
      </c>
      <c r="AM542" s="767">
        <f>+AJ542*E4</f>
        <v>2.9749999999999996</v>
      </c>
      <c r="AN542" s="767">
        <f>+AJ542*F4</f>
        <v>2.38</v>
      </c>
      <c r="AO542" s="766" t="s">
        <v>1411</v>
      </c>
      <c r="AP542" s="758" t="s">
        <v>202</v>
      </c>
      <c r="AQ542" s="757" t="s">
        <v>87</v>
      </c>
      <c r="AR542" s="758">
        <v>0</v>
      </c>
      <c r="AS542" s="768">
        <v>1</v>
      </c>
      <c r="AT542" s="758">
        <v>1</v>
      </c>
      <c r="AU542" s="758">
        <v>1</v>
      </c>
      <c r="AV542" s="758">
        <v>1</v>
      </c>
      <c r="AW542" s="758">
        <v>1</v>
      </c>
      <c r="AX542" s="768">
        <v>1</v>
      </c>
      <c r="AY542" s="769">
        <v>50000000</v>
      </c>
      <c r="AZ542" s="769">
        <v>40000000</v>
      </c>
      <c r="BA542" s="769">
        <v>40000000</v>
      </c>
      <c r="BB542" s="769">
        <v>50000000</v>
      </c>
      <c r="BC542" s="770">
        <f t="shared" si="109"/>
        <v>180000000</v>
      </c>
      <c r="BD542" s="770" t="s">
        <v>1441</v>
      </c>
      <c r="BE542" s="770" t="s">
        <v>132</v>
      </c>
    </row>
    <row r="543" spans="1:57" ht="33.75">
      <c r="A543" s="755"/>
      <c r="B543" s="755"/>
      <c r="C543" s="755"/>
      <c r="D543" s="755"/>
      <c r="E543" s="755"/>
      <c r="F543" s="755"/>
      <c r="G543" s="755"/>
      <c r="H543" s="750"/>
      <c r="I543" s="755"/>
      <c r="J543" s="755"/>
      <c r="K543" s="755"/>
      <c r="L543" s="755"/>
      <c r="M543" s="755"/>
      <c r="N543" s="750"/>
      <c r="O543" s="755"/>
      <c r="P543" s="755"/>
      <c r="Q543" s="755"/>
      <c r="R543" s="755"/>
      <c r="S543" s="755"/>
      <c r="T543" s="750"/>
      <c r="U543" s="755"/>
      <c r="V543" s="755"/>
      <c r="W543" s="751"/>
      <c r="X543" s="751"/>
      <c r="Y543" s="755"/>
      <c r="Z543" s="755"/>
      <c r="AA543" s="755"/>
      <c r="AB543" s="755"/>
      <c r="AC543" s="755"/>
      <c r="AD543" s="755"/>
      <c r="AE543" s="755"/>
      <c r="AF543" s="755"/>
      <c r="AG543" s="755"/>
      <c r="AH543" s="755"/>
      <c r="AI543" s="766" t="s">
        <v>1363</v>
      </c>
      <c r="AJ543" s="767">
        <f>+(0.182*100)/2</f>
        <v>9.1</v>
      </c>
      <c r="AK543" s="767">
        <v>0</v>
      </c>
      <c r="AL543" s="767">
        <v>5.01</v>
      </c>
      <c r="AM543" s="767">
        <v>4.09</v>
      </c>
      <c r="AN543" s="767">
        <v>0</v>
      </c>
      <c r="AO543" s="766" t="s">
        <v>1412</v>
      </c>
      <c r="AP543" s="758" t="s">
        <v>202</v>
      </c>
      <c r="AQ543" s="757" t="s">
        <v>87</v>
      </c>
      <c r="AR543" s="758">
        <v>0</v>
      </c>
      <c r="AS543" s="768">
        <v>2</v>
      </c>
      <c r="AT543" s="758">
        <v>0</v>
      </c>
      <c r="AU543" s="758">
        <v>1</v>
      </c>
      <c r="AV543" s="758">
        <v>1</v>
      </c>
      <c r="AW543" s="758">
        <v>0</v>
      </c>
      <c r="AX543" s="768">
        <v>2</v>
      </c>
      <c r="AY543" s="769">
        <v>0</v>
      </c>
      <c r="AZ543" s="769">
        <v>50000000</v>
      </c>
      <c r="BA543" s="769">
        <v>50000000</v>
      </c>
      <c r="BB543" s="769">
        <v>0</v>
      </c>
      <c r="BC543" s="770">
        <f t="shared" si="109"/>
        <v>100000000</v>
      </c>
      <c r="BD543" s="770" t="s">
        <v>1441</v>
      </c>
      <c r="BE543" s="770" t="s">
        <v>132</v>
      </c>
    </row>
    <row r="544" spans="1:57" ht="33.75">
      <c r="A544" s="755"/>
      <c r="B544" s="755"/>
      <c r="C544" s="755"/>
      <c r="D544" s="755"/>
      <c r="E544" s="755"/>
      <c r="F544" s="755"/>
      <c r="G544" s="755"/>
      <c r="H544" s="750"/>
      <c r="I544" s="755"/>
      <c r="J544" s="755"/>
      <c r="K544" s="755"/>
      <c r="L544" s="755"/>
      <c r="M544" s="755"/>
      <c r="N544" s="750"/>
      <c r="O544" s="755"/>
      <c r="P544" s="755"/>
      <c r="Q544" s="755"/>
      <c r="R544" s="755"/>
      <c r="S544" s="755"/>
      <c r="T544" s="750"/>
      <c r="U544" s="755"/>
      <c r="V544" s="755"/>
      <c r="W544" s="751"/>
      <c r="X544" s="751"/>
      <c r="Y544" s="755"/>
      <c r="Z544" s="755"/>
      <c r="AA544" s="755"/>
      <c r="AB544" s="755"/>
      <c r="AC544" s="755"/>
      <c r="AD544" s="755"/>
      <c r="AE544" s="755"/>
      <c r="AF544" s="755"/>
      <c r="AG544" s="755"/>
      <c r="AH544" s="755"/>
      <c r="AI544" s="766" t="s">
        <v>1364</v>
      </c>
      <c r="AJ544" s="767">
        <f>+(0.104*100)/2</f>
        <v>5.2</v>
      </c>
      <c r="AK544" s="767">
        <f>+AJ544*C4</f>
        <v>0.52</v>
      </c>
      <c r="AL544" s="767">
        <f>+AJ544*D4</f>
        <v>2.3400000000000003</v>
      </c>
      <c r="AM544" s="767">
        <f>+AJ544*E4</f>
        <v>1.3</v>
      </c>
      <c r="AN544" s="767">
        <f>+AJ544*F4</f>
        <v>1.04</v>
      </c>
      <c r="AO544" s="766" t="s">
        <v>1413</v>
      </c>
      <c r="AP544" s="758" t="s">
        <v>202</v>
      </c>
      <c r="AQ544" s="757" t="s">
        <v>87</v>
      </c>
      <c r="AR544" s="758">
        <v>0</v>
      </c>
      <c r="AS544" s="768">
        <v>2</v>
      </c>
      <c r="AT544" s="758">
        <v>2</v>
      </c>
      <c r="AU544" s="758">
        <v>2</v>
      </c>
      <c r="AV544" s="758">
        <v>2</v>
      </c>
      <c r="AW544" s="758">
        <v>2</v>
      </c>
      <c r="AX544" s="768">
        <v>2</v>
      </c>
      <c r="AY544" s="769">
        <v>25000000</v>
      </c>
      <c r="AZ544" s="769">
        <v>25000000</v>
      </c>
      <c r="BA544" s="769">
        <v>25000000</v>
      </c>
      <c r="BB544" s="769">
        <v>0</v>
      </c>
      <c r="BC544" s="770">
        <f t="shared" si="109"/>
        <v>75000000</v>
      </c>
      <c r="BD544" s="770" t="s">
        <v>130</v>
      </c>
      <c r="BE544" s="770" t="s">
        <v>132</v>
      </c>
    </row>
    <row r="545" spans="1:57" ht="22.5">
      <c r="A545" s="755"/>
      <c r="B545" s="755"/>
      <c r="C545" s="755"/>
      <c r="D545" s="755"/>
      <c r="E545" s="755"/>
      <c r="F545" s="755"/>
      <c r="G545" s="755"/>
      <c r="H545" s="750"/>
      <c r="I545" s="755"/>
      <c r="J545" s="755"/>
      <c r="K545" s="755"/>
      <c r="L545" s="755"/>
      <c r="M545" s="755"/>
      <c r="N545" s="750"/>
      <c r="O545" s="755"/>
      <c r="P545" s="755"/>
      <c r="Q545" s="755"/>
      <c r="R545" s="755"/>
      <c r="S545" s="755"/>
      <c r="T545" s="750"/>
      <c r="U545" s="755"/>
      <c r="V545" s="755"/>
      <c r="W545" s="751"/>
      <c r="X545" s="751"/>
      <c r="Y545" s="755"/>
      <c r="Z545" s="755"/>
      <c r="AA545" s="755"/>
      <c r="AB545" s="755"/>
      <c r="AC545" s="755"/>
      <c r="AD545" s="755"/>
      <c r="AE545" s="755"/>
      <c r="AF545" s="755"/>
      <c r="AG545" s="755"/>
      <c r="AH545" s="755"/>
      <c r="AI545" s="766" t="s">
        <v>1365</v>
      </c>
      <c r="AJ545" s="767">
        <f>+(0.029*100)/2</f>
        <v>1.4500000000000002</v>
      </c>
      <c r="AK545" s="767">
        <f>+AJ545*C4</f>
        <v>0.14500000000000002</v>
      </c>
      <c r="AL545" s="767">
        <f>+AJ545*D4</f>
        <v>0.65250000000000008</v>
      </c>
      <c r="AM545" s="767">
        <f>+AJ545*E4</f>
        <v>0.36250000000000004</v>
      </c>
      <c r="AN545" s="767">
        <f>+AJ545*F4</f>
        <v>0.29000000000000004</v>
      </c>
      <c r="AO545" s="766" t="s">
        <v>1414</v>
      </c>
      <c r="AP545" s="758" t="s">
        <v>202</v>
      </c>
      <c r="AQ545" s="757" t="s">
        <v>87</v>
      </c>
      <c r="AR545" s="758" t="s">
        <v>872</v>
      </c>
      <c r="AS545" s="768">
        <v>1</v>
      </c>
      <c r="AT545" s="758">
        <v>1</v>
      </c>
      <c r="AU545" s="758">
        <v>1</v>
      </c>
      <c r="AV545" s="758">
        <v>1</v>
      </c>
      <c r="AW545" s="758">
        <v>1</v>
      </c>
      <c r="AX545" s="768">
        <v>1</v>
      </c>
      <c r="AY545" s="769">
        <v>50000000</v>
      </c>
      <c r="AZ545" s="769">
        <v>0</v>
      </c>
      <c r="BA545" s="769">
        <v>0</v>
      </c>
      <c r="BB545" s="769">
        <v>0</v>
      </c>
      <c r="BC545" s="770">
        <f t="shared" si="109"/>
        <v>50000000</v>
      </c>
      <c r="BD545" s="770" t="s">
        <v>130</v>
      </c>
      <c r="BE545" s="770" t="s">
        <v>132</v>
      </c>
    </row>
    <row r="546" spans="1:57" ht="22.5">
      <c r="A546" s="755"/>
      <c r="B546" s="755"/>
      <c r="C546" s="755"/>
      <c r="D546" s="755"/>
      <c r="E546" s="755"/>
      <c r="F546" s="755"/>
      <c r="G546" s="755"/>
      <c r="H546" s="750"/>
      <c r="I546" s="755"/>
      <c r="J546" s="755"/>
      <c r="K546" s="755"/>
      <c r="L546" s="755"/>
      <c r="M546" s="755"/>
      <c r="N546" s="750"/>
      <c r="O546" s="755"/>
      <c r="P546" s="755"/>
      <c r="Q546" s="755"/>
      <c r="R546" s="755"/>
      <c r="S546" s="755"/>
      <c r="T546" s="750"/>
      <c r="U546" s="755"/>
      <c r="V546" s="755"/>
      <c r="W546" s="751"/>
      <c r="X546" s="751"/>
      <c r="Y546" s="755"/>
      <c r="Z546" s="755"/>
      <c r="AA546" s="755"/>
      <c r="AB546" s="755"/>
      <c r="AC546" s="755"/>
      <c r="AD546" s="755"/>
      <c r="AE546" s="755"/>
      <c r="AF546" s="755"/>
      <c r="AG546" s="755"/>
      <c r="AH546" s="755"/>
      <c r="AI546" s="766" t="s">
        <v>1366</v>
      </c>
      <c r="AJ546" s="767">
        <f>+(0.137*100)/2</f>
        <v>6.8500000000000005</v>
      </c>
      <c r="AK546" s="767">
        <f>+AJ546*C4</f>
        <v>0.68500000000000005</v>
      </c>
      <c r="AL546" s="767">
        <f>+AJ546*D4</f>
        <v>3.0825000000000005</v>
      </c>
      <c r="AM546" s="767">
        <f>+AJ546*E4</f>
        <v>1.7125000000000001</v>
      </c>
      <c r="AN546" s="767">
        <f>+AJ546*F4</f>
        <v>1.37</v>
      </c>
      <c r="AO546" s="766" t="s">
        <v>1415</v>
      </c>
      <c r="AP546" s="758" t="s">
        <v>202</v>
      </c>
      <c r="AQ546" s="757" t="s">
        <v>87</v>
      </c>
      <c r="AR546" s="758" t="s">
        <v>872</v>
      </c>
      <c r="AS546" s="768">
        <v>1</v>
      </c>
      <c r="AT546" s="758">
        <v>1</v>
      </c>
      <c r="AU546" s="758">
        <v>1</v>
      </c>
      <c r="AV546" s="758">
        <v>1</v>
      </c>
      <c r="AW546" s="758">
        <v>1</v>
      </c>
      <c r="AX546" s="768">
        <v>1</v>
      </c>
      <c r="AY546" s="769">
        <v>25000000</v>
      </c>
      <c r="AZ546" s="769">
        <v>25000000</v>
      </c>
      <c r="BA546" s="769">
        <v>25000000</v>
      </c>
      <c r="BB546" s="769">
        <v>25000000</v>
      </c>
      <c r="BC546" s="770">
        <f t="shared" si="109"/>
        <v>100000000</v>
      </c>
      <c r="BD546" s="770" t="s">
        <v>130</v>
      </c>
      <c r="BE546" s="770" t="s">
        <v>132</v>
      </c>
    </row>
    <row r="547" spans="1:57" ht="22.5">
      <c r="A547" s="755"/>
      <c r="B547" s="755"/>
      <c r="C547" s="755"/>
      <c r="D547" s="755"/>
      <c r="E547" s="755"/>
      <c r="F547" s="755"/>
      <c r="G547" s="755"/>
      <c r="H547" s="750"/>
      <c r="I547" s="755"/>
      <c r="J547" s="755"/>
      <c r="K547" s="755"/>
      <c r="L547" s="755"/>
      <c r="M547" s="755"/>
      <c r="N547" s="750"/>
      <c r="O547" s="755"/>
      <c r="P547" s="755"/>
      <c r="Q547" s="755"/>
      <c r="R547" s="755"/>
      <c r="S547" s="755"/>
      <c r="T547" s="750"/>
      <c r="U547" s="755"/>
      <c r="V547" s="755"/>
      <c r="W547" s="751"/>
      <c r="X547" s="751"/>
      <c r="Y547" s="755"/>
      <c r="Z547" s="755"/>
      <c r="AA547" s="755"/>
      <c r="AB547" s="755"/>
      <c r="AC547" s="755"/>
      <c r="AD547" s="755"/>
      <c r="AE547" s="755"/>
      <c r="AF547" s="755"/>
      <c r="AG547" s="755"/>
      <c r="AH547" s="755"/>
      <c r="AI547" s="766" t="s">
        <v>1367</v>
      </c>
      <c r="AJ547" s="767">
        <f>+(0.104*100)/2</f>
        <v>5.2</v>
      </c>
      <c r="AK547" s="767">
        <f>+AJ547*C4</f>
        <v>0.52</v>
      </c>
      <c r="AL547" s="767">
        <f>+AJ547*D4</f>
        <v>2.3400000000000003</v>
      </c>
      <c r="AM547" s="767">
        <f>+AJ547*E4</f>
        <v>1.3</v>
      </c>
      <c r="AN547" s="767">
        <f>+AJ547*F4</f>
        <v>1.04</v>
      </c>
      <c r="AO547" s="766" t="s">
        <v>1416</v>
      </c>
      <c r="AP547" s="758" t="s">
        <v>202</v>
      </c>
      <c r="AQ547" s="757" t="s">
        <v>87</v>
      </c>
      <c r="AR547" s="758" t="s">
        <v>872</v>
      </c>
      <c r="AS547" s="768">
        <v>4</v>
      </c>
      <c r="AT547" s="758">
        <v>1</v>
      </c>
      <c r="AU547" s="758">
        <v>1</v>
      </c>
      <c r="AV547" s="758">
        <v>1</v>
      </c>
      <c r="AW547" s="758">
        <v>1</v>
      </c>
      <c r="AX547" s="768">
        <v>4</v>
      </c>
      <c r="AY547" s="769">
        <v>25000000</v>
      </c>
      <c r="AZ547" s="769">
        <v>25000000</v>
      </c>
      <c r="BA547" s="769">
        <v>0</v>
      </c>
      <c r="BB547" s="769">
        <v>25000000</v>
      </c>
      <c r="BC547" s="770">
        <f t="shared" si="109"/>
        <v>75000000</v>
      </c>
      <c r="BD547" s="770" t="s">
        <v>130</v>
      </c>
      <c r="BE547" s="770" t="s">
        <v>132</v>
      </c>
    </row>
    <row r="548" spans="1:57">
      <c r="A548" s="755"/>
      <c r="B548" s="755"/>
      <c r="C548" s="755"/>
      <c r="D548" s="755"/>
      <c r="E548" s="755"/>
      <c r="F548" s="755"/>
      <c r="G548" s="755"/>
      <c r="H548" s="174"/>
      <c r="I548" s="312"/>
      <c r="J548" s="312"/>
      <c r="K548" s="312"/>
      <c r="L548" s="312"/>
      <c r="M548" s="312"/>
      <c r="N548" s="174"/>
      <c r="O548" s="312"/>
      <c r="P548" s="312"/>
      <c r="Q548" s="312"/>
      <c r="R548" s="312"/>
      <c r="S548" s="312"/>
      <c r="T548" s="312"/>
      <c r="U548" s="312"/>
      <c r="V548" s="312"/>
      <c r="W548" s="312"/>
      <c r="X548" s="312"/>
      <c r="Y548" s="312"/>
      <c r="Z548" s="312"/>
      <c r="AA548" s="312"/>
      <c r="AB548" s="312"/>
      <c r="AC548" s="349" t="s">
        <v>1453</v>
      </c>
      <c r="AD548" s="316"/>
      <c r="AE548" s="316"/>
      <c r="AF548" s="316"/>
      <c r="AG548" s="316"/>
      <c r="AH548" s="316"/>
      <c r="AI548" s="314"/>
      <c r="AJ548" s="448">
        <f t="shared" ref="AJ548" si="112">SUM(AJ536:AJ547)</f>
        <v>100.05</v>
      </c>
      <c r="AK548" s="448"/>
      <c r="AL548" s="448"/>
      <c r="AM548" s="448"/>
      <c r="AN548" s="448"/>
      <c r="AO548" s="314"/>
      <c r="AP548" s="357"/>
      <c r="AQ548" s="312"/>
      <c r="AR548" s="186"/>
      <c r="AS548" s="312"/>
      <c r="AT548" s="186"/>
      <c r="AU548" s="186"/>
      <c r="AV548" s="186"/>
      <c r="AW548" s="186"/>
      <c r="AX548" s="312"/>
      <c r="AY548" s="258">
        <v>375000000</v>
      </c>
      <c r="AZ548" s="258">
        <v>398700000</v>
      </c>
      <c r="BA548" s="258">
        <v>360000000</v>
      </c>
      <c r="BB548" s="258">
        <v>300000000</v>
      </c>
      <c r="BC548" s="234">
        <f t="shared" si="109"/>
        <v>1433700000</v>
      </c>
      <c r="BD548" s="321"/>
      <c r="BE548" s="321"/>
    </row>
    <row r="549" spans="1:57">
      <c r="A549" s="755"/>
      <c r="B549" s="755"/>
      <c r="C549" s="755"/>
      <c r="D549" s="755"/>
      <c r="E549" s="755"/>
      <c r="F549" s="755"/>
      <c r="G549" s="755"/>
      <c r="H549" s="91"/>
      <c r="I549" s="91"/>
      <c r="J549" s="331"/>
      <c r="K549" s="331"/>
      <c r="L549" s="331"/>
      <c r="M549" s="331"/>
      <c r="N549" s="262"/>
      <c r="O549" s="394">
        <f>SUM(O520:O548)</f>
        <v>100.00000000000001</v>
      </c>
      <c r="P549" s="331"/>
      <c r="Q549" s="331"/>
      <c r="R549" s="331"/>
      <c r="S549" s="331"/>
      <c r="T549" s="331"/>
      <c r="U549" s="331"/>
      <c r="V549" s="331"/>
      <c r="W549" s="331"/>
      <c r="X549" s="331"/>
      <c r="Y549" s="331"/>
      <c r="Z549" s="331"/>
      <c r="AA549" s="331"/>
      <c r="AB549" s="331"/>
      <c r="AC549" s="334"/>
      <c r="AD549" s="428">
        <f>SUM(AD520:AD548)</f>
        <v>100</v>
      </c>
      <c r="AE549" s="335"/>
      <c r="AF549" s="335"/>
      <c r="AG549" s="335"/>
      <c r="AH549" s="335"/>
      <c r="AI549" s="329"/>
      <c r="AJ549" s="330"/>
      <c r="AK549" s="330"/>
      <c r="AL549" s="330"/>
      <c r="AM549" s="330"/>
      <c r="AN549" s="330"/>
      <c r="AO549" s="329"/>
      <c r="AP549" s="358"/>
      <c r="AQ549" s="331"/>
      <c r="AR549" s="332"/>
      <c r="AS549" s="331"/>
      <c r="AT549" s="332"/>
      <c r="AU549" s="332"/>
      <c r="AV549" s="332"/>
      <c r="AW549" s="332"/>
      <c r="AX549" s="331"/>
      <c r="AY549" s="336">
        <f t="shared" ref="AY549:BC549" si="113">+AY548+AY535+AY530</f>
        <v>2669562327.4499998</v>
      </c>
      <c r="AZ549" s="336">
        <f t="shared" si="113"/>
        <v>1571642438</v>
      </c>
      <c r="BA549" s="336">
        <f t="shared" si="113"/>
        <v>1546547113</v>
      </c>
      <c r="BB549" s="336">
        <f t="shared" si="113"/>
        <v>2348940109.6999998</v>
      </c>
      <c r="BC549" s="336">
        <f t="shared" si="113"/>
        <v>8136691988.1499996</v>
      </c>
      <c r="BD549" s="333"/>
      <c r="BE549" s="333"/>
    </row>
    <row r="550" spans="1:57" ht="33.75">
      <c r="A550" s="755"/>
      <c r="B550" s="755"/>
      <c r="C550" s="755"/>
      <c r="D550" s="755"/>
      <c r="E550" s="755"/>
      <c r="F550" s="755"/>
      <c r="G550" s="755"/>
      <c r="H550" s="750" t="s">
        <v>1323</v>
      </c>
      <c r="I550" s="753">
        <f>+(8*100)/14</f>
        <v>57.142857142857146</v>
      </c>
      <c r="J550" s="760">
        <f>+I550*C4</f>
        <v>5.7142857142857153</v>
      </c>
      <c r="K550" s="760">
        <f>+I550*D4</f>
        <v>25.714285714285715</v>
      </c>
      <c r="L550" s="760">
        <f>+I550*E4</f>
        <v>14.285714285714286</v>
      </c>
      <c r="M550" s="760">
        <f>+I550*F4</f>
        <v>11.428571428571431</v>
      </c>
      <c r="N550" s="750" t="s">
        <v>1318</v>
      </c>
      <c r="O550" s="760">
        <f>+(2.5*100)/8</f>
        <v>31.25</v>
      </c>
      <c r="P550" s="760">
        <f>+O550*C4</f>
        <v>3.125</v>
      </c>
      <c r="Q550" s="760">
        <f>+O550*D4</f>
        <v>14.0625</v>
      </c>
      <c r="R550" s="760">
        <f>+O550*E4</f>
        <v>7.8125</v>
      </c>
      <c r="S550" s="760">
        <f>+O550*F4</f>
        <v>6.25</v>
      </c>
      <c r="T550" s="750" t="s">
        <v>1329</v>
      </c>
      <c r="U550" s="750" t="s">
        <v>202</v>
      </c>
      <c r="V550" s="750" t="s">
        <v>88</v>
      </c>
      <c r="W550" s="751" t="s">
        <v>221</v>
      </c>
      <c r="X550" s="772">
        <v>0.3</v>
      </c>
      <c r="Y550" s="772">
        <v>0.05</v>
      </c>
      <c r="Z550" s="772">
        <v>0.25</v>
      </c>
      <c r="AA550" s="772">
        <v>0.27</v>
      </c>
      <c r="AB550" s="772">
        <v>0.3</v>
      </c>
      <c r="AC550" s="752" t="s">
        <v>1338</v>
      </c>
      <c r="AD550" s="760">
        <f>+(4.5*100)/8</f>
        <v>56.25</v>
      </c>
      <c r="AE550" s="760">
        <f>+AD550*C4</f>
        <v>5.625</v>
      </c>
      <c r="AF550" s="760">
        <f>+AD550*D4</f>
        <v>25.3125</v>
      </c>
      <c r="AG550" s="760">
        <f>+AD550*E4</f>
        <v>14.0625</v>
      </c>
      <c r="AH550" s="760">
        <f>+AD550*F4</f>
        <v>11.25</v>
      </c>
      <c r="AI550" s="766" t="s">
        <v>1368</v>
      </c>
      <c r="AJ550" s="767">
        <f t="shared" ref="AJ550:AJ564" si="114">+(0.3*100)/4.5</f>
        <v>6.666666666666667</v>
      </c>
      <c r="AK550" s="767">
        <f>+AJ550*C4</f>
        <v>0.66666666666666674</v>
      </c>
      <c r="AL550" s="767">
        <f>+AJ550*D4</f>
        <v>3</v>
      </c>
      <c r="AM550" s="767">
        <f>+AJ550*E4</f>
        <v>1.6666666666666667</v>
      </c>
      <c r="AN550" s="767">
        <f>+AJ550*F4</f>
        <v>1.3333333333333335</v>
      </c>
      <c r="AO550" s="766" t="s">
        <v>1417</v>
      </c>
      <c r="AP550" s="758" t="s">
        <v>202</v>
      </c>
      <c r="AQ550" s="762" t="s">
        <v>88</v>
      </c>
      <c r="AR550" s="764" t="s">
        <v>1439</v>
      </c>
      <c r="AS550" s="764" t="s">
        <v>1439</v>
      </c>
      <c r="AT550" s="773">
        <v>1</v>
      </c>
      <c r="AU550" s="773">
        <v>1</v>
      </c>
      <c r="AV550" s="773">
        <v>1</v>
      </c>
      <c r="AW550" s="773">
        <v>1</v>
      </c>
      <c r="AX550" s="773">
        <v>1</v>
      </c>
      <c r="AY550" s="774">
        <v>7952253790</v>
      </c>
      <c r="AZ550" s="774">
        <v>2040000000</v>
      </c>
      <c r="BA550" s="774">
        <v>1766000000</v>
      </c>
      <c r="BB550" s="774">
        <v>1333000000</v>
      </c>
      <c r="BC550" s="775">
        <f t="shared" si="109"/>
        <v>13091253790</v>
      </c>
      <c r="BD550" s="775" t="s">
        <v>1442</v>
      </c>
      <c r="BE550" s="775" t="s">
        <v>112</v>
      </c>
    </row>
    <row r="551" spans="1:57" ht="22.5">
      <c r="A551" s="755"/>
      <c r="B551" s="755"/>
      <c r="C551" s="755"/>
      <c r="D551" s="755"/>
      <c r="E551" s="755"/>
      <c r="F551" s="755"/>
      <c r="G551" s="755"/>
      <c r="H551" s="750"/>
      <c r="I551" s="755"/>
      <c r="J551" s="776"/>
      <c r="K551" s="776"/>
      <c r="L551" s="776"/>
      <c r="M551" s="776"/>
      <c r="N551" s="750"/>
      <c r="O551" s="755"/>
      <c r="P551" s="755"/>
      <c r="Q551" s="755"/>
      <c r="R551" s="755"/>
      <c r="S551" s="755"/>
      <c r="T551" s="750"/>
      <c r="U551" s="755"/>
      <c r="V551" s="755"/>
      <c r="W551" s="751"/>
      <c r="X551" s="751"/>
      <c r="Y551" s="755"/>
      <c r="Z551" s="755"/>
      <c r="AA551" s="755"/>
      <c r="AB551" s="755"/>
      <c r="AC551" s="755"/>
      <c r="AD551" s="755"/>
      <c r="AE551" s="755"/>
      <c r="AF551" s="755"/>
      <c r="AG551" s="755"/>
      <c r="AH551" s="755"/>
      <c r="AI551" s="766" t="s">
        <v>1369</v>
      </c>
      <c r="AJ551" s="767">
        <f t="shared" si="114"/>
        <v>6.666666666666667</v>
      </c>
      <c r="AK551" s="767">
        <f>+AJ551*C4</f>
        <v>0.66666666666666674</v>
      </c>
      <c r="AL551" s="767">
        <f>+AJ551*D4</f>
        <v>3</v>
      </c>
      <c r="AM551" s="767">
        <v>3</v>
      </c>
      <c r="AN551" s="767">
        <v>0</v>
      </c>
      <c r="AO551" s="766" t="s">
        <v>1418</v>
      </c>
      <c r="AP551" s="758" t="s">
        <v>202</v>
      </c>
      <c r="AQ551" s="757" t="s">
        <v>87</v>
      </c>
      <c r="AR551" s="767">
        <v>11</v>
      </c>
      <c r="AS551" s="777">
        <v>0</v>
      </c>
      <c r="AT551" s="777">
        <v>8</v>
      </c>
      <c r="AU551" s="777">
        <v>1</v>
      </c>
      <c r="AV551" s="777">
        <v>3</v>
      </c>
      <c r="AW551" s="777">
        <v>3</v>
      </c>
      <c r="AX551" s="777">
        <v>0</v>
      </c>
      <c r="AY551" s="769">
        <v>0</v>
      </c>
      <c r="AZ551" s="769">
        <v>0</v>
      </c>
      <c r="BA551" s="769">
        <v>0</v>
      </c>
      <c r="BB551" s="769">
        <v>0</v>
      </c>
      <c r="BC551" s="770">
        <f t="shared" si="109"/>
        <v>0</v>
      </c>
      <c r="BD551" s="770" t="s">
        <v>1442</v>
      </c>
      <c r="BE551" s="770" t="s">
        <v>112</v>
      </c>
    </row>
    <row r="552" spans="1:57" ht="33.75">
      <c r="A552" s="755"/>
      <c r="B552" s="755"/>
      <c r="C552" s="755"/>
      <c r="D552" s="755"/>
      <c r="E552" s="755"/>
      <c r="F552" s="755"/>
      <c r="G552" s="755"/>
      <c r="H552" s="750"/>
      <c r="I552" s="756"/>
      <c r="J552" s="755"/>
      <c r="K552" s="755"/>
      <c r="L552" s="755"/>
      <c r="M552" s="755"/>
      <c r="N552" s="750"/>
      <c r="O552" s="755"/>
      <c r="P552" s="755"/>
      <c r="Q552" s="755"/>
      <c r="R552" s="755"/>
      <c r="S552" s="755"/>
      <c r="T552" s="750"/>
      <c r="U552" s="755"/>
      <c r="V552" s="755"/>
      <c r="W552" s="751"/>
      <c r="X552" s="751"/>
      <c r="Y552" s="755"/>
      <c r="Z552" s="755"/>
      <c r="AA552" s="755"/>
      <c r="AB552" s="755"/>
      <c r="AC552" s="755"/>
      <c r="AD552" s="765"/>
      <c r="AE552" s="755"/>
      <c r="AF552" s="755"/>
      <c r="AG552" s="755"/>
      <c r="AH552" s="755"/>
      <c r="AI552" s="766" t="s">
        <v>1370</v>
      </c>
      <c r="AJ552" s="767">
        <f t="shared" si="114"/>
        <v>6.666666666666667</v>
      </c>
      <c r="AK552" s="767">
        <f>+AJ552*C4</f>
        <v>0.66666666666666674</v>
      </c>
      <c r="AL552" s="767">
        <f>+AJ552*D4</f>
        <v>3</v>
      </c>
      <c r="AM552" s="767">
        <f>+AJ552*E4</f>
        <v>1.6666666666666667</v>
      </c>
      <c r="AN552" s="767">
        <f>+AJ552*F4</f>
        <v>1.3333333333333335</v>
      </c>
      <c r="AO552" s="766" t="s">
        <v>1419</v>
      </c>
      <c r="AP552" s="758" t="s">
        <v>202</v>
      </c>
      <c r="AQ552" s="757" t="s">
        <v>87</v>
      </c>
      <c r="AR552" s="758">
        <v>0</v>
      </c>
      <c r="AS552" s="768">
        <v>1</v>
      </c>
      <c r="AT552" s="758">
        <v>0</v>
      </c>
      <c r="AU552" s="777">
        <v>1</v>
      </c>
      <c r="AV552" s="777">
        <v>1</v>
      </c>
      <c r="AW552" s="777">
        <v>1</v>
      </c>
      <c r="AX552" s="768">
        <v>1</v>
      </c>
      <c r="AY552" s="769">
        <v>0</v>
      </c>
      <c r="AZ552" s="769">
        <v>0</v>
      </c>
      <c r="BA552" s="769">
        <v>0</v>
      </c>
      <c r="BB552" s="769">
        <v>0</v>
      </c>
      <c r="BC552" s="770">
        <f t="shared" si="109"/>
        <v>0</v>
      </c>
      <c r="BD552" s="770" t="s">
        <v>1442</v>
      </c>
      <c r="BE552" s="770" t="s">
        <v>112</v>
      </c>
    </row>
    <row r="553" spans="1:57" ht="33.75">
      <c r="A553" s="755"/>
      <c r="B553" s="755"/>
      <c r="C553" s="755"/>
      <c r="D553" s="755"/>
      <c r="E553" s="755"/>
      <c r="F553" s="755"/>
      <c r="G553" s="755"/>
      <c r="H553" s="750"/>
      <c r="I553" s="755"/>
      <c r="J553" s="755"/>
      <c r="K553" s="755"/>
      <c r="L553" s="755"/>
      <c r="M553" s="755"/>
      <c r="N553" s="750"/>
      <c r="O553" s="755"/>
      <c r="P553" s="755"/>
      <c r="Q553" s="755"/>
      <c r="R553" s="755"/>
      <c r="S553" s="755"/>
      <c r="T553" s="750"/>
      <c r="U553" s="755"/>
      <c r="V553" s="755"/>
      <c r="W553" s="751"/>
      <c r="X553" s="751"/>
      <c r="Y553" s="755"/>
      <c r="Z553" s="755"/>
      <c r="AA553" s="755"/>
      <c r="AB553" s="755"/>
      <c r="AC553" s="755"/>
      <c r="AD553" s="755"/>
      <c r="AE553" s="755"/>
      <c r="AF553" s="755"/>
      <c r="AG553" s="755"/>
      <c r="AH553" s="755"/>
      <c r="AI553" s="766" t="s">
        <v>1371</v>
      </c>
      <c r="AJ553" s="767">
        <f t="shared" si="114"/>
        <v>6.666666666666667</v>
      </c>
      <c r="AK553" s="767">
        <f>+AJ553*C4</f>
        <v>0.66666666666666674</v>
      </c>
      <c r="AL553" s="767">
        <f>+AJ553*D4</f>
        <v>3</v>
      </c>
      <c r="AM553" s="767">
        <f>+AJ553*E4</f>
        <v>1.6666666666666667</v>
      </c>
      <c r="AN553" s="767">
        <f>+AJ553*F4</f>
        <v>1.3333333333333335</v>
      </c>
      <c r="AO553" s="766" t="s">
        <v>843</v>
      </c>
      <c r="AP553" s="758" t="s">
        <v>202</v>
      </c>
      <c r="AQ553" s="757" t="s">
        <v>87</v>
      </c>
      <c r="AR553" s="758">
        <v>0</v>
      </c>
      <c r="AS553" s="768">
        <v>1</v>
      </c>
      <c r="AT553" s="758">
        <v>0</v>
      </c>
      <c r="AU553" s="777">
        <v>1</v>
      </c>
      <c r="AV553" s="777">
        <v>1</v>
      </c>
      <c r="AW553" s="777">
        <v>1</v>
      </c>
      <c r="AX553" s="768">
        <v>1</v>
      </c>
      <c r="AY553" s="769">
        <v>0</v>
      </c>
      <c r="AZ553" s="769">
        <v>0</v>
      </c>
      <c r="BA553" s="769">
        <v>0</v>
      </c>
      <c r="BB553" s="769">
        <v>0</v>
      </c>
      <c r="BC553" s="770">
        <f t="shared" si="109"/>
        <v>0</v>
      </c>
      <c r="BD553" s="770" t="s">
        <v>1442</v>
      </c>
      <c r="BE553" s="770" t="s">
        <v>112</v>
      </c>
    </row>
    <row r="554" spans="1:57" ht="22.5">
      <c r="A554" s="755"/>
      <c r="B554" s="755"/>
      <c r="C554" s="755"/>
      <c r="D554" s="755"/>
      <c r="E554" s="755"/>
      <c r="F554" s="755"/>
      <c r="G554" s="755"/>
      <c r="H554" s="750"/>
      <c r="I554" s="755"/>
      <c r="J554" s="755"/>
      <c r="K554" s="755"/>
      <c r="L554" s="755"/>
      <c r="M554" s="755"/>
      <c r="N554" s="750"/>
      <c r="O554" s="755"/>
      <c r="P554" s="755"/>
      <c r="Q554" s="755"/>
      <c r="R554" s="755"/>
      <c r="S554" s="755"/>
      <c r="T554" s="750"/>
      <c r="U554" s="755"/>
      <c r="V554" s="755"/>
      <c r="W554" s="751"/>
      <c r="X554" s="751"/>
      <c r="Y554" s="755"/>
      <c r="Z554" s="755"/>
      <c r="AA554" s="755"/>
      <c r="AB554" s="755"/>
      <c r="AC554" s="755"/>
      <c r="AD554" s="755"/>
      <c r="AE554" s="755"/>
      <c r="AF554" s="755"/>
      <c r="AG554" s="755"/>
      <c r="AH554" s="755"/>
      <c r="AI554" s="766" t="s">
        <v>1372</v>
      </c>
      <c r="AJ554" s="767">
        <f t="shared" si="114"/>
        <v>6.666666666666667</v>
      </c>
      <c r="AK554" s="767">
        <f>+AJ554*C4</f>
        <v>0.66666666666666674</v>
      </c>
      <c r="AL554" s="767">
        <v>0</v>
      </c>
      <c r="AM554" s="767">
        <v>6</v>
      </c>
      <c r="AN554" s="767">
        <v>0</v>
      </c>
      <c r="AO554" s="766" t="s">
        <v>895</v>
      </c>
      <c r="AP554" s="758" t="s">
        <v>202</v>
      </c>
      <c r="AQ554" s="757" t="s">
        <v>87</v>
      </c>
      <c r="AR554" s="758">
        <v>1</v>
      </c>
      <c r="AS554" s="768">
        <v>2</v>
      </c>
      <c r="AT554" s="758">
        <v>1</v>
      </c>
      <c r="AU554" s="777">
        <v>0</v>
      </c>
      <c r="AV554" s="777">
        <v>1</v>
      </c>
      <c r="AW554" s="777">
        <v>0</v>
      </c>
      <c r="AX554" s="768">
        <v>2</v>
      </c>
      <c r="AY554" s="769">
        <v>0</v>
      </c>
      <c r="AZ554" s="769">
        <v>0</v>
      </c>
      <c r="BA554" s="769">
        <v>0</v>
      </c>
      <c r="BB554" s="769">
        <v>0</v>
      </c>
      <c r="BC554" s="770">
        <f t="shared" si="109"/>
        <v>0</v>
      </c>
      <c r="BD554" s="770" t="s">
        <v>1442</v>
      </c>
      <c r="BE554" s="770" t="s">
        <v>112</v>
      </c>
    </row>
    <row r="555" spans="1:57" ht="33.75">
      <c r="A555" s="755"/>
      <c r="B555" s="755"/>
      <c r="C555" s="755"/>
      <c r="D555" s="755"/>
      <c r="E555" s="755"/>
      <c r="F555" s="755"/>
      <c r="G555" s="755"/>
      <c r="H555" s="750"/>
      <c r="I555" s="755"/>
      <c r="J555" s="755"/>
      <c r="K555" s="755"/>
      <c r="L555" s="755"/>
      <c r="M555" s="755"/>
      <c r="N555" s="750"/>
      <c r="O555" s="755"/>
      <c r="P555" s="755"/>
      <c r="Q555" s="755"/>
      <c r="R555" s="755"/>
      <c r="S555" s="755"/>
      <c r="T555" s="750"/>
      <c r="U555" s="755"/>
      <c r="V555" s="755"/>
      <c r="W555" s="751"/>
      <c r="X555" s="751"/>
      <c r="Y555" s="755"/>
      <c r="Z555" s="755"/>
      <c r="AA555" s="755"/>
      <c r="AB555" s="755"/>
      <c r="AC555" s="755"/>
      <c r="AD555" s="755"/>
      <c r="AE555" s="755"/>
      <c r="AF555" s="755"/>
      <c r="AG555" s="755"/>
      <c r="AH555" s="755"/>
      <c r="AI555" s="766" t="s">
        <v>1373</v>
      </c>
      <c r="AJ555" s="767">
        <f t="shared" si="114"/>
        <v>6.666666666666667</v>
      </c>
      <c r="AK555" s="767">
        <f>+AJ555*C4</f>
        <v>0.66666666666666674</v>
      </c>
      <c r="AL555" s="767">
        <f>+AJ555*D4</f>
        <v>3</v>
      </c>
      <c r="AM555" s="767">
        <f>+AJ555*E4</f>
        <v>1.6666666666666667</v>
      </c>
      <c r="AN555" s="767">
        <f>+AJ555*F4</f>
        <v>1.3333333333333335</v>
      </c>
      <c r="AO555" s="766" t="s">
        <v>1420</v>
      </c>
      <c r="AP555" s="758" t="s">
        <v>202</v>
      </c>
      <c r="AQ555" s="757" t="s">
        <v>87</v>
      </c>
      <c r="AR555" s="758">
        <v>0</v>
      </c>
      <c r="AS555" s="758">
        <v>10</v>
      </c>
      <c r="AT555" s="758">
        <v>2</v>
      </c>
      <c r="AU555" s="777">
        <v>4</v>
      </c>
      <c r="AV555" s="777">
        <v>3</v>
      </c>
      <c r="AW555" s="777">
        <v>1</v>
      </c>
      <c r="AX555" s="758">
        <v>10</v>
      </c>
      <c r="AY555" s="769">
        <v>0</v>
      </c>
      <c r="AZ555" s="769">
        <v>0</v>
      </c>
      <c r="BA555" s="769">
        <v>0</v>
      </c>
      <c r="BB555" s="769">
        <v>0</v>
      </c>
      <c r="BC555" s="770">
        <f t="shared" si="109"/>
        <v>0</v>
      </c>
      <c r="BD555" s="770" t="s">
        <v>1442</v>
      </c>
      <c r="BE555" s="770" t="s">
        <v>112</v>
      </c>
    </row>
    <row r="556" spans="1:57" ht="33.75">
      <c r="A556" s="755"/>
      <c r="B556" s="755"/>
      <c r="C556" s="755"/>
      <c r="D556" s="755"/>
      <c r="E556" s="755"/>
      <c r="F556" s="755"/>
      <c r="G556" s="755"/>
      <c r="H556" s="750"/>
      <c r="I556" s="755"/>
      <c r="J556" s="755"/>
      <c r="K556" s="755"/>
      <c r="L556" s="755"/>
      <c r="M556" s="755"/>
      <c r="N556" s="750"/>
      <c r="O556" s="755"/>
      <c r="P556" s="755"/>
      <c r="Q556" s="755"/>
      <c r="R556" s="755"/>
      <c r="S556" s="755"/>
      <c r="T556" s="750"/>
      <c r="U556" s="755"/>
      <c r="V556" s="755"/>
      <c r="W556" s="751"/>
      <c r="X556" s="751"/>
      <c r="Y556" s="755"/>
      <c r="Z556" s="755"/>
      <c r="AA556" s="755"/>
      <c r="AB556" s="755"/>
      <c r="AC556" s="755"/>
      <c r="AD556" s="755"/>
      <c r="AE556" s="755"/>
      <c r="AF556" s="755"/>
      <c r="AG556" s="755"/>
      <c r="AH556" s="755"/>
      <c r="AI556" s="766" t="s">
        <v>1374</v>
      </c>
      <c r="AJ556" s="767">
        <f t="shared" si="114"/>
        <v>6.666666666666667</v>
      </c>
      <c r="AK556" s="767">
        <f>+AJ556*C4</f>
        <v>0.66666666666666674</v>
      </c>
      <c r="AL556" s="767">
        <f>+AJ556*D4</f>
        <v>3</v>
      </c>
      <c r="AM556" s="767">
        <f>+AJ556*E4</f>
        <v>1.6666666666666667</v>
      </c>
      <c r="AN556" s="767">
        <f>+AJ556*F4</f>
        <v>1.3333333333333335</v>
      </c>
      <c r="AO556" s="766" t="s">
        <v>1421</v>
      </c>
      <c r="AP556" s="758" t="s">
        <v>203</v>
      </c>
      <c r="AQ556" s="757" t="s">
        <v>87</v>
      </c>
      <c r="AR556" s="758">
        <v>0</v>
      </c>
      <c r="AS556" s="768">
        <v>1</v>
      </c>
      <c r="AT556" s="758">
        <v>1</v>
      </c>
      <c r="AU556" s="777">
        <v>1</v>
      </c>
      <c r="AV556" s="777">
        <v>1</v>
      </c>
      <c r="AW556" s="777">
        <v>1</v>
      </c>
      <c r="AX556" s="768">
        <v>1</v>
      </c>
      <c r="AY556" s="769">
        <v>0</v>
      </c>
      <c r="AZ556" s="769">
        <v>0</v>
      </c>
      <c r="BA556" s="769">
        <v>0</v>
      </c>
      <c r="BB556" s="769">
        <v>0</v>
      </c>
      <c r="BC556" s="770">
        <f t="shared" si="109"/>
        <v>0</v>
      </c>
      <c r="BD556" s="770" t="s">
        <v>1442</v>
      </c>
      <c r="BE556" s="770" t="s">
        <v>112</v>
      </c>
    </row>
    <row r="557" spans="1:57" ht="22.5">
      <c r="A557" s="755"/>
      <c r="B557" s="755"/>
      <c r="C557" s="755"/>
      <c r="D557" s="755"/>
      <c r="E557" s="755"/>
      <c r="F557" s="755"/>
      <c r="G557" s="755"/>
      <c r="H557" s="750"/>
      <c r="I557" s="755"/>
      <c r="J557" s="755"/>
      <c r="K557" s="755"/>
      <c r="L557" s="755"/>
      <c r="M557" s="755"/>
      <c r="N557" s="750"/>
      <c r="O557" s="755"/>
      <c r="P557" s="755"/>
      <c r="Q557" s="755"/>
      <c r="R557" s="755"/>
      <c r="S557" s="755"/>
      <c r="T557" s="750"/>
      <c r="U557" s="755"/>
      <c r="V557" s="755"/>
      <c r="W557" s="751"/>
      <c r="X557" s="751"/>
      <c r="Y557" s="755"/>
      <c r="Z557" s="755"/>
      <c r="AA557" s="755"/>
      <c r="AB557" s="755"/>
      <c r="AC557" s="755"/>
      <c r="AD557" s="755"/>
      <c r="AE557" s="755"/>
      <c r="AF557" s="755"/>
      <c r="AG557" s="755"/>
      <c r="AH557" s="755"/>
      <c r="AI557" s="766" t="s">
        <v>1375</v>
      </c>
      <c r="AJ557" s="767">
        <f t="shared" si="114"/>
        <v>6.666666666666667</v>
      </c>
      <c r="AK557" s="767">
        <f>+AJ557*C4</f>
        <v>0.66666666666666674</v>
      </c>
      <c r="AL557" s="767">
        <f>+AJ557*D4</f>
        <v>3</v>
      </c>
      <c r="AM557" s="767">
        <f>+AJ557*E4</f>
        <v>1.6666666666666667</v>
      </c>
      <c r="AN557" s="767">
        <f>+AJ557*F4</f>
        <v>1.3333333333333335</v>
      </c>
      <c r="AO557" s="766" t="s">
        <v>1422</v>
      </c>
      <c r="AP557" s="758" t="s">
        <v>203</v>
      </c>
      <c r="AQ557" s="757" t="s">
        <v>87</v>
      </c>
      <c r="AR557" s="758">
        <v>1</v>
      </c>
      <c r="AS557" s="768">
        <v>1</v>
      </c>
      <c r="AT557" s="758">
        <v>1</v>
      </c>
      <c r="AU557" s="777">
        <v>1</v>
      </c>
      <c r="AV557" s="777">
        <v>1</v>
      </c>
      <c r="AW557" s="777">
        <v>1</v>
      </c>
      <c r="AX557" s="768">
        <v>1</v>
      </c>
      <c r="AY557" s="769">
        <v>0</v>
      </c>
      <c r="AZ557" s="769">
        <v>0</v>
      </c>
      <c r="BA557" s="769">
        <v>0</v>
      </c>
      <c r="BB557" s="769">
        <v>0</v>
      </c>
      <c r="BC557" s="770">
        <f t="shared" si="109"/>
        <v>0</v>
      </c>
      <c r="BD557" s="770" t="s">
        <v>1442</v>
      </c>
      <c r="BE557" s="770" t="s">
        <v>112</v>
      </c>
    </row>
    <row r="558" spans="1:57" ht="22.5">
      <c r="A558" s="755"/>
      <c r="B558" s="755"/>
      <c r="C558" s="755"/>
      <c r="D558" s="755"/>
      <c r="E558" s="755"/>
      <c r="F558" s="755"/>
      <c r="G558" s="755"/>
      <c r="H558" s="750"/>
      <c r="I558" s="755"/>
      <c r="J558" s="755"/>
      <c r="K558" s="755"/>
      <c r="L558" s="755"/>
      <c r="M558" s="755"/>
      <c r="N558" s="750"/>
      <c r="O558" s="755"/>
      <c r="P558" s="755"/>
      <c r="Q558" s="755"/>
      <c r="R558" s="755"/>
      <c r="S558" s="755"/>
      <c r="T558" s="750"/>
      <c r="U558" s="755"/>
      <c r="V558" s="755"/>
      <c r="W558" s="751"/>
      <c r="X558" s="751"/>
      <c r="Y558" s="755"/>
      <c r="Z558" s="755"/>
      <c r="AA558" s="755"/>
      <c r="AB558" s="755"/>
      <c r="AC558" s="755"/>
      <c r="AD558" s="755"/>
      <c r="AE558" s="755"/>
      <c r="AF558" s="755"/>
      <c r="AG558" s="755"/>
      <c r="AH558" s="755"/>
      <c r="AI558" s="766" t="s">
        <v>1376</v>
      </c>
      <c r="AJ558" s="767">
        <f t="shared" si="114"/>
        <v>6.666666666666667</v>
      </c>
      <c r="AK558" s="767">
        <f>+AJ558*C4</f>
        <v>0.66666666666666674</v>
      </c>
      <c r="AL558" s="767">
        <f>+AJ558*D4</f>
        <v>3</v>
      </c>
      <c r="AM558" s="767">
        <v>3</v>
      </c>
      <c r="AN558" s="767">
        <v>0</v>
      </c>
      <c r="AO558" s="766" t="s">
        <v>1423</v>
      </c>
      <c r="AP558" s="758" t="s">
        <v>202</v>
      </c>
      <c r="AQ558" s="757" t="s">
        <v>87</v>
      </c>
      <c r="AR558" s="758">
        <v>2</v>
      </c>
      <c r="AS558" s="768">
        <v>3</v>
      </c>
      <c r="AT558" s="758">
        <v>1</v>
      </c>
      <c r="AU558" s="777">
        <v>1</v>
      </c>
      <c r="AV558" s="777">
        <v>1</v>
      </c>
      <c r="AW558" s="777">
        <v>0</v>
      </c>
      <c r="AX558" s="768">
        <v>3</v>
      </c>
      <c r="AY558" s="769">
        <v>0</v>
      </c>
      <c r="AZ558" s="769">
        <v>0</v>
      </c>
      <c r="BA558" s="769">
        <v>0</v>
      </c>
      <c r="BB558" s="769">
        <v>0</v>
      </c>
      <c r="BC558" s="770">
        <f t="shared" si="109"/>
        <v>0</v>
      </c>
      <c r="BD558" s="770" t="s">
        <v>1442</v>
      </c>
      <c r="BE558" s="770" t="s">
        <v>112</v>
      </c>
    </row>
    <row r="559" spans="1:57" ht="22.5">
      <c r="A559" s="755"/>
      <c r="B559" s="755"/>
      <c r="C559" s="755"/>
      <c r="D559" s="755"/>
      <c r="E559" s="755"/>
      <c r="F559" s="755"/>
      <c r="G559" s="755"/>
      <c r="H559" s="750"/>
      <c r="I559" s="755"/>
      <c r="J559" s="755"/>
      <c r="K559" s="755"/>
      <c r="L559" s="755"/>
      <c r="M559" s="755"/>
      <c r="N559" s="750"/>
      <c r="O559" s="755"/>
      <c r="P559" s="755"/>
      <c r="Q559" s="755"/>
      <c r="R559" s="755"/>
      <c r="S559" s="755"/>
      <c r="T559" s="750"/>
      <c r="U559" s="755"/>
      <c r="V559" s="755"/>
      <c r="W559" s="751"/>
      <c r="X559" s="751"/>
      <c r="Y559" s="755"/>
      <c r="Z559" s="755"/>
      <c r="AA559" s="755"/>
      <c r="AB559" s="755"/>
      <c r="AC559" s="755"/>
      <c r="AD559" s="755"/>
      <c r="AE559" s="755"/>
      <c r="AF559" s="755"/>
      <c r="AG559" s="755"/>
      <c r="AH559" s="755"/>
      <c r="AI559" s="766" t="s">
        <v>1377</v>
      </c>
      <c r="AJ559" s="767">
        <f t="shared" si="114"/>
        <v>6.666666666666667</v>
      </c>
      <c r="AK559" s="767">
        <f>+AJ559*C4</f>
        <v>0.66666666666666674</v>
      </c>
      <c r="AL559" s="767">
        <f>+AJ559*D4</f>
        <v>3</v>
      </c>
      <c r="AM559" s="767">
        <f>+AJ559*E4</f>
        <v>1.6666666666666667</v>
      </c>
      <c r="AN559" s="767">
        <f>+AJ559*F4</f>
        <v>1.3333333333333335</v>
      </c>
      <c r="AO559" s="766" t="s">
        <v>1424</v>
      </c>
      <c r="AP559" s="758" t="s">
        <v>203</v>
      </c>
      <c r="AQ559" s="757" t="s">
        <v>87</v>
      </c>
      <c r="AR559" s="758">
        <v>1</v>
      </c>
      <c r="AS559" s="768">
        <v>1</v>
      </c>
      <c r="AT559" s="758">
        <v>1</v>
      </c>
      <c r="AU559" s="777">
        <v>1</v>
      </c>
      <c r="AV559" s="777">
        <v>1</v>
      </c>
      <c r="AW559" s="777">
        <v>1</v>
      </c>
      <c r="AX559" s="768">
        <v>1</v>
      </c>
      <c r="AY559" s="769">
        <v>0</v>
      </c>
      <c r="AZ559" s="769">
        <v>0</v>
      </c>
      <c r="BA559" s="769">
        <v>0</v>
      </c>
      <c r="BB559" s="769">
        <v>0</v>
      </c>
      <c r="BC559" s="770">
        <f t="shared" si="109"/>
        <v>0</v>
      </c>
      <c r="BD559" s="770" t="s">
        <v>1442</v>
      </c>
      <c r="BE559" s="770" t="s">
        <v>112</v>
      </c>
    </row>
    <row r="560" spans="1:57" ht="33.75">
      <c r="A560" s="755"/>
      <c r="B560" s="755"/>
      <c r="C560" s="755"/>
      <c r="D560" s="755"/>
      <c r="E560" s="755"/>
      <c r="F560" s="755"/>
      <c r="G560" s="755"/>
      <c r="H560" s="750"/>
      <c r="I560" s="755"/>
      <c r="J560" s="755"/>
      <c r="K560" s="755"/>
      <c r="L560" s="755"/>
      <c r="M560" s="755"/>
      <c r="N560" s="750"/>
      <c r="O560" s="755"/>
      <c r="P560" s="755"/>
      <c r="Q560" s="755"/>
      <c r="R560" s="755"/>
      <c r="S560" s="755"/>
      <c r="T560" s="750"/>
      <c r="U560" s="755"/>
      <c r="V560" s="755"/>
      <c r="W560" s="751"/>
      <c r="X560" s="751"/>
      <c r="Y560" s="755"/>
      <c r="Z560" s="755"/>
      <c r="AA560" s="755"/>
      <c r="AB560" s="755"/>
      <c r="AC560" s="755"/>
      <c r="AD560" s="755"/>
      <c r="AE560" s="755"/>
      <c r="AF560" s="755"/>
      <c r="AG560" s="755"/>
      <c r="AH560" s="755"/>
      <c r="AI560" s="766" t="s">
        <v>1378</v>
      </c>
      <c r="AJ560" s="767">
        <f t="shared" si="114"/>
        <v>6.666666666666667</v>
      </c>
      <c r="AK560" s="767">
        <f>+AJ560*C4</f>
        <v>0.66666666666666674</v>
      </c>
      <c r="AL560" s="767">
        <f>+AJ560*D4</f>
        <v>3</v>
      </c>
      <c r="AM560" s="767">
        <f>+AJ560*E4</f>
        <v>1.6666666666666667</v>
      </c>
      <c r="AN560" s="767">
        <f>+AJ560*F4</f>
        <v>1.3333333333333335</v>
      </c>
      <c r="AO560" s="766" t="s">
        <v>1423</v>
      </c>
      <c r="AP560" s="758" t="s">
        <v>203</v>
      </c>
      <c r="AQ560" s="757" t="s">
        <v>87</v>
      </c>
      <c r="AR560" s="758">
        <v>0</v>
      </c>
      <c r="AS560" s="768">
        <v>1</v>
      </c>
      <c r="AT560" s="758">
        <v>1</v>
      </c>
      <c r="AU560" s="777">
        <v>1</v>
      </c>
      <c r="AV560" s="777">
        <v>1</v>
      </c>
      <c r="AW560" s="777">
        <v>1</v>
      </c>
      <c r="AX560" s="768">
        <v>1</v>
      </c>
      <c r="AY560" s="769">
        <v>0</v>
      </c>
      <c r="AZ560" s="769">
        <v>0</v>
      </c>
      <c r="BA560" s="769">
        <v>0</v>
      </c>
      <c r="BB560" s="769">
        <v>0</v>
      </c>
      <c r="BC560" s="770">
        <f t="shared" si="109"/>
        <v>0</v>
      </c>
      <c r="BD560" s="770" t="s">
        <v>1442</v>
      </c>
      <c r="BE560" s="770" t="s">
        <v>112</v>
      </c>
    </row>
    <row r="561" spans="1:57" ht="22.5">
      <c r="A561" s="755"/>
      <c r="B561" s="755"/>
      <c r="C561" s="755"/>
      <c r="D561" s="755"/>
      <c r="E561" s="755"/>
      <c r="F561" s="755"/>
      <c r="G561" s="755"/>
      <c r="H561" s="750"/>
      <c r="I561" s="755"/>
      <c r="J561" s="755"/>
      <c r="K561" s="755"/>
      <c r="L561" s="755"/>
      <c r="M561" s="755"/>
      <c r="N561" s="750"/>
      <c r="O561" s="755"/>
      <c r="P561" s="755"/>
      <c r="Q561" s="755"/>
      <c r="R561" s="755"/>
      <c r="S561" s="755"/>
      <c r="T561" s="750"/>
      <c r="U561" s="755"/>
      <c r="V561" s="755"/>
      <c r="W561" s="751"/>
      <c r="X561" s="751"/>
      <c r="Y561" s="755"/>
      <c r="Z561" s="755"/>
      <c r="AA561" s="755"/>
      <c r="AB561" s="755"/>
      <c r="AC561" s="755"/>
      <c r="AD561" s="755"/>
      <c r="AE561" s="755"/>
      <c r="AF561" s="755"/>
      <c r="AG561" s="755"/>
      <c r="AH561" s="755"/>
      <c r="AI561" s="766" t="s">
        <v>1379</v>
      </c>
      <c r="AJ561" s="767">
        <f t="shared" si="114"/>
        <v>6.666666666666667</v>
      </c>
      <c r="AK561" s="767">
        <f>+AJ561*C4</f>
        <v>0.66666666666666674</v>
      </c>
      <c r="AL561" s="767">
        <f>+AJ561*D4</f>
        <v>3</v>
      </c>
      <c r="AM561" s="767">
        <f>+AJ561*E4</f>
        <v>1.6666666666666667</v>
      </c>
      <c r="AN561" s="767">
        <f>+AJ561*F4</f>
        <v>1.3333333333333335</v>
      </c>
      <c r="AO561" s="766" t="s">
        <v>1422</v>
      </c>
      <c r="AP561" s="758" t="s">
        <v>202</v>
      </c>
      <c r="AQ561" s="757" t="s">
        <v>87</v>
      </c>
      <c r="AR561" s="758">
        <v>0</v>
      </c>
      <c r="AS561" s="768">
        <v>1</v>
      </c>
      <c r="AT561" s="758">
        <v>1</v>
      </c>
      <c r="AU561" s="777">
        <v>1</v>
      </c>
      <c r="AV561" s="777">
        <v>1</v>
      </c>
      <c r="AW561" s="777">
        <v>1</v>
      </c>
      <c r="AX561" s="768">
        <v>1</v>
      </c>
      <c r="AY561" s="769">
        <v>0</v>
      </c>
      <c r="AZ561" s="769">
        <v>0</v>
      </c>
      <c r="BA561" s="769">
        <v>0</v>
      </c>
      <c r="BB561" s="769">
        <v>0</v>
      </c>
      <c r="BC561" s="770">
        <f t="shared" si="109"/>
        <v>0</v>
      </c>
      <c r="BD561" s="770" t="s">
        <v>1442</v>
      </c>
      <c r="BE561" s="770" t="s">
        <v>112</v>
      </c>
    </row>
    <row r="562" spans="1:57" ht="33.75">
      <c r="A562" s="755"/>
      <c r="B562" s="755"/>
      <c r="C562" s="755"/>
      <c r="D562" s="755"/>
      <c r="E562" s="755"/>
      <c r="F562" s="755"/>
      <c r="G562" s="755"/>
      <c r="H562" s="750"/>
      <c r="I562" s="755"/>
      <c r="J562" s="755"/>
      <c r="K562" s="755"/>
      <c r="L562" s="755"/>
      <c r="M562" s="755"/>
      <c r="N562" s="762"/>
      <c r="O562" s="763"/>
      <c r="P562" s="763"/>
      <c r="Q562" s="763"/>
      <c r="R562" s="763"/>
      <c r="S562" s="763"/>
      <c r="T562" s="762"/>
      <c r="U562" s="763"/>
      <c r="V562" s="763"/>
      <c r="W562" s="764"/>
      <c r="X562" s="764"/>
      <c r="Y562" s="763"/>
      <c r="Z562" s="763"/>
      <c r="AA562" s="763"/>
      <c r="AB562" s="763"/>
      <c r="AC562" s="755"/>
      <c r="AD562" s="755"/>
      <c r="AE562" s="755"/>
      <c r="AF562" s="755"/>
      <c r="AG562" s="755"/>
      <c r="AH562" s="755"/>
      <c r="AI562" s="766" t="s">
        <v>1380</v>
      </c>
      <c r="AJ562" s="767">
        <f t="shared" si="114"/>
        <v>6.666666666666667</v>
      </c>
      <c r="AK562" s="767">
        <f>+AJ562*C4</f>
        <v>0.66666666666666674</v>
      </c>
      <c r="AL562" s="767">
        <f>+AJ562*D4</f>
        <v>3</v>
      </c>
      <c r="AM562" s="767">
        <f>+AJ562*E4</f>
        <v>1.6666666666666667</v>
      </c>
      <c r="AN562" s="767">
        <f>+AJ562*F4</f>
        <v>1.3333333333333335</v>
      </c>
      <c r="AO562" s="766" t="s">
        <v>82</v>
      </c>
      <c r="AP562" s="758" t="s">
        <v>203</v>
      </c>
      <c r="AQ562" s="757" t="s">
        <v>87</v>
      </c>
      <c r="AR562" s="758">
        <v>1</v>
      </c>
      <c r="AS562" s="768">
        <v>1</v>
      </c>
      <c r="AT562" s="758">
        <v>1</v>
      </c>
      <c r="AU562" s="777">
        <v>1</v>
      </c>
      <c r="AV562" s="777">
        <v>1</v>
      </c>
      <c r="AW562" s="777">
        <v>1</v>
      </c>
      <c r="AX562" s="768">
        <v>1</v>
      </c>
      <c r="AY562" s="769">
        <v>0</v>
      </c>
      <c r="AZ562" s="769">
        <v>0</v>
      </c>
      <c r="BA562" s="769">
        <v>0</v>
      </c>
      <c r="BB562" s="769">
        <v>0</v>
      </c>
      <c r="BC562" s="770">
        <f t="shared" si="109"/>
        <v>0</v>
      </c>
      <c r="BD562" s="770" t="s">
        <v>1442</v>
      </c>
      <c r="BE562" s="770" t="s">
        <v>112</v>
      </c>
    </row>
    <row r="563" spans="1:57" ht="45">
      <c r="A563" s="755"/>
      <c r="B563" s="755"/>
      <c r="C563" s="755"/>
      <c r="D563" s="755"/>
      <c r="E563" s="755"/>
      <c r="F563" s="755"/>
      <c r="G563" s="755"/>
      <c r="H563" s="750"/>
      <c r="I563" s="755"/>
      <c r="J563" s="755"/>
      <c r="K563" s="755"/>
      <c r="L563" s="755"/>
      <c r="M563" s="755"/>
      <c r="N563" s="750" t="s">
        <v>1319</v>
      </c>
      <c r="O563" s="760">
        <f>+(2.5*100)/8</f>
        <v>31.25</v>
      </c>
      <c r="P563" s="760">
        <f>+O563*C4</f>
        <v>3.125</v>
      </c>
      <c r="Q563" s="760">
        <f>+O563*D4</f>
        <v>14.0625</v>
      </c>
      <c r="R563" s="760">
        <f>+O563*E4</f>
        <v>7.8125</v>
      </c>
      <c r="S563" s="760">
        <f>+O563*F4</f>
        <v>6.25</v>
      </c>
      <c r="T563" s="750" t="s">
        <v>1330</v>
      </c>
      <c r="U563" s="750" t="s">
        <v>1454</v>
      </c>
      <c r="V563" s="750" t="s">
        <v>88</v>
      </c>
      <c r="W563" s="751" t="s">
        <v>221</v>
      </c>
      <c r="X563" s="772">
        <v>0.3</v>
      </c>
      <c r="Y563" s="755"/>
      <c r="Z563" s="755"/>
      <c r="AA563" s="755"/>
      <c r="AB563" s="755"/>
      <c r="AC563" s="755"/>
      <c r="AD563" s="755"/>
      <c r="AE563" s="755"/>
      <c r="AF563" s="755"/>
      <c r="AG563" s="755"/>
      <c r="AH563" s="755"/>
      <c r="AI563" s="766" t="s">
        <v>1381</v>
      </c>
      <c r="AJ563" s="767">
        <f t="shared" si="114"/>
        <v>6.666666666666667</v>
      </c>
      <c r="AK563" s="767">
        <f>+AJ563*C4</f>
        <v>0.66666666666666674</v>
      </c>
      <c r="AL563" s="767">
        <f>+AJ563*D4</f>
        <v>3</v>
      </c>
      <c r="AM563" s="767">
        <f>+AJ563*E4</f>
        <v>1.6666666666666667</v>
      </c>
      <c r="AN563" s="767">
        <f>+AJ563*F4</f>
        <v>1.3333333333333335</v>
      </c>
      <c r="AO563" s="766" t="s">
        <v>1425</v>
      </c>
      <c r="AP563" s="758" t="s">
        <v>202</v>
      </c>
      <c r="AQ563" s="757" t="s">
        <v>87</v>
      </c>
      <c r="AR563" s="758">
        <v>1</v>
      </c>
      <c r="AS563" s="768">
        <v>5</v>
      </c>
      <c r="AT563" s="758">
        <v>2</v>
      </c>
      <c r="AU563" s="777">
        <v>1</v>
      </c>
      <c r="AV563" s="777">
        <v>1</v>
      </c>
      <c r="AW563" s="777">
        <v>1</v>
      </c>
      <c r="AX563" s="768">
        <v>5</v>
      </c>
      <c r="AY563" s="769">
        <v>0</v>
      </c>
      <c r="AZ563" s="769">
        <v>0</v>
      </c>
      <c r="BA563" s="769">
        <v>0</v>
      </c>
      <c r="BB563" s="769">
        <v>0</v>
      </c>
      <c r="BC563" s="770">
        <f t="shared" si="109"/>
        <v>0</v>
      </c>
      <c r="BD563" s="770" t="s">
        <v>1442</v>
      </c>
      <c r="BE563" s="770" t="s">
        <v>112</v>
      </c>
    </row>
    <row r="564" spans="1:57" ht="45">
      <c r="A564" s="755"/>
      <c r="B564" s="755"/>
      <c r="C564" s="755"/>
      <c r="D564" s="755"/>
      <c r="E564" s="755"/>
      <c r="F564" s="755"/>
      <c r="G564" s="755"/>
      <c r="H564" s="750"/>
      <c r="I564" s="755"/>
      <c r="J564" s="755"/>
      <c r="K564" s="755"/>
      <c r="L564" s="755"/>
      <c r="M564" s="755"/>
      <c r="N564" s="750"/>
      <c r="O564" s="755"/>
      <c r="P564" s="778"/>
      <c r="Q564" s="778"/>
      <c r="R564" s="778"/>
      <c r="S564" s="778"/>
      <c r="T564" s="750"/>
      <c r="U564" s="755"/>
      <c r="V564" s="755"/>
      <c r="W564" s="751"/>
      <c r="X564" s="751"/>
      <c r="Y564" s="755"/>
      <c r="Z564" s="755"/>
      <c r="AA564" s="755"/>
      <c r="AB564" s="755"/>
      <c r="AC564" s="755"/>
      <c r="AD564" s="755"/>
      <c r="AE564" s="755"/>
      <c r="AF564" s="755"/>
      <c r="AG564" s="755"/>
      <c r="AH564" s="755"/>
      <c r="AI564" s="766" t="s">
        <v>1382</v>
      </c>
      <c r="AJ564" s="767">
        <f t="shared" si="114"/>
        <v>6.666666666666667</v>
      </c>
      <c r="AK564" s="767">
        <f>+AJ564*C4</f>
        <v>0.66666666666666674</v>
      </c>
      <c r="AL564" s="767">
        <f>+AJ564*D4</f>
        <v>3</v>
      </c>
      <c r="AM564" s="767">
        <f>+AJ564*E4</f>
        <v>1.6666666666666667</v>
      </c>
      <c r="AN564" s="767">
        <f>+AJ564*F4</f>
        <v>1.3333333333333335</v>
      </c>
      <c r="AO564" s="766" t="s">
        <v>1426</v>
      </c>
      <c r="AP564" s="758" t="s">
        <v>202</v>
      </c>
      <c r="AQ564" s="757" t="s">
        <v>87</v>
      </c>
      <c r="AR564" s="758">
        <v>1</v>
      </c>
      <c r="AS564" s="768">
        <v>5</v>
      </c>
      <c r="AT564" s="758">
        <v>1</v>
      </c>
      <c r="AU564" s="777">
        <v>2</v>
      </c>
      <c r="AV564" s="777">
        <v>1</v>
      </c>
      <c r="AW564" s="777">
        <v>1</v>
      </c>
      <c r="AX564" s="768">
        <v>5</v>
      </c>
      <c r="AY564" s="769">
        <v>0</v>
      </c>
      <c r="AZ564" s="769">
        <v>0</v>
      </c>
      <c r="BA564" s="769">
        <v>0</v>
      </c>
      <c r="BB564" s="769">
        <v>0</v>
      </c>
      <c r="BC564" s="770">
        <f t="shared" si="109"/>
        <v>0</v>
      </c>
      <c r="BD564" s="770" t="s">
        <v>1442</v>
      </c>
      <c r="BE564" s="770" t="s">
        <v>112</v>
      </c>
    </row>
    <row r="565" spans="1:57">
      <c r="A565" s="755"/>
      <c r="B565" s="755"/>
      <c r="C565" s="755"/>
      <c r="D565" s="755"/>
      <c r="E565" s="755"/>
      <c r="F565" s="755"/>
      <c r="G565" s="755"/>
      <c r="H565" s="750"/>
      <c r="I565" s="755"/>
      <c r="J565" s="755"/>
      <c r="K565" s="755"/>
      <c r="L565" s="755"/>
      <c r="M565" s="755"/>
      <c r="N565" s="762"/>
      <c r="O565" s="779"/>
      <c r="P565" s="763"/>
      <c r="Q565" s="763"/>
      <c r="R565" s="763"/>
      <c r="S565" s="763"/>
      <c r="T565" s="762"/>
      <c r="U565" s="763"/>
      <c r="V565" s="763"/>
      <c r="W565" s="764"/>
      <c r="X565" s="764"/>
      <c r="Y565" s="763"/>
      <c r="Z565" s="763"/>
      <c r="AA565" s="763"/>
      <c r="AB565" s="763"/>
      <c r="AC565" s="349" t="s">
        <v>1453</v>
      </c>
      <c r="AD565" s="315"/>
      <c r="AE565" s="315"/>
      <c r="AF565" s="315"/>
      <c r="AG565" s="315"/>
      <c r="AH565" s="315"/>
      <c r="AI565" s="314"/>
      <c r="AJ565" s="447">
        <f t="shared" ref="AJ565" si="115">SUM(AJ550:AJ564)</f>
        <v>100.00000000000001</v>
      </c>
      <c r="AK565" s="447"/>
      <c r="AL565" s="447"/>
      <c r="AM565" s="447"/>
      <c r="AN565" s="447"/>
      <c r="AO565" s="314"/>
      <c r="AP565" s="320"/>
      <c r="AQ565" s="314"/>
      <c r="AR565" s="320"/>
      <c r="AS565" s="314"/>
      <c r="AT565" s="320"/>
      <c r="AU565" s="320"/>
      <c r="AV565" s="320"/>
      <c r="AW565" s="320"/>
      <c r="AX565" s="314"/>
      <c r="AY565" s="322">
        <v>7952253790</v>
      </c>
      <c r="AZ565" s="322">
        <v>2040000000</v>
      </c>
      <c r="BA565" s="322">
        <v>1766000000</v>
      </c>
      <c r="BB565" s="322">
        <v>1333000000</v>
      </c>
      <c r="BC565" s="234">
        <f t="shared" si="109"/>
        <v>13091253790</v>
      </c>
      <c r="BD565" s="321"/>
      <c r="BE565" s="321"/>
    </row>
    <row r="566" spans="1:57" ht="33.75">
      <c r="A566" s="755"/>
      <c r="B566" s="755"/>
      <c r="C566" s="755"/>
      <c r="D566" s="755"/>
      <c r="E566" s="755"/>
      <c r="F566" s="755"/>
      <c r="G566" s="755"/>
      <c r="H566" s="750"/>
      <c r="I566" s="755"/>
      <c r="J566" s="755"/>
      <c r="K566" s="755"/>
      <c r="L566" s="755"/>
      <c r="M566" s="755"/>
      <c r="N566" s="750" t="s">
        <v>1320</v>
      </c>
      <c r="O566" s="760">
        <f>+(1*100)/8</f>
        <v>12.5</v>
      </c>
      <c r="P566" s="760">
        <f>+O566*C4</f>
        <v>1.25</v>
      </c>
      <c r="Q566" s="760">
        <f>+O566*D4</f>
        <v>5.625</v>
      </c>
      <c r="R566" s="760">
        <f>+O566*E4</f>
        <v>3.125</v>
      </c>
      <c r="S566" s="760">
        <f>+O566*F4</f>
        <v>2.5</v>
      </c>
      <c r="T566" s="750" t="s">
        <v>1331</v>
      </c>
      <c r="U566" s="750" t="s">
        <v>202</v>
      </c>
      <c r="V566" s="750" t="s">
        <v>88</v>
      </c>
      <c r="W566" s="751" t="s">
        <v>221</v>
      </c>
      <c r="X566" s="761">
        <v>1</v>
      </c>
      <c r="Y566" s="761">
        <v>1</v>
      </c>
      <c r="Z566" s="761">
        <v>1</v>
      </c>
      <c r="AA566" s="761">
        <v>1</v>
      </c>
      <c r="AB566" s="761">
        <v>1</v>
      </c>
      <c r="AC566" s="780" t="s">
        <v>1339</v>
      </c>
      <c r="AD566" s="760">
        <f>+(1*100)/8</f>
        <v>12.5</v>
      </c>
      <c r="AE566" s="760">
        <f>+AD566*C4</f>
        <v>1.25</v>
      </c>
      <c r="AF566" s="760">
        <f>+AD566*D4</f>
        <v>5.625</v>
      </c>
      <c r="AG566" s="760">
        <f>+AD566*E4</f>
        <v>3.125</v>
      </c>
      <c r="AH566" s="760">
        <f>+AD566*F4</f>
        <v>2.5</v>
      </c>
      <c r="AI566" s="766" t="s">
        <v>1383</v>
      </c>
      <c r="AJ566" s="767">
        <f>+(0.547*100)/1</f>
        <v>54.7</v>
      </c>
      <c r="AK566" s="767">
        <f>+AJ566*C4</f>
        <v>5.4700000000000006</v>
      </c>
      <c r="AL566" s="767">
        <f>+AJ566*D4</f>
        <v>24.615000000000002</v>
      </c>
      <c r="AM566" s="767">
        <f>+AJ566*E4</f>
        <v>13.675000000000001</v>
      </c>
      <c r="AN566" s="767">
        <f>+AJ566*F4</f>
        <v>10.940000000000001</v>
      </c>
      <c r="AO566" s="766" t="s">
        <v>1427</v>
      </c>
      <c r="AP566" s="758" t="s">
        <v>203</v>
      </c>
      <c r="AQ566" s="757" t="s">
        <v>87</v>
      </c>
      <c r="AR566" s="758">
        <v>0</v>
      </c>
      <c r="AS566" s="768">
        <v>1</v>
      </c>
      <c r="AT566" s="758">
        <v>1</v>
      </c>
      <c r="AU566" s="758">
        <v>1</v>
      </c>
      <c r="AV566" s="758">
        <v>1</v>
      </c>
      <c r="AW566" s="758">
        <v>1</v>
      </c>
      <c r="AX566" s="768">
        <v>1</v>
      </c>
      <c r="AY566" s="769">
        <v>1500000000</v>
      </c>
      <c r="AZ566" s="769">
        <v>1500000000</v>
      </c>
      <c r="BA566" s="769">
        <v>0</v>
      </c>
      <c r="BB566" s="769">
        <v>0</v>
      </c>
      <c r="BC566" s="770">
        <f t="shared" si="109"/>
        <v>3000000000</v>
      </c>
      <c r="BD566" s="770" t="s">
        <v>1442</v>
      </c>
      <c r="BE566" s="770" t="s">
        <v>112</v>
      </c>
    </row>
    <row r="567" spans="1:57" ht="33.75">
      <c r="A567" s="755"/>
      <c r="B567" s="755"/>
      <c r="C567" s="755"/>
      <c r="D567" s="755"/>
      <c r="E567" s="755"/>
      <c r="F567" s="755"/>
      <c r="G567" s="755"/>
      <c r="H567" s="750"/>
      <c r="I567" s="755"/>
      <c r="J567" s="755"/>
      <c r="K567" s="755"/>
      <c r="L567" s="755"/>
      <c r="M567" s="755"/>
      <c r="N567" s="750"/>
      <c r="O567" s="755"/>
      <c r="P567" s="755"/>
      <c r="Q567" s="755"/>
      <c r="R567" s="755"/>
      <c r="S567" s="755"/>
      <c r="T567" s="750"/>
      <c r="U567" s="755"/>
      <c r="V567" s="755"/>
      <c r="W567" s="751"/>
      <c r="X567" s="751"/>
      <c r="Y567" s="755"/>
      <c r="Z567" s="755"/>
      <c r="AA567" s="755"/>
      <c r="AB567" s="755"/>
      <c r="AC567" s="755"/>
      <c r="AD567" s="765"/>
      <c r="AE567" s="755"/>
      <c r="AF567" s="755"/>
      <c r="AG567" s="755"/>
      <c r="AH567" s="755"/>
      <c r="AI567" s="766" t="s">
        <v>1384</v>
      </c>
      <c r="AJ567" s="767">
        <f>+(0.151*100)/1</f>
        <v>15.1</v>
      </c>
      <c r="AK567" s="767">
        <v>0</v>
      </c>
      <c r="AL567" s="767">
        <v>8.3000000000000007</v>
      </c>
      <c r="AM567" s="767">
        <f>+AJ567*E4</f>
        <v>3.7749999999999999</v>
      </c>
      <c r="AN567" s="767">
        <f>+AJ567*F4</f>
        <v>3.02</v>
      </c>
      <c r="AO567" s="766" t="s">
        <v>1428</v>
      </c>
      <c r="AP567" s="758" t="s">
        <v>202</v>
      </c>
      <c r="AQ567" s="757" t="s">
        <v>87</v>
      </c>
      <c r="AR567" s="758">
        <v>1</v>
      </c>
      <c r="AS567" s="768">
        <v>3</v>
      </c>
      <c r="AT567" s="758">
        <v>0</v>
      </c>
      <c r="AU567" s="758">
        <v>1</v>
      </c>
      <c r="AV567" s="758">
        <v>1</v>
      </c>
      <c r="AW567" s="758">
        <v>1</v>
      </c>
      <c r="AX567" s="768">
        <v>3</v>
      </c>
      <c r="AY567" s="769">
        <v>0</v>
      </c>
      <c r="AZ567" s="769">
        <v>0</v>
      </c>
      <c r="BA567" s="769">
        <v>40000000</v>
      </c>
      <c r="BB567" s="769">
        <v>50000000</v>
      </c>
      <c r="BC567" s="770">
        <f t="shared" si="109"/>
        <v>90000000</v>
      </c>
      <c r="BD567" s="770" t="s">
        <v>1442</v>
      </c>
      <c r="BE567" s="770" t="s">
        <v>112</v>
      </c>
    </row>
    <row r="568" spans="1:57" ht="22.5">
      <c r="A568" s="755"/>
      <c r="B568" s="755"/>
      <c r="C568" s="755"/>
      <c r="D568" s="755"/>
      <c r="E568" s="755"/>
      <c r="F568" s="755"/>
      <c r="G568" s="755"/>
      <c r="H568" s="750"/>
      <c r="I568" s="755"/>
      <c r="J568" s="755"/>
      <c r="K568" s="755"/>
      <c r="L568" s="755"/>
      <c r="M568" s="755"/>
      <c r="N568" s="750"/>
      <c r="O568" s="755"/>
      <c r="P568" s="755"/>
      <c r="Q568" s="755"/>
      <c r="R568" s="755"/>
      <c r="S568" s="755"/>
      <c r="T568" s="750"/>
      <c r="U568" s="755"/>
      <c r="V568" s="755"/>
      <c r="W568" s="751"/>
      <c r="X568" s="751"/>
      <c r="Y568" s="755"/>
      <c r="Z568" s="755"/>
      <c r="AA568" s="755"/>
      <c r="AB568" s="755"/>
      <c r="AC568" s="755"/>
      <c r="AD568" s="755"/>
      <c r="AE568" s="755"/>
      <c r="AF568" s="755"/>
      <c r="AG568" s="755"/>
      <c r="AH568" s="755"/>
      <c r="AI568" s="766" t="s">
        <v>1385</v>
      </c>
      <c r="AJ568" s="767">
        <f>+(0.151*100)/1</f>
        <v>15.1</v>
      </c>
      <c r="AK568" s="767">
        <f>+AJ568*C4</f>
        <v>1.51</v>
      </c>
      <c r="AL568" s="767">
        <v>0</v>
      </c>
      <c r="AM568" s="767">
        <v>10.57</v>
      </c>
      <c r="AN568" s="767">
        <f>+AJ568*F4</f>
        <v>3.02</v>
      </c>
      <c r="AO568" s="766" t="s">
        <v>1429</v>
      </c>
      <c r="AP568" s="758" t="s">
        <v>202</v>
      </c>
      <c r="AQ568" s="757" t="s">
        <v>87</v>
      </c>
      <c r="AR568" s="758">
        <v>1</v>
      </c>
      <c r="AS568" s="768">
        <v>3</v>
      </c>
      <c r="AT568" s="758">
        <v>1</v>
      </c>
      <c r="AU568" s="758">
        <v>0</v>
      </c>
      <c r="AV568" s="758">
        <v>1</v>
      </c>
      <c r="AW568" s="758">
        <v>1</v>
      </c>
      <c r="AX568" s="768">
        <v>3</v>
      </c>
      <c r="AY568" s="769">
        <v>0</v>
      </c>
      <c r="AZ568" s="769">
        <v>0</v>
      </c>
      <c r="BA568" s="769">
        <v>40000000</v>
      </c>
      <c r="BB568" s="769">
        <v>50000000</v>
      </c>
      <c r="BC568" s="770">
        <f t="shared" si="109"/>
        <v>90000000</v>
      </c>
      <c r="BD568" s="770" t="s">
        <v>1443</v>
      </c>
      <c r="BE568" s="770" t="s">
        <v>112</v>
      </c>
    </row>
    <row r="569" spans="1:57" ht="45">
      <c r="A569" s="755"/>
      <c r="B569" s="755"/>
      <c r="C569" s="755"/>
      <c r="D569" s="755"/>
      <c r="E569" s="755"/>
      <c r="F569" s="755"/>
      <c r="G569" s="755"/>
      <c r="H569" s="750"/>
      <c r="I569" s="755"/>
      <c r="J569" s="755"/>
      <c r="K569" s="755"/>
      <c r="L569" s="755"/>
      <c r="M569" s="755"/>
      <c r="N569" s="750"/>
      <c r="O569" s="755"/>
      <c r="P569" s="755"/>
      <c r="Q569" s="755"/>
      <c r="R569" s="755"/>
      <c r="S569" s="755"/>
      <c r="T569" s="750"/>
      <c r="U569" s="755"/>
      <c r="V569" s="755"/>
      <c r="W569" s="751"/>
      <c r="X569" s="751"/>
      <c r="Y569" s="755"/>
      <c r="Z569" s="755"/>
      <c r="AA569" s="755"/>
      <c r="AB569" s="755"/>
      <c r="AC569" s="755"/>
      <c r="AD569" s="755"/>
      <c r="AE569" s="755"/>
      <c r="AF569" s="755"/>
      <c r="AG569" s="755"/>
      <c r="AH569" s="755"/>
      <c r="AI569" s="766" t="s">
        <v>1502</v>
      </c>
      <c r="AJ569" s="767">
        <f>+(0.151*100)/1</f>
        <v>15.1</v>
      </c>
      <c r="AK569" s="767">
        <f>+AJ569*C4</f>
        <v>1.51</v>
      </c>
      <c r="AL569" s="767">
        <v>0</v>
      </c>
      <c r="AM569" s="767">
        <v>10.57</v>
      </c>
      <c r="AN569" s="767">
        <f>+AJ569*F4</f>
        <v>3.02</v>
      </c>
      <c r="AO569" s="766" t="s">
        <v>1430</v>
      </c>
      <c r="AP569" s="758" t="s">
        <v>202</v>
      </c>
      <c r="AQ569" s="757" t="s">
        <v>87</v>
      </c>
      <c r="AR569" s="758" t="s">
        <v>1440</v>
      </c>
      <c r="AS569" s="759" t="s">
        <v>1503</v>
      </c>
      <c r="AT569" s="758">
        <v>2</v>
      </c>
      <c r="AU569" s="758">
        <v>0</v>
      </c>
      <c r="AV569" s="758">
        <v>2</v>
      </c>
      <c r="AW569" s="758">
        <v>1</v>
      </c>
      <c r="AX569" s="759" t="s">
        <v>1504</v>
      </c>
      <c r="AY569" s="769">
        <v>0</v>
      </c>
      <c r="AZ569" s="769">
        <v>0</v>
      </c>
      <c r="BA569" s="769">
        <v>40000000</v>
      </c>
      <c r="BB569" s="769">
        <v>50000000</v>
      </c>
      <c r="BC569" s="770">
        <f t="shared" si="109"/>
        <v>90000000</v>
      </c>
      <c r="BD569" s="770" t="s">
        <v>1442</v>
      </c>
      <c r="BE569" s="770" t="s">
        <v>112</v>
      </c>
    </row>
    <row r="570" spans="1:57">
      <c r="A570" s="755"/>
      <c r="B570" s="755"/>
      <c r="C570" s="755"/>
      <c r="D570" s="755"/>
      <c r="E570" s="755"/>
      <c r="F570" s="755"/>
      <c r="G570" s="755"/>
      <c r="H570" s="750"/>
      <c r="I570" s="755"/>
      <c r="J570" s="755"/>
      <c r="K570" s="755"/>
      <c r="L570" s="755"/>
      <c r="M570" s="755"/>
      <c r="N570" s="762"/>
      <c r="O570" s="763"/>
      <c r="P570" s="763"/>
      <c r="Q570" s="763"/>
      <c r="R570" s="763"/>
      <c r="S570" s="763"/>
      <c r="T570" s="762"/>
      <c r="U570" s="763"/>
      <c r="V570" s="763"/>
      <c r="W570" s="764"/>
      <c r="X570" s="764"/>
      <c r="Y570" s="763"/>
      <c r="Z570" s="763"/>
      <c r="AA570" s="763"/>
      <c r="AB570" s="763"/>
      <c r="AC570" s="349" t="s">
        <v>1453</v>
      </c>
      <c r="AD570" s="315"/>
      <c r="AE570" s="315"/>
      <c r="AF570" s="315"/>
      <c r="AG570" s="315"/>
      <c r="AH570" s="315"/>
      <c r="AI570" s="314"/>
      <c r="AJ570" s="447">
        <f>+SUM(AJ566:AJ569)</f>
        <v>99.999999999999986</v>
      </c>
      <c r="AK570" s="447"/>
      <c r="AL570" s="447"/>
      <c r="AM570" s="447"/>
      <c r="AN570" s="447"/>
      <c r="AO570" s="314"/>
      <c r="AP570" s="320"/>
      <c r="AQ570" s="314"/>
      <c r="AR570" s="317"/>
      <c r="AS570" s="314"/>
      <c r="AT570" s="320"/>
      <c r="AU570" s="320"/>
      <c r="AV570" s="320"/>
      <c r="AW570" s="320"/>
      <c r="AX570" s="314"/>
      <c r="AY570" s="322">
        <v>1500000000</v>
      </c>
      <c r="AZ570" s="322">
        <v>1500000000</v>
      </c>
      <c r="BA570" s="322">
        <v>120000000</v>
      </c>
      <c r="BB570" s="322">
        <v>150000000</v>
      </c>
      <c r="BC570" s="234">
        <f t="shared" si="109"/>
        <v>3270000000</v>
      </c>
      <c r="BD570" s="234"/>
      <c r="BE570" s="234"/>
    </row>
    <row r="571" spans="1:57" ht="67.5">
      <c r="A571" s="755"/>
      <c r="B571" s="755"/>
      <c r="C571" s="755"/>
      <c r="D571" s="755"/>
      <c r="E571" s="755"/>
      <c r="F571" s="755"/>
      <c r="G571" s="755"/>
      <c r="H571" s="750"/>
      <c r="I571" s="755"/>
      <c r="J571" s="755"/>
      <c r="K571" s="755"/>
      <c r="L571" s="755"/>
      <c r="M571" s="755"/>
      <c r="N571" s="750" t="s">
        <v>1496</v>
      </c>
      <c r="O571" s="760">
        <f>+(1*100)/8</f>
        <v>12.5</v>
      </c>
      <c r="P571" s="760">
        <f>+O571*C4</f>
        <v>1.25</v>
      </c>
      <c r="Q571" s="760">
        <f>+O571*D4</f>
        <v>5.625</v>
      </c>
      <c r="R571" s="760">
        <f>+O571*E4</f>
        <v>3.125</v>
      </c>
      <c r="S571" s="760">
        <f>+O571*F4</f>
        <v>2.5</v>
      </c>
      <c r="T571" s="750" t="s">
        <v>1332</v>
      </c>
      <c r="U571" s="750" t="s">
        <v>1454</v>
      </c>
      <c r="V571" s="750" t="s">
        <v>87</v>
      </c>
      <c r="W571" s="751">
        <v>252</v>
      </c>
      <c r="X571" s="751">
        <v>126</v>
      </c>
      <c r="Y571" s="751">
        <v>240</v>
      </c>
      <c r="Z571" s="751">
        <v>180</v>
      </c>
      <c r="AA571" s="751">
        <v>138</v>
      </c>
      <c r="AB571" s="751">
        <v>126</v>
      </c>
      <c r="AC571" s="765" t="s">
        <v>1340</v>
      </c>
      <c r="AD571" s="760">
        <f>+(1.5*100)/8</f>
        <v>18.75</v>
      </c>
      <c r="AE571" s="760">
        <f>+AD571*C4</f>
        <v>1.875</v>
      </c>
      <c r="AF571" s="760">
        <f>+AD571*D4</f>
        <v>8.4375</v>
      </c>
      <c r="AG571" s="760">
        <f>+AD571*E4</f>
        <v>4.6875</v>
      </c>
      <c r="AH571" s="760">
        <f>+AD571*F4</f>
        <v>3.75</v>
      </c>
      <c r="AI571" s="766" t="s">
        <v>1386</v>
      </c>
      <c r="AJ571" s="767">
        <f t="shared" ref="AJ571:AJ580" si="116">+(0.15*100)/1.5</f>
        <v>10</v>
      </c>
      <c r="AK571" s="767">
        <f>+AJ571*C4</f>
        <v>1</v>
      </c>
      <c r="AL571" s="767">
        <f>+AJ571*D4</f>
        <v>4.5</v>
      </c>
      <c r="AM571" s="767">
        <f>+AJ571*E4</f>
        <v>2.5</v>
      </c>
      <c r="AN571" s="767">
        <f>+AJ571*F4</f>
        <v>2</v>
      </c>
      <c r="AO571" s="766" t="s">
        <v>82</v>
      </c>
      <c r="AP571" s="758" t="s">
        <v>202</v>
      </c>
      <c r="AQ571" s="757" t="s">
        <v>87</v>
      </c>
      <c r="AR571" s="758">
        <v>1</v>
      </c>
      <c r="AS571" s="768">
        <v>5</v>
      </c>
      <c r="AT571" s="758">
        <v>1</v>
      </c>
      <c r="AU571" s="758">
        <v>1</v>
      </c>
      <c r="AV571" s="758">
        <v>2</v>
      </c>
      <c r="AW571" s="758">
        <v>1</v>
      </c>
      <c r="AX571" s="768">
        <v>5</v>
      </c>
      <c r="AY571" s="769">
        <v>140000000</v>
      </c>
      <c r="AZ571" s="769">
        <v>95000000</v>
      </c>
      <c r="BA571" s="769">
        <v>200000000</v>
      </c>
      <c r="BB571" s="769">
        <v>393372500</v>
      </c>
      <c r="BC571" s="770">
        <f t="shared" si="109"/>
        <v>828372500</v>
      </c>
      <c r="BD571" s="770" t="s">
        <v>1442</v>
      </c>
      <c r="BE571" s="770" t="s">
        <v>112</v>
      </c>
    </row>
    <row r="572" spans="1:57" ht="33.75">
      <c r="A572" s="755"/>
      <c r="B572" s="755"/>
      <c r="C572" s="755"/>
      <c r="D572" s="755"/>
      <c r="E572" s="755"/>
      <c r="F572" s="755"/>
      <c r="G572" s="755"/>
      <c r="H572" s="750"/>
      <c r="I572" s="755"/>
      <c r="J572" s="755"/>
      <c r="K572" s="755"/>
      <c r="L572" s="755"/>
      <c r="M572" s="755"/>
      <c r="N572" s="750"/>
      <c r="O572" s="755"/>
      <c r="P572" s="755"/>
      <c r="Q572" s="755"/>
      <c r="R572" s="755"/>
      <c r="S572" s="755"/>
      <c r="T572" s="750"/>
      <c r="U572" s="755"/>
      <c r="V572" s="755"/>
      <c r="W572" s="751"/>
      <c r="X572" s="751"/>
      <c r="Y572" s="755"/>
      <c r="Z572" s="755"/>
      <c r="AA572" s="755"/>
      <c r="AB572" s="755"/>
      <c r="AC572" s="765"/>
      <c r="AD572" s="765"/>
      <c r="AE572" s="765"/>
      <c r="AF572" s="765"/>
      <c r="AG572" s="765"/>
      <c r="AH572" s="765"/>
      <c r="AI572" s="766" t="s">
        <v>1387</v>
      </c>
      <c r="AJ572" s="767">
        <f t="shared" si="116"/>
        <v>10</v>
      </c>
      <c r="AK572" s="767">
        <f>+AJ572*C4</f>
        <v>1</v>
      </c>
      <c r="AL572" s="767">
        <f>+AJ572*D4</f>
        <v>4.5</v>
      </c>
      <c r="AM572" s="767">
        <f>+AJ572*E4</f>
        <v>2.5</v>
      </c>
      <c r="AN572" s="767">
        <f>+AJ572*F4</f>
        <v>2</v>
      </c>
      <c r="AO572" s="766" t="s">
        <v>1431</v>
      </c>
      <c r="AP572" s="758" t="s">
        <v>202</v>
      </c>
      <c r="AQ572" s="757" t="s">
        <v>87</v>
      </c>
      <c r="AR572" s="758">
        <v>18</v>
      </c>
      <c r="AS572" s="768">
        <v>0</v>
      </c>
      <c r="AT572" s="758">
        <v>0</v>
      </c>
      <c r="AU572" s="758">
        <v>1</v>
      </c>
      <c r="AV572" s="758">
        <v>1</v>
      </c>
      <c r="AW572" s="758">
        <v>1</v>
      </c>
      <c r="AX572" s="768">
        <v>0</v>
      </c>
      <c r="AY572" s="769"/>
      <c r="AZ572" s="769"/>
      <c r="BA572" s="769"/>
      <c r="BB572" s="769"/>
      <c r="BC572" s="770">
        <f t="shared" si="109"/>
        <v>0</v>
      </c>
      <c r="BD572" s="770" t="s">
        <v>1442</v>
      </c>
      <c r="BE572" s="770" t="s">
        <v>112</v>
      </c>
    </row>
    <row r="573" spans="1:57" ht="33.75">
      <c r="A573" s="755"/>
      <c r="B573" s="755"/>
      <c r="C573" s="755"/>
      <c r="D573" s="755"/>
      <c r="E573" s="755"/>
      <c r="F573" s="755"/>
      <c r="G573" s="755"/>
      <c r="H573" s="750"/>
      <c r="I573" s="755"/>
      <c r="J573" s="755"/>
      <c r="K573" s="755"/>
      <c r="L573" s="755"/>
      <c r="M573" s="755"/>
      <c r="N573" s="750"/>
      <c r="O573" s="755"/>
      <c r="P573" s="755"/>
      <c r="Q573" s="755"/>
      <c r="R573" s="755"/>
      <c r="S573" s="755"/>
      <c r="T573" s="750"/>
      <c r="U573" s="755"/>
      <c r="V573" s="755"/>
      <c r="W573" s="751"/>
      <c r="X573" s="751"/>
      <c r="Y573" s="755"/>
      <c r="Z573" s="755"/>
      <c r="AA573" s="755"/>
      <c r="AB573" s="755"/>
      <c r="AC573" s="765"/>
      <c r="AD573" s="765"/>
      <c r="AE573" s="765"/>
      <c r="AF573" s="765"/>
      <c r="AG573" s="765"/>
      <c r="AH573" s="765"/>
      <c r="AI573" s="766" t="s">
        <v>1388</v>
      </c>
      <c r="AJ573" s="767">
        <f t="shared" si="116"/>
        <v>10</v>
      </c>
      <c r="AK573" s="767">
        <f>+AJ573*C4</f>
        <v>1</v>
      </c>
      <c r="AL573" s="767">
        <f>+AJ573*D4</f>
        <v>4.5</v>
      </c>
      <c r="AM573" s="767">
        <f>+AJ573*E4</f>
        <v>2.5</v>
      </c>
      <c r="AN573" s="767">
        <f>+AJ573*F4</f>
        <v>2</v>
      </c>
      <c r="AO573" s="766" t="s">
        <v>1432</v>
      </c>
      <c r="AP573" s="758" t="s">
        <v>203</v>
      </c>
      <c r="AQ573" s="757" t="s">
        <v>87</v>
      </c>
      <c r="AR573" s="758">
        <v>0</v>
      </c>
      <c r="AS573" s="768">
        <v>1</v>
      </c>
      <c r="AT573" s="758">
        <v>1</v>
      </c>
      <c r="AU573" s="758">
        <v>1</v>
      </c>
      <c r="AV573" s="758">
        <v>1</v>
      </c>
      <c r="AW573" s="758">
        <v>1</v>
      </c>
      <c r="AX573" s="768">
        <v>1</v>
      </c>
      <c r="AY573" s="769"/>
      <c r="AZ573" s="769"/>
      <c r="BA573" s="769"/>
      <c r="BB573" s="769"/>
      <c r="BC573" s="770">
        <f t="shared" si="109"/>
        <v>0</v>
      </c>
      <c r="BD573" s="770" t="s">
        <v>1442</v>
      </c>
      <c r="BE573" s="770" t="s">
        <v>112</v>
      </c>
    </row>
    <row r="574" spans="1:57" ht="22.5">
      <c r="A574" s="755"/>
      <c r="B574" s="755"/>
      <c r="C574" s="755"/>
      <c r="D574" s="755"/>
      <c r="E574" s="755"/>
      <c r="F574" s="755"/>
      <c r="G574" s="755"/>
      <c r="H574" s="750"/>
      <c r="I574" s="755"/>
      <c r="J574" s="755"/>
      <c r="K574" s="755"/>
      <c r="L574" s="755"/>
      <c r="M574" s="755"/>
      <c r="N574" s="750"/>
      <c r="O574" s="755"/>
      <c r="P574" s="755"/>
      <c r="Q574" s="755"/>
      <c r="R574" s="755"/>
      <c r="S574" s="755"/>
      <c r="T574" s="750"/>
      <c r="U574" s="755"/>
      <c r="V574" s="755"/>
      <c r="W574" s="751"/>
      <c r="X574" s="751"/>
      <c r="Y574" s="755"/>
      <c r="Z574" s="755"/>
      <c r="AA574" s="755"/>
      <c r="AB574" s="755"/>
      <c r="AC574" s="765"/>
      <c r="AD574" s="765"/>
      <c r="AE574" s="765"/>
      <c r="AF574" s="765"/>
      <c r="AG574" s="765"/>
      <c r="AH574" s="765"/>
      <c r="AI574" s="766" t="s">
        <v>1389</v>
      </c>
      <c r="AJ574" s="767">
        <f t="shared" si="116"/>
        <v>10</v>
      </c>
      <c r="AK574" s="767">
        <f>+AJ574*C4</f>
        <v>1</v>
      </c>
      <c r="AL574" s="767">
        <f>+AJ574*D4</f>
        <v>4.5</v>
      </c>
      <c r="AM574" s="767">
        <f>+AJ574*E4</f>
        <v>2.5</v>
      </c>
      <c r="AN574" s="767">
        <f>+AJ574*F4</f>
        <v>2</v>
      </c>
      <c r="AO574" s="766" t="s">
        <v>1433</v>
      </c>
      <c r="AP574" s="758" t="s">
        <v>203</v>
      </c>
      <c r="AQ574" s="757" t="s">
        <v>88</v>
      </c>
      <c r="AR574" s="758">
        <v>0</v>
      </c>
      <c r="AS574" s="759">
        <v>1</v>
      </c>
      <c r="AT574" s="759">
        <v>1</v>
      </c>
      <c r="AU574" s="759">
        <v>1</v>
      </c>
      <c r="AV574" s="759">
        <v>1</v>
      </c>
      <c r="AW574" s="759">
        <v>1</v>
      </c>
      <c r="AX574" s="759">
        <v>1</v>
      </c>
      <c r="AY574" s="769"/>
      <c r="AZ574" s="769"/>
      <c r="BA574" s="769"/>
      <c r="BB574" s="769"/>
      <c r="BC574" s="770">
        <f t="shared" si="109"/>
        <v>0</v>
      </c>
      <c r="BD574" s="770" t="s">
        <v>1442</v>
      </c>
      <c r="BE574" s="770" t="s">
        <v>112</v>
      </c>
    </row>
    <row r="575" spans="1:57" ht="22.5">
      <c r="A575" s="755"/>
      <c r="B575" s="755"/>
      <c r="C575" s="755"/>
      <c r="D575" s="755"/>
      <c r="E575" s="755"/>
      <c r="F575" s="755"/>
      <c r="G575" s="755"/>
      <c r="H575" s="750"/>
      <c r="I575" s="755"/>
      <c r="J575" s="755"/>
      <c r="K575" s="755"/>
      <c r="L575" s="755"/>
      <c r="M575" s="755"/>
      <c r="N575" s="750"/>
      <c r="O575" s="755"/>
      <c r="P575" s="755"/>
      <c r="Q575" s="755"/>
      <c r="R575" s="755"/>
      <c r="S575" s="755"/>
      <c r="T575" s="750"/>
      <c r="U575" s="755"/>
      <c r="V575" s="755"/>
      <c r="W575" s="751"/>
      <c r="X575" s="751"/>
      <c r="Y575" s="755"/>
      <c r="Z575" s="755"/>
      <c r="AA575" s="755"/>
      <c r="AB575" s="755"/>
      <c r="AC575" s="765"/>
      <c r="AD575" s="765"/>
      <c r="AE575" s="765"/>
      <c r="AF575" s="765"/>
      <c r="AG575" s="765"/>
      <c r="AH575" s="765"/>
      <c r="AI575" s="766" t="s">
        <v>1390</v>
      </c>
      <c r="AJ575" s="767">
        <f t="shared" si="116"/>
        <v>10</v>
      </c>
      <c r="AK575" s="767">
        <f>+AJ575*C4</f>
        <v>1</v>
      </c>
      <c r="AL575" s="767">
        <f>+AJ575*D4</f>
        <v>4.5</v>
      </c>
      <c r="AM575" s="767">
        <f>+AJ575*E4</f>
        <v>2.5</v>
      </c>
      <c r="AN575" s="767">
        <f>+AJ575*F4</f>
        <v>2</v>
      </c>
      <c r="AO575" s="766" t="s">
        <v>1423</v>
      </c>
      <c r="AP575" s="758" t="s">
        <v>203</v>
      </c>
      <c r="AQ575" s="757" t="s">
        <v>87</v>
      </c>
      <c r="AR575" s="758">
        <v>0</v>
      </c>
      <c r="AS575" s="768">
        <v>1</v>
      </c>
      <c r="AT575" s="758">
        <v>1</v>
      </c>
      <c r="AU575" s="758">
        <v>1</v>
      </c>
      <c r="AV575" s="758">
        <v>1</v>
      </c>
      <c r="AW575" s="758">
        <v>1</v>
      </c>
      <c r="AX575" s="768">
        <v>1</v>
      </c>
      <c r="AY575" s="769"/>
      <c r="AZ575" s="769"/>
      <c r="BA575" s="769"/>
      <c r="BB575" s="769"/>
      <c r="BC575" s="770">
        <f t="shared" si="109"/>
        <v>0</v>
      </c>
      <c r="BD575" s="770" t="s">
        <v>1442</v>
      </c>
      <c r="BE575" s="770" t="s">
        <v>112</v>
      </c>
    </row>
    <row r="576" spans="1:57" ht="33.75">
      <c r="A576" s="755"/>
      <c r="B576" s="755"/>
      <c r="C576" s="755"/>
      <c r="D576" s="755"/>
      <c r="E576" s="755"/>
      <c r="F576" s="755"/>
      <c r="G576" s="755"/>
      <c r="H576" s="750"/>
      <c r="I576" s="755"/>
      <c r="J576" s="755"/>
      <c r="K576" s="755"/>
      <c r="L576" s="755"/>
      <c r="M576" s="755"/>
      <c r="N576" s="750"/>
      <c r="O576" s="755"/>
      <c r="P576" s="755"/>
      <c r="Q576" s="755"/>
      <c r="R576" s="755"/>
      <c r="S576" s="755"/>
      <c r="T576" s="750"/>
      <c r="U576" s="755"/>
      <c r="V576" s="755"/>
      <c r="W576" s="751"/>
      <c r="X576" s="751"/>
      <c r="Y576" s="755"/>
      <c r="Z576" s="755"/>
      <c r="AA576" s="755"/>
      <c r="AB576" s="755"/>
      <c r="AC576" s="765"/>
      <c r="AD576" s="765"/>
      <c r="AE576" s="765"/>
      <c r="AF576" s="765"/>
      <c r="AG576" s="765"/>
      <c r="AH576" s="765"/>
      <c r="AI576" s="766" t="s">
        <v>1391</v>
      </c>
      <c r="AJ576" s="767">
        <f t="shared" si="116"/>
        <v>10</v>
      </c>
      <c r="AK576" s="767">
        <f>+AJ576*C4</f>
        <v>1</v>
      </c>
      <c r="AL576" s="767">
        <f>+AJ576*D4</f>
        <v>4.5</v>
      </c>
      <c r="AM576" s="767">
        <f>+AJ576*E4</f>
        <v>2.5</v>
      </c>
      <c r="AN576" s="767">
        <f>+AJ576*F4</f>
        <v>2</v>
      </c>
      <c r="AO576" s="766" t="s">
        <v>63</v>
      </c>
      <c r="AP576" s="758" t="s">
        <v>203</v>
      </c>
      <c r="AQ576" s="757" t="s">
        <v>87</v>
      </c>
      <c r="AR576" s="758">
        <v>0</v>
      </c>
      <c r="AS576" s="768">
        <v>1</v>
      </c>
      <c r="AT576" s="758">
        <v>1</v>
      </c>
      <c r="AU576" s="758">
        <v>1</v>
      </c>
      <c r="AV576" s="758">
        <v>1</v>
      </c>
      <c r="AW576" s="758">
        <v>1</v>
      </c>
      <c r="AX576" s="768">
        <v>1</v>
      </c>
      <c r="AY576" s="769"/>
      <c r="AZ576" s="769"/>
      <c r="BA576" s="769"/>
      <c r="BB576" s="769"/>
      <c r="BC576" s="770">
        <f t="shared" si="109"/>
        <v>0</v>
      </c>
      <c r="BD576" s="770" t="s">
        <v>1442</v>
      </c>
      <c r="BE576" s="770" t="s">
        <v>112</v>
      </c>
    </row>
    <row r="577" spans="1:57" ht="45">
      <c r="A577" s="755"/>
      <c r="B577" s="755"/>
      <c r="C577" s="755"/>
      <c r="D577" s="755"/>
      <c r="E577" s="755"/>
      <c r="F577" s="755"/>
      <c r="G577" s="755"/>
      <c r="H577" s="750"/>
      <c r="I577" s="755"/>
      <c r="J577" s="755"/>
      <c r="K577" s="755"/>
      <c r="L577" s="755"/>
      <c r="M577" s="755"/>
      <c r="N577" s="750"/>
      <c r="O577" s="755"/>
      <c r="P577" s="755"/>
      <c r="Q577" s="755"/>
      <c r="R577" s="755"/>
      <c r="S577" s="755"/>
      <c r="T577" s="750"/>
      <c r="U577" s="755"/>
      <c r="V577" s="755"/>
      <c r="W577" s="751"/>
      <c r="X577" s="751"/>
      <c r="Y577" s="755"/>
      <c r="Z577" s="755"/>
      <c r="AA577" s="755"/>
      <c r="AB577" s="755"/>
      <c r="AC577" s="765"/>
      <c r="AD577" s="765"/>
      <c r="AE577" s="765"/>
      <c r="AF577" s="765"/>
      <c r="AG577" s="765"/>
      <c r="AH577" s="765"/>
      <c r="AI577" s="766" t="s">
        <v>1392</v>
      </c>
      <c r="AJ577" s="767">
        <f t="shared" si="116"/>
        <v>10</v>
      </c>
      <c r="AK577" s="767">
        <f>+AJ577*C4</f>
        <v>1</v>
      </c>
      <c r="AL577" s="767">
        <f>+AJ577*D4</f>
        <v>4.5</v>
      </c>
      <c r="AM577" s="767">
        <f>+AJ577*E4</f>
        <v>2.5</v>
      </c>
      <c r="AN577" s="767">
        <f>+AJ577*F4</f>
        <v>2</v>
      </c>
      <c r="AO577" s="766" t="s">
        <v>1434</v>
      </c>
      <c r="AP577" s="758" t="s">
        <v>203</v>
      </c>
      <c r="AQ577" s="757" t="s">
        <v>88</v>
      </c>
      <c r="AR577" s="758">
        <v>0</v>
      </c>
      <c r="AS577" s="768">
        <v>1</v>
      </c>
      <c r="AT577" s="758">
        <v>1</v>
      </c>
      <c r="AU577" s="758">
        <v>1</v>
      </c>
      <c r="AV577" s="758">
        <v>1</v>
      </c>
      <c r="AW577" s="758">
        <v>1</v>
      </c>
      <c r="AX577" s="768">
        <v>1</v>
      </c>
      <c r="AY577" s="769"/>
      <c r="AZ577" s="769"/>
      <c r="BA577" s="769"/>
      <c r="BB577" s="769"/>
      <c r="BC577" s="770">
        <f t="shared" si="109"/>
        <v>0</v>
      </c>
      <c r="BD577" s="770" t="s">
        <v>1442</v>
      </c>
      <c r="BE577" s="770" t="s">
        <v>112</v>
      </c>
    </row>
    <row r="578" spans="1:57" ht="45">
      <c r="A578" s="755"/>
      <c r="B578" s="755"/>
      <c r="C578" s="755"/>
      <c r="D578" s="755"/>
      <c r="E578" s="755"/>
      <c r="F578" s="755"/>
      <c r="G578" s="755"/>
      <c r="H578" s="750"/>
      <c r="I578" s="755"/>
      <c r="J578" s="755"/>
      <c r="K578" s="755"/>
      <c r="L578" s="755"/>
      <c r="M578" s="755"/>
      <c r="N578" s="750"/>
      <c r="O578" s="755"/>
      <c r="P578" s="755"/>
      <c r="Q578" s="755"/>
      <c r="R578" s="755"/>
      <c r="S578" s="755"/>
      <c r="T578" s="750"/>
      <c r="U578" s="755"/>
      <c r="V578" s="755"/>
      <c r="W578" s="751"/>
      <c r="X578" s="751"/>
      <c r="Y578" s="755"/>
      <c r="Z578" s="755"/>
      <c r="AA578" s="755"/>
      <c r="AB578" s="755"/>
      <c r="AC578" s="765"/>
      <c r="AD578" s="765"/>
      <c r="AE578" s="765"/>
      <c r="AF578" s="765"/>
      <c r="AG578" s="765"/>
      <c r="AH578" s="765"/>
      <c r="AI578" s="766" t="s">
        <v>1393</v>
      </c>
      <c r="AJ578" s="767">
        <f t="shared" si="116"/>
        <v>10</v>
      </c>
      <c r="AK578" s="767">
        <f>+AJ578*C4</f>
        <v>1</v>
      </c>
      <c r="AL578" s="767">
        <f>+AJ578*D4</f>
        <v>4.5</v>
      </c>
      <c r="AM578" s="767">
        <f>+AJ578*E4</f>
        <v>2.5</v>
      </c>
      <c r="AN578" s="767">
        <f>+AJ578*F4</f>
        <v>2</v>
      </c>
      <c r="AO578" s="766" t="s">
        <v>1435</v>
      </c>
      <c r="AP578" s="758" t="s">
        <v>203</v>
      </c>
      <c r="AQ578" s="757" t="s">
        <v>87</v>
      </c>
      <c r="AR578" s="758">
        <v>0</v>
      </c>
      <c r="AS578" s="768">
        <v>1</v>
      </c>
      <c r="AT578" s="758">
        <v>1</v>
      </c>
      <c r="AU578" s="758">
        <v>1</v>
      </c>
      <c r="AV578" s="758">
        <v>1</v>
      </c>
      <c r="AW578" s="758">
        <v>1</v>
      </c>
      <c r="AX578" s="768">
        <v>1</v>
      </c>
      <c r="AY578" s="769"/>
      <c r="AZ578" s="769"/>
      <c r="BA578" s="769"/>
      <c r="BB578" s="769"/>
      <c r="BC578" s="770">
        <f t="shared" si="109"/>
        <v>0</v>
      </c>
      <c r="BD578" s="770" t="s">
        <v>1442</v>
      </c>
      <c r="BE578" s="770" t="s">
        <v>112</v>
      </c>
    </row>
    <row r="579" spans="1:57" ht="33.75">
      <c r="A579" s="755"/>
      <c r="B579" s="755"/>
      <c r="C579" s="755"/>
      <c r="D579" s="755"/>
      <c r="E579" s="755"/>
      <c r="F579" s="755"/>
      <c r="G579" s="755"/>
      <c r="H579" s="750"/>
      <c r="I579" s="755"/>
      <c r="J579" s="755"/>
      <c r="K579" s="755"/>
      <c r="L579" s="755"/>
      <c r="M579" s="755"/>
      <c r="N579" s="750"/>
      <c r="O579" s="755"/>
      <c r="P579" s="755"/>
      <c r="Q579" s="755"/>
      <c r="R579" s="755"/>
      <c r="S579" s="755"/>
      <c r="T579" s="750"/>
      <c r="U579" s="755"/>
      <c r="V579" s="755"/>
      <c r="W579" s="751"/>
      <c r="X579" s="751"/>
      <c r="Y579" s="755"/>
      <c r="Z579" s="755"/>
      <c r="AA579" s="755"/>
      <c r="AB579" s="755"/>
      <c r="AC579" s="765"/>
      <c r="AD579" s="765"/>
      <c r="AE579" s="765"/>
      <c r="AF579" s="765"/>
      <c r="AG579" s="765"/>
      <c r="AH579" s="765"/>
      <c r="AI579" s="766" t="s">
        <v>1394</v>
      </c>
      <c r="AJ579" s="767">
        <f t="shared" si="116"/>
        <v>10</v>
      </c>
      <c r="AK579" s="767">
        <f>+AJ579*C4</f>
        <v>1</v>
      </c>
      <c r="AL579" s="767">
        <f>+AJ579*D4</f>
        <v>4.5</v>
      </c>
      <c r="AM579" s="767">
        <f>+AJ579*E4</f>
        <v>2.5</v>
      </c>
      <c r="AN579" s="767">
        <f>+AJ579*F4</f>
        <v>2</v>
      </c>
      <c r="AO579" s="766" t="s">
        <v>1436</v>
      </c>
      <c r="AP579" s="758" t="s">
        <v>203</v>
      </c>
      <c r="AQ579" s="757" t="s">
        <v>87</v>
      </c>
      <c r="AR579" s="758">
        <v>0</v>
      </c>
      <c r="AS579" s="768">
        <v>1</v>
      </c>
      <c r="AT579" s="758">
        <v>1</v>
      </c>
      <c r="AU579" s="758">
        <v>1</v>
      </c>
      <c r="AV579" s="758">
        <v>1</v>
      </c>
      <c r="AW579" s="758">
        <v>1</v>
      </c>
      <c r="AX579" s="768">
        <v>1</v>
      </c>
      <c r="AY579" s="769"/>
      <c r="AZ579" s="769"/>
      <c r="BA579" s="769"/>
      <c r="BB579" s="769"/>
      <c r="BC579" s="770">
        <f t="shared" si="109"/>
        <v>0</v>
      </c>
      <c r="BD579" s="770" t="s">
        <v>1442</v>
      </c>
      <c r="BE579" s="770" t="s">
        <v>112</v>
      </c>
    </row>
    <row r="580" spans="1:57" ht="33.75">
      <c r="A580" s="755"/>
      <c r="B580" s="755"/>
      <c r="C580" s="755"/>
      <c r="D580" s="755"/>
      <c r="E580" s="755"/>
      <c r="F580" s="755"/>
      <c r="G580" s="755"/>
      <c r="H580" s="750"/>
      <c r="I580" s="755"/>
      <c r="J580" s="755"/>
      <c r="K580" s="755"/>
      <c r="L580" s="755"/>
      <c r="M580" s="755"/>
      <c r="N580" s="750"/>
      <c r="O580" s="755"/>
      <c r="P580" s="755"/>
      <c r="Q580" s="755"/>
      <c r="R580" s="755"/>
      <c r="S580" s="755"/>
      <c r="T580" s="750"/>
      <c r="U580" s="755"/>
      <c r="V580" s="755"/>
      <c r="W580" s="751"/>
      <c r="X580" s="751"/>
      <c r="Y580" s="755"/>
      <c r="Z580" s="755"/>
      <c r="AA580" s="755"/>
      <c r="AB580" s="755"/>
      <c r="AC580" s="765"/>
      <c r="AD580" s="765"/>
      <c r="AE580" s="765"/>
      <c r="AF580" s="765"/>
      <c r="AG580" s="765"/>
      <c r="AH580" s="765"/>
      <c r="AI580" s="766" t="s">
        <v>1395</v>
      </c>
      <c r="AJ580" s="767">
        <f t="shared" si="116"/>
        <v>10</v>
      </c>
      <c r="AK580" s="767">
        <f>+AJ580*C4</f>
        <v>1</v>
      </c>
      <c r="AL580" s="767">
        <f>+AJ580*D4</f>
        <v>4.5</v>
      </c>
      <c r="AM580" s="767">
        <f>+AJ580*E4</f>
        <v>2.5</v>
      </c>
      <c r="AN580" s="767">
        <f>+AJ580*F4</f>
        <v>2</v>
      </c>
      <c r="AO580" s="766" t="s">
        <v>1437</v>
      </c>
      <c r="AP580" s="758" t="s">
        <v>203</v>
      </c>
      <c r="AQ580" s="757" t="s">
        <v>87</v>
      </c>
      <c r="AR580" s="758">
        <v>0</v>
      </c>
      <c r="AS580" s="768">
        <v>1</v>
      </c>
      <c r="AT580" s="758">
        <v>1</v>
      </c>
      <c r="AU580" s="758">
        <v>1</v>
      </c>
      <c r="AV580" s="758">
        <v>1</v>
      </c>
      <c r="AW580" s="758">
        <v>1</v>
      </c>
      <c r="AX580" s="768">
        <v>1</v>
      </c>
      <c r="AY580" s="769"/>
      <c r="AZ580" s="769"/>
      <c r="BA580" s="769"/>
      <c r="BB580" s="769"/>
      <c r="BC580" s="770">
        <f t="shared" si="109"/>
        <v>0</v>
      </c>
      <c r="BD580" s="770" t="s">
        <v>1442</v>
      </c>
      <c r="BE580" s="770" t="s">
        <v>112</v>
      </c>
    </row>
    <row r="581" spans="1:57">
      <c r="A581" s="755"/>
      <c r="B581" s="755"/>
      <c r="C581" s="755"/>
      <c r="D581" s="755"/>
      <c r="E581" s="755"/>
      <c r="F581" s="755"/>
      <c r="G581" s="755"/>
      <c r="H581" s="750"/>
      <c r="I581" s="755"/>
      <c r="J581" s="755"/>
      <c r="K581" s="755"/>
      <c r="L581" s="755"/>
      <c r="M581" s="755"/>
      <c r="N581" s="762"/>
      <c r="O581" s="763"/>
      <c r="P581" s="763"/>
      <c r="Q581" s="763"/>
      <c r="R581" s="763"/>
      <c r="S581" s="763"/>
      <c r="T581" s="762"/>
      <c r="U581" s="763"/>
      <c r="V581" s="763"/>
      <c r="W581" s="764"/>
      <c r="X581" s="764"/>
      <c r="Y581" s="763"/>
      <c r="Z581" s="763"/>
      <c r="AA581" s="763"/>
      <c r="AB581" s="763"/>
      <c r="AC581" s="363" t="s">
        <v>1453</v>
      </c>
      <c r="AD581" s="315"/>
      <c r="AE581" s="315"/>
      <c r="AF581" s="315"/>
      <c r="AG581" s="315"/>
      <c r="AH581" s="315"/>
      <c r="AI581" s="314"/>
      <c r="AJ581" s="447">
        <f t="shared" ref="AJ581" si="117">SUM(AJ571:AJ580)</f>
        <v>100</v>
      </c>
      <c r="AK581" s="447"/>
      <c r="AL581" s="447"/>
      <c r="AM581" s="447"/>
      <c r="AN581" s="447"/>
      <c r="AO581" s="314"/>
      <c r="AP581" s="314"/>
      <c r="AQ581" s="314"/>
      <c r="AR581" s="317"/>
      <c r="AS581" s="314"/>
      <c r="AT581" s="320"/>
      <c r="AU581" s="320"/>
      <c r="AV581" s="320"/>
      <c r="AW581" s="320"/>
      <c r="AX581" s="314"/>
      <c r="AY581" s="323">
        <v>140000000</v>
      </c>
      <c r="AZ581" s="322">
        <v>95000000</v>
      </c>
      <c r="BA581" s="322">
        <v>200000000</v>
      </c>
      <c r="BB581" s="322">
        <v>393372500</v>
      </c>
      <c r="BC581" s="234">
        <f t="shared" si="109"/>
        <v>828372500</v>
      </c>
      <c r="BD581" s="234"/>
      <c r="BE581" s="234"/>
    </row>
    <row r="582" spans="1:57" ht="56.25">
      <c r="A582" s="755"/>
      <c r="B582" s="755"/>
      <c r="C582" s="755"/>
      <c r="D582" s="755"/>
      <c r="E582" s="755"/>
      <c r="F582" s="755"/>
      <c r="G582" s="755"/>
      <c r="H582" s="762"/>
      <c r="I582" s="755"/>
      <c r="J582" s="755"/>
      <c r="K582" s="755"/>
      <c r="L582" s="755"/>
      <c r="M582" s="755"/>
      <c r="N582" s="750" t="s">
        <v>1321</v>
      </c>
      <c r="O582" s="760">
        <f>+(1*100)/8</f>
        <v>12.5</v>
      </c>
      <c r="P582" s="760">
        <f>+O582*C4</f>
        <v>1.25</v>
      </c>
      <c r="Q582" s="760">
        <f>+O582*D4</f>
        <v>5.625</v>
      </c>
      <c r="R582" s="760">
        <f>+O582*E4</f>
        <v>3.125</v>
      </c>
      <c r="S582" s="760">
        <f>+O582*F4</f>
        <v>2.5</v>
      </c>
      <c r="T582" s="750" t="s">
        <v>1333</v>
      </c>
      <c r="U582" s="750" t="s">
        <v>202</v>
      </c>
      <c r="V582" s="750" t="s">
        <v>88</v>
      </c>
      <c r="W582" s="761">
        <v>0.31</v>
      </c>
      <c r="X582" s="761">
        <v>0.5</v>
      </c>
      <c r="Y582" s="761">
        <v>0.35</v>
      </c>
      <c r="Z582" s="761">
        <v>0.44</v>
      </c>
      <c r="AA582" s="761">
        <v>0.47</v>
      </c>
      <c r="AB582" s="761">
        <v>0.5</v>
      </c>
      <c r="AC582" s="765" t="s">
        <v>1341</v>
      </c>
      <c r="AD582" s="760">
        <f>+(1*100)/8</f>
        <v>12.5</v>
      </c>
      <c r="AE582" s="760">
        <f>+AD582*C4</f>
        <v>1.25</v>
      </c>
      <c r="AF582" s="760">
        <f>+AD582*D4</f>
        <v>5.625</v>
      </c>
      <c r="AG582" s="760">
        <f>+AD582*E4</f>
        <v>3.125</v>
      </c>
      <c r="AH582" s="760">
        <f>+AD582*F4</f>
        <v>2.5</v>
      </c>
      <c r="AI582" s="766" t="s">
        <v>1396</v>
      </c>
      <c r="AJ582" s="754">
        <f>+(1*100)/1</f>
        <v>100</v>
      </c>
      <c r="AK582" s="767">
        <v>0</v>
      </c>
      <c r="AL582" s="754">
        <v>55</v>
      </c>
      <c r="AM582" s="754">
        <f>+AJ582*E4</f>
        <v>25</v>
      </c>
      <c r="AN582" s="754">
        <f>+AJ582*F4</f>
        <v>20</v>
      </c>
      <c r="AO582" s="766" t="s">
        <v>1438</v>
      </c>
      <c r="AP582" s="758" t="s">
        <v>203</v>
      </c>
      <c r="AQ582" s="757" t="s">
        <v>87</v>
      </c>
      <c r="AR582" s="758">
        <v>0</v>
      </c>
      <c r="AS582" s="768">
        <v>1</v>
      </c>
      <c r="AT582" s="758">
        <v>0</v>
      </c>
      <c r="AU582" s="758">
        <v>1</v>
      </c>
      <c r="AV582" s="758">
        <v>1</v>
      </c>
      <c r="AW582" s="758">
        <v>1</v>
      </c>
      <c r="AX582" s="768">
        <v>1</v>
      </c>
      <c r="AY582" s="769">
        <v>0</v>
      </c>
      <c r="AZ582" s="769">
        <v>500000000</v>
      </c>
      <c r="BA582" s="769">
        <v>750000000</v>
      </c>
      <c r="BB582" s="769">
        <v>1000000000</v>
      </c>
      <c r="BC582" s="770">
        <f t="shared" si="109"/>
        <v>2250000000</v>
      </c>
      <c r="BD582" s="770" t="s">
        <v>1441</v>
      </c>
      <c r="BE582" s="770" t="s">
        <v>112</v>
      </c>
    </row>
    <row r="583" spans="1:57">
      <c r="A583" s="87"/>
      <c r="B583" s="312"/>
      <c r="C583" s="312"/>
      <c r="D583" s="312"/>
      <c r="E583" s="312"/>
      <c r="F583" s="312"/>
      <c r="G583" s="312"/>
      <c r="H583" s="313"/>
      <c r="I583" s="312"/>
      <c r="J583" s="312"/>
      <c r="K583" s="312"/>
      <c r="L583" s="312"/>
      <c r="M583" s="312"/>
      <c r="N583" s="174"/>
      <c r="O583" s="312"/>
      <c r="P583" s="312"/>
      <c r="Q583" s="312"/>
      <c r="R583" s="312"/>
      <c r="S583" s="312"/>
      <c r="T583" s="312"/>
      <c r="U583" s="312"/>
      <c r="V583" s="312"/>
      <c r="W583" s="312"/>
      <c r="X583" s="312"/>
      <c r="Y583" s="312"/>
      <c r="Z583" s="312"/>
      <c r="AA583" s="312"/>
      <c r="AB583" s="312"/>
      <c r="AC583" s="349" t="s">
        <v>1453</v>
      </c>
      <c r="AD583" s="315"/>
      <c r="AE583" s="315"/>
      <c r="AF583" s="315"/>
      <c r="AG583" s="315"/>
      <c r="AH583" s="315"/>
      <c r="AI583" s="312"/>
      <c r="AJ583" s="447">
        <f t="shared" ref="AJ583" si="118">SUM(AJ582)</f>
        <v>100</v>
      </c>
      <c r="AK583" s="447"/>
      <c r="AL583" s="447"/>
      <c r="AM583" s="447"/>
      <c r="AN583" s="447"/>
      <c r="AO583" s="314"/>
      <c r="AP583" s="312"/>
      <c r="AQ583" s="312"/>
      <c r="AR583" s="318"/>
      <c r="AS583" s="312"/>
      <c r="AT583" s="186"/>
      <c r="AU583" s="186"/>
      <c r="AV583" s="186"/>
      <c r="AW583" s="186"/>
      <c r="AX583" s="312"/>
      <c r="AY583" s="258">
        <v>0</v>
      </c>
      <c r="AZ583" s="258">
        <v>500000000</v>
      </c>
      <c r="BA583" s="258">
        <v>750000000</v>
      </c>
      <c r="BB583" s="258">
        <v>1000000000</v>
      </c>
      <c r="BC583" s="234">
        <f t="shared" si="109"/>
        <v>2250000000</v>
      </c>
      <c r="BD583" s="314"/>
      <c r="BE583" s="314"/>
    </row>
    <row r="584" spans="1:57">
      <c r="A584" s="91"/>
      <c r="B584" s="91"/>
      <c r="C584" s="91"/>
      <c r="D584" s="91"/>
      <c r="E584" s="91"/>
      <c r="F584" s="91"/>
      <c r="G584" s="91"/>
      <c r="H584" s="91"/>
      <c r="I584" s="91"/>
      <c r="J584" s="91"/>
      <c r="K584" s="91"/>
      <c r="L584" s="91"/>
      <c r="M584" s="91"/>
      <c r="N584" s="91"/>
      <c r="O584" s="413">
        <f>SUM(O550:O583)</f>
        <v>100</v>
      </c>
      <c r="P584" s="91"/>
      <c r="Q584" s="91"/>
      <c r="R584" s="91"/>
      <c r="S584" s="91"/>
      <c r="T584" s="91"/>
      <c r="U584" s="91"/>
      <c r="V584" s="91"/>
      <c r="W584" s="91"/>
      <c r="X584" s="91"/>
      <c r="Y584" s="91"/>
      <c r="Z584" s="91"/>
      <c r="AA584" s="91"/>
      <c r="AB584" s="91"/>
      <c r="AC584" s="91"/>
      <c r="AD584" s="414">
        <f>SUM(AD550:AD583)</f>
        <v>100</v>
      </c>
      <c r="AE584" s="91"/>
      <c r="AF584" s="91"/>
      <c r="AG584" s="91"/>
      <c r="AH584" s="91"/>
      <c r="AI584" s="91"/>
      <c r="AJ584" s="308"/>
      <c r="AK584" s="308"/>
      <c r="AL584" s="308"/>
      <c r="AM584" s="308"/>
      <c r="AN584" s="308"/>
      <c r="AO584" s="91"/>
      <c r="AP584" s="91"/>
      <c r="AQ584" s="91"/>
      <c r="AR584" s="91"/>
      <c r="AS584" s="91"/>
      <c r="AT584" s="91"/>
      <c r="AU584" s="91"/>
      <c r="AV584" s="91"/>
      <c r="AW584" s="91"/>
      <c r="AX584" s="91"/>
      <c r="AY584" s="310">
        <f>+AY583+AY581+AY570+AY565+AY548+AY535+AY530</f>
        <v>12261816117.449999</v>
      </c>
      <c r="AZ584" s="310">
        <f>+AZ583+AZ581+AZ570+AZ565+AZ548+AZ535+AZ530</f>
        <v>5706642438</v>
      </c>
      <c r="BA584" s="310">
        <f t="shared" ref="BA584" si="119">+BA583+BA581+BA570+BA565+BA548+BA535+BA530</f>
        <v>4382547113</v>
      </c>
      <c r="BB584" s="310">
        <f t="shared" ref="BB584" si="120">+BB583+BB581+BB570+BB565+BB548+BB535+BB530</f>
        <v>5225312609.6999998</v>
      </c>
      <c r="BC584" s="310">
        <f t="shared" ref="BC584" si="121">+BC583+BC581+BC570+BC565+BC548+BC535+BC530</f>
        <v>27576318278.150002</v>
      </c>
      <c r="BD584" s="310"/>
      <c r="BE584" s="91"/>
    </row>
    <row r="585" spans="1:57">
      <c r="A585" s="297" t="s">
        <v>176</v>
      </c>
      <c r="B585" s="397">
        <f>+B520</f>
        <v>14</v>
      </c>
      <c r="C585" s="297"/>
      <c r="D585" s="297"/>
      <c r="E585" s="297"/>
      <c r="F585" s="297"/>
      <c r="G585" s="297"/>
      <c r="H585" s="297"/>
      <c r="I585" s="297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  <c r="AD585" s="297"/>
      <c r="AE585" s="297"/>
      <c r="AF585" s="297"/>
      <c r="AG585" s="297"/>
      <c r="AH585" s="297"/>
      <c r="AI585" s="297"/>
      <c r="AJ585" s="309"/>
      <c r="AK585" s="309"/>
      <c r="AL585" s="309"/>
      <c r="AM585" s="309"/>
      <c r="AN585" s="309"/>
      <c r="AO585" s="297"/>
      <c r="AP585" s="297"/>
      <c r="AQ585" s="297"/>
      <c r="AR585" s="297"/>
      <c r="AS585" s="297"/>
      <c r="AT585" s="297"/>
      <c r="AU585" s="297"/>
      <c r="AV585" s="297"/>
      <c r="AW585" s="297"/>
      <c r="AX585" s="297"/>
      <c r="AY585" s="311">
        <f>+AY584+AY549</f>
        <v>14931378444.899998</v>
      </c>
      <c r="AZ585" s="311">
        <f t="shared" ref="AZ585:BC585" si="122">+AZ584+AZ549</f>
        <v>7278284876</v>
      </c>
      <c r="BA585" s="311">
        <f t="shared" si="122"/>
        <v>5929094226</v>
      </c>
      <c r="BB585" s="311">
        <f t="shared" si="122"/>
        <v>7574252719.3999996</v>
      </c>
      <c r="BC585" s="311">
        <f t="shared" si="122"/>
        <v>35713010266.300003</v>
      </c>
      <c r="BD585" s="297"/>
      <c r="BE585" s="297"/>
    </row>
    <row r="586" spans="1:57">
      <c r="A586" s="327" t="s">
        <v>1446</v>
      </c>
      <c r="B586" s="396">
        <f>+B520+B423+B86+B34+B7</f>
        <v>100</v>
      </c>
      <c r="C586" s="324"/>
      <c r="D586" s="324"/>
      <c r="E586" s="324"/>
      <c r="F586" s="324"/>
      <c r="G586" s="324"/>
      <c r="H586" s="325"/>
      <c r="I586" s="345"/>
      <c r="J586" s="324"/>
      <c r="K586" s="324"/>
      <c r="L586" s="324"/>
      <c r="M586" s="324"/>
      <c r="N586" s="326"/>
      <c r="O586" s="324"/>
      <c r="P586" s="324"/>
      <c r="Q586" s="324"/>
      <c r="R586" s="324"/>
      <c r="S586" s="324"/>
      <c r="T586" s="324"/>
      <c r="U586" s="324"/>
      <c r="V586" s="324"/>
      <c r="W586" s="324"/>
      <c r="X586" s="324"/>
      <c r="Y586" s="324"/>
      <c r="Z586" s="324"/>
      <c r="AA586" s="324"/>
      <c r="AB586" s="324"/>
      <c r="AC586" s="324"/>
      <c r="AD586" s="324"/>
      <c r="AE586" s="324"/>
      <c r="AF586" s="324"/>
      <c r="AG586" s="324"/>
      <c r="AH586" s="324"/>
      <c r="AI586" s="324"/>
      <c r="AJ586" s="345"/>
      <c r="AK586" s="345"/>
      <c r="AL586" s="345"/>
      <c r="AM586" s="345"/>
      <c r="AN586" s="345"/>
      <c r="AO586" s="324"/>
      <c r="AP586" s="324"/>
      <c r="AQ586" s="324"/>
      <c r="AR586" s="324"/>
      <c r="AS586" s="324"/>
      <c r="AT586" s="324"/>
      <c r="AU586" s="324"/>
      <c r="AV586" s="324"/>
      <c r="AW586" s="324"/>
      <c r="AX586" s="324"/>
      <c r="AY586" s="328">
        <f>+AY585+AY519+AY422+AY85+AY33</f>
        <v>447077761380.24005</v>
      </c>
      <c r="AZ586" s="328">
        <f>+AZ585+AZ519+AZ422+AZ85+AZ33</f>
        <v>282108719875.91998</v>
      </c>
      <c r="BA586" s="328">
        <f>+BA585+BA519+BA422+BA85+BA33</f>
        <v>253132245514.04001</v>
      </c>
      <c r="BB586" s="328">
        <f>+BB585+BB519+BB422+BB85+BB33</f>
        <v>222706403795.45001</v>
      </c>
      <c r="BC586" s="328">
        <f>+BC585+BC519+BC422+BC85+BC33</f>
        <v>1205025130565.6499</v>
      </c>
      <c r="BD586" s="324"/>
      <c r="BE586" s="324"/>
    </row>
    <row r="847" spans="8:8">
      <c r="H847" s="20"/>
    </row>
    <row r="848" spans="8:8">
      <c r="H848" s="20"/>
    </row>
    <row r="849" spans="8:8">
      <c r="H849" s="20"/>
    </row>
    <row r="850" spans="8:8">
      <c r="H850" s="20"/>
    </row>
    <row r="851" spans="8:8">
      <c r="H851" s="20"/>
    </row>
    <row r="852" spans="8:8">
      <c r="H852" s="20"/>
    </row>
    <row r="853" spans="8:8">
      <c r="H853" s="20"/>
    </row>
    <row r="854" spans="8:8">
      <c r="H854" s="20"/>
    </row>
    <row r="855" spans="8:8">
      <c r="H855" s="20"/>
    </row>
    <row r="856" spans="8:8">
      <c r="H856" s="20"/>
    </row>
    <row r="857" spans="8:8">
      <c r="H857" s="20"/>
    </row>
    <row r="858" spans="8:8">
      <c r="H858" s="20"/>
    </row>
    <row r="859" spans="8:8">
      <c r="H859" s="20"/>
    </row>
    <row r="860" spans="8:8">
      <c r="H860" s="20"/>
    </row>
    <row r="861" spans="8:8">
      <c r="H861" s="20"/>
    </row>
    <row r="862" spans="8:8">
      <c r="H862" s="20"/>
    </row>
    <row r="863" spans="8:8">
      <c r="H863" s="20"/>
    </row>
    <row r="864" spans="8:8">
      <c r="H864" s="20"/>
    </row>
    <row r="865" spans="8:8">
      <c r="H865" s="20"/>
    </row>
    <row r="866" spans="8:8">
      <c r="H866" s="20"/>
    </row>
    <row r="867" spans="8:8">
      <c r="H867" s="20"/>
    </row>
    <row r="868" spans="8:8">
      <c r="H868" s="20"/>
    </row>
    <row r="869" spans="8:8">
      <c r="H869" s="20"/>
    </row>
    <row r="870" spans="8:8">
      <c r="H870" s="20"/>
    </row>
    <row r="871" spans="8:8">
      <c r="H871" s="20"/>
    </row>
    <row r="872" spans="8:8">
      <c r="H872" s="20"/>
    </row>
    <row r="873" spans="8:8">
      <c r="H873" s="20"/>
    </row>
    <row r="874" spans="8:8">
      <c r="H874" s="20"/>
    </row>
    <row r="875" spans="8:8">
      <c r="H875" s="20"/>
    </row>
    <row r="876" spans="8:8">
      <c r="H876" s="20"/>
    </row>
    <row r="877" spans="8:8">
      <c r="H877" s="20"/>
    </row>
    <row r="878" spans="8:8">
      <c r="H878" s="20"/>
    </row>
    <row r="879" spans="8:8">
      <c r="H879" s="20"/>
    </row>
    <row r="880" spans="8:8">
      <c r="H880" s="20"/>
    </row>
    <row r="881" spans="8:8">
      <c r="H881" s="20"/>
    </row>
    <row r="882" spans="8:8">
      <c r="H882" s="20"/>
    </row>
    <row r="883" spans="8:8">
      <c r="H883" s="20"/>
    </row>
    <row r="884" spans="8:8">
      <c r="H884" s="20"/>
    </row>
    <row r="885" spans="8:8">
      <c r="H885" s="20"/>
    </row>
    <row r="886" spans="8:8">
      <c r="H886" s="20"/>
    </row>
    <row r="887" spans="8:8">
      <c r="H887" s="20"/>
    </row>
    <row r="888" spans="8:8">
      <c r="H888" s="20"/>
    </row>
    <row r="889" spans="8:8">
      <c r="H889" s="20"/>
    </row>
    <row r="890" spans="8:8">
      <c r="H890" s="20"/>
    </row>
    <row r="891" spans="8:8">
      <c r="H891" s="20"/>
    </row>
    <row r="892" spans="8:8">
      <c r="H892" s="20"/>
    </row>
    <row r="893" spans="8:8">
      <c r="H893" s="20"/>
    </row>
    <row r="894" spans="8:8">
      <c r="H894" s="20"/>
    </row>
    <row r="895" spans="8:8">
      <c r="H895" s="20"/>
    </row>
    <row r="896" spans="8:8">
      <c r="H896" s="20"/>
    </row>
    <row r="897" spans="8:8">
      <c r="H897" s="20"/>
    </row>
    <row r="898" spans="8:8">
      <c r="H898" s="20"/>
    </row>
    <row r="899" spans="8:8">
      <c r="H899" s="20"/>
    </row>
    <row r="900" spans="8:8">
      <c r="H900" s="20"/>
    </row>
    <row r="901" spans="8:8">
      <c r="H901" s="20"/>
    </row>
    <row r="902" spans="8:8">
      <c r="H902" s="20"/>
    </row>
    <row r="903" spans="8:8">
      <c r="H903" s="20"/>
    </row>
    <row r="904" spans="8:8">
      <c r="H904" s="20"/>
    </row>
    <row r="905" spans="8:8">
      <c r="H905" s="20"/>
    </row>
    <row r="906" spans="8:8">
      <c r="H906" s="20"/>
    </row>
    <row r="907" spans="8:8">
      <c r="H907" s="20"/>
    </row>
    <row r="908" spans="8:8">
      <c r="H908" s="20"/>
    </row>
    <row r="909" spans="8:8">
      <c r="H909" s="20"/>
    </row>
    <row r="910" spans="8:8">
      <c r="H910" s="20"/>
    </row>
    <row r="911" spans="8:8">
      <c r="H911" s="20"/>
    </row>
    <row r="912" spans="8:8">
      <c r="H912" s="20"/>
    </row>
    <row r="913" spans="8:8">
      <c r="H913" s="20"/>
    </row>
    <row r="914" spans="8:8">
      <c r="H914" s="20"/>
    </row>
    <row r="915" spans="8:8">
      <c r="H915" s="20"/>
    </row>
    <row r="916" spans="8:8">
      <c r="H916" s="20"/>
    </row>
    <row r="917" spans="8:8">
      <c r="H917" s="20"/>
    </row>
    <row r="918" spans="8:8">
      <c r="H918" s="20"/>
    </row>
    <row r="919" spans="8:8">
      <c r="H919" s="20"/>
    </row>
    <row r="920" spans="8:8">
      <c r="H920" s="20"/>
    </row>
    <row r="921" spans="8:8">
      <c r="H921" s="20"/>
    </row>
    <row r="922" spans="8:8">
      <c r="H922" s="20"/>
    </row>
    <row r="923" spans="8:8">
      <c r="H923" s="20"/>
    </row>
    <row r="924" spans="8:8">
      <c r="H924" s="20"/>
    </row>
    <row r="925" spans="8:8">
      <c r="H925" s="20"/>
    </row>
    <row r="926" spans="8:8">
      <c r="H926" s="20"/>
    </row>
    <row r="927" spans="8:8">
      <c r="H927" s="20"/>
    </row>
    <row r="928" spans="8:8">
      <c r="H928" s="20"/>
    </row>
    <row r="929" spans="8:8">
      <c r="H929" s="20"/>
    </row>
    <row r="930" spans="8:8">
      <c r="H930" s="20"/>
    </row>
    <row r="931" spans="8:8">
      <c r="H931" s="20"/>
    </row>
    <row r="932" spans="8:8">
      <c r="H932" s="20"/>
    </row>
    <row r="933" spans="8:8">
      <c r="H933" s="20"/>
    </row>
    <row r="934" spans="8:8">
      <c r="H934" s="20"/>
    </row>
    <row r="935" spans="8:8">
      <c r="H935" s="20"/>
    </row>
    <row r="936" spans="8:8">
      <c r="H936" s="20"/>
    </row>
    <row r="937" spans="8:8">
      <c r="H937" s="20"/>
    </row>
    <row r="938" spans="8:8">
      <c r="H938" s="20"/>
    </row>
    <row r="939" spans="8:8">
      <c r="H939" s="20"/>
    </row>
    <row r="940" spans="8:8">
      <c r="H940" s="20"/>
    </row>
    <row r="941" spans="8:8">
      <c r="H941" s="20"/>
    </row>
    <row r="942" spans="8:8">
      <c r="H942" s="20"/>
    </row>
    <row r="943" spans="8:8">
      <c r="H943" s="20"/>
    </row>
    <row r="944" spans="8:8">
      <c r="H944" s="20"/>
    </row>
    <row r="945" spans="8:8">
      <c r="H945" s="20"/>
    </row>
    <row r="946" spans="8:8">
      <c r="H946" s="20"/>
    </row>
    <row r="947" spans="8:8">
      <c r="H947" s="20"/>
    </row>
    <row r="948" spans="8:8">
      <c r="H948" s="20"/>
    </row>
    <row r="949" spans="8:8">
      <c r="H949" s="20"/>
    </row>
    <row r="950" spans="8:8">
      <c r="H950" s="20"/>
    </row>
    <row r="951" spans="8:8">
      <c r="H951" s="20"/>
    </row>
    <row r="952" spans="8:8">
      <c r="H952" s="20"/>
    </row>
    <row r="953" spans="8:8">
      <c r="H953" s="20"/>
    </row>
    <row r="954" spans="8:8">
      <c r="H954" s="20"/>
    </row>
    <row r="955" spans="8:8">
      <c r="H955" s="20"/>
    </row>
    <row r="956" spans="8:8">
      <c r="H956" s="20"/>
    </row>
    <row r="957" spans="8:8">
      <c r="H957" s="20"/>
    </row>
    <row r="958" spans="8:8">
      <c r="H958" s="20"/>
    </row>
    <row r="959" spans="8:8">
      <c r="H959" s="20"/>
    </row>
    <row r="960" spans="8:8">
      <c r="H960" s="20"/>
    </row>
    <row r="961" spans="8:8">
      <c r="H961" s="20"/>
    </row>
    <row r="962" spans="8:8">
      <c r="H962" s="20"/>
    </row>
    <row r="963" spans="8:8">
      <c r="H963" s="20"/>
    </row>
    <row r="964" spans="8:8">
      <c r="H964" s="20"/>
    </row>
    <row r="965" spans="8:8">
      <c r="H965" s="20"/>
    </row>
    <row r="966" spans="8:8">
      <c r="H966" s="20"/>
    </row>
    <row r="967" spans="8:8">
      <c r="H967" s="20"/>
    </row>
    <row r="968" spans="8:8">
      <c r="H968" s="20"/>
    </row>
    <row r="969" spans="8:8">
      <c r="H969" s="20"/>
    </row>
    <row r="970" spans="8:8">
      <c r="H970" s="20"/>
    </row>
    <row r="971" spans="8:8">
      <c r="H971" s="20"/>
    </row>
    <row r="972" spans="8:8">
      <c r="H972" s="20"/>
    </row>
    <row r="973" spans="8:8">
      <c r="H973" s="20"/>
    </row>
    <row r="974" spans="8:8">
      <c r="H974" s="20"/>
    </row>
    <row r="975" spans="8:8">
      <c r="H975" s="20"/>
    </row>
    <row r="976" spans="8:8">
      <c r="H976" s="20"/>
    </row>
    <row r="977" spans="8:8">
      <c r="H977" s="20"/>
    </row>
    <row r="978" spans="8:8">
      <c r="H978" s="20"/>
    </row>
    <row r="979" spans="8:8">
      <c r="H979" s="20"/>
    </row>
    <row r="980" spans="8:8">
      <c r="H980" s="20"/>
    </row>
    <row r="981" spans="8:8">
      <c r="H981" s="20"/>
    </row>
    <row r="982" spans="8:8">
      <c r="H982" s="20"/>
    </row>
    <row r="983" spans="8:8">
      <c r="H983" s="20"/>
    </row>
    <row r="984" spans="8:8">
      <c r="H984" s="20"/>
    </row>
    <row r="985" spans="8:8">
      <c r="H985" s="20"/>
    </row>
    <row r="986" spans="8:8">
      <c r="H986" s="20"/>
    </row>
    <row r="987" spans="8:8">
      <c r="H987" s="20"/>
    </row>
    <row r="988" spans="8:8">
      <c r="H988" s="20"/>
    </row>
    <row r="989" spans="8:8">
      <c r="H989" s="20"/>
    </row>
    <row r="990" spans="8:8">
      <c r="H990" s="20"/>
    </row>
    <row r="991" spans="8:8">
      <c r="H991" s="20"/>
    </row>
    <row r="992" spans="8:8">
      <c r="H992" s="20"/>
    </row>
    <row r="993" spans="8:8">
      <c r="H993" s="20"/>
    </row>
    <row r="994" spans="8:8">
      <c r="H994" s="20"/>
    </row>
    <row r="995" spans="8:8">
      <c r="H995" s="20"/>
    </row>
    <row r="996" spans="8:8">
      <c r="H996" s="20"/>
    </row>
  </sheetData>
  <mergeCells count="33">
    <mergeCell ref="AY5:BC5"/>
    <mergeCell ref="AO33:AR33"/>
    <mergeCell ref="A1:BE1"/>
    <mergeCell ref="A2:BE2"/>
    <mergeCell ref="A3:BE3"/>
    <mergeCell ref="A5:A6"/>
    <mergeCell ref="B5:B6"/>
    <mergeCell ref="G5:G6"/>
    <mergeCell ref="H5:H6"/>
    <mergeCell ref="I5:I6"/>
    <mergeCell ref="BD5:BD6"/>
    <mergeCell ref="BE5:BE6"/>
    <mergeCell ref="N5:N6"/>
    <mergeCell ref="O5:O6"/>
    <mergeCell ref="AD5:AD6"/>
    <mergeCell ref="AI5:AI6"/>
    <mergeCell ref="AJ5:AJ6"/>
    <mergeCell ref="AO5:AR5"/>
    <mergeCell ref="U190:U191"/>
    <mergeCell ref="T33:AB33"/>
    <mergeCell ref="T5:AB5"/>
    <mergeCell ref="AC5:AC6"/>
    <mergeCell ref="T238:T239"/>
    <mergeCell ref="N52:N54"/>
    <mergeCell ref="AB52:AB54"/>
    <mergeCell ref="T52:T54"/>
    <mergeCell ref="U52:U54"/>
    <mergeCell ref="V52:V54"/>
    <mergeCell ref="W52:W54"/>
    <mergeCell ref="X52:X54"/>
    <mergeCell ref="Y52:Y54"/>
    <mergeCell ref="Z52:Z54"/>
    <mergeCell ref="AA52:AA54"/>
  </mergeCells>
  <dataValidations count="1">
    <dataValidation allowBlank="1" showErrorMessage="1" error="El usuario solamente puede seleccionar una de las dimensiones definidas" promptTitle="Dimensión" prompt="Seleccione la dimensión al que pertenece el proyecto de inversión" sqref="X89 AO339 AI340:AI341"/>
  </dataValidations>
  <pageMargins left="0.7" right="0.7" top="0.75" bottom="0.75" header="0.3" footer="0.3"/>
  <pageSetup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[2]Hoja1!#REF!</xm:f>
          </x14:formula1>
          <xm:sqref>BE232:BE234 BE236:BE243 BE264:BE265 BE267:BE269 BE275:BE283 BE271:BE273</xm:sqref>
        </x14:dataValidation>
        <x14:dataValidation type="list" allowBlank="1" showInputMessage="1" showErrorMessage="1">
          <x14:formula1>
            <xm:f>[2]Hoja1!#REF!</xm:f>
          </x14:formula1>
          <xm:sqref>BD232:BD234 BD520:BE529 BD531:BE534 BD536:BE547 BD550:BE564 BD566:BE569 BD571:BE580 BD582:BE582 BE227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CONSOLIDADO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7</dc:creator>
  <cp:lastModifiedBy>rc</cp:lastModifiedBy>
  <cp:lastPrinted>2012-06-05T14:27:15Z</cp:lastPrinted>
  <dcterms:created xsi:type="dcterms:W3CDTF">2012-02-13T05:20:11Z</dcterms:created>
  <dcterms:modified xsi:type="dcterms:W3CDTF">2013-06-04T14:47:36Z</dcterms:modified>
</cp:coreProperties>
</file>