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90" windowWidth="18915" windowHeight="7485"/>
  </bookViews>
  <sheets>
    <sheet name="Hoja1" sheetId="1" r:id="rId1"/>
  </sheets>
  <externalReferences>
    <externalReference r:id="rId2"/>
    <externalReference r:id="rId3"/>
  </externalReferences>
  <calcPr calcId="144525"/>
</workbook>
</file>

<file path=xl/calcChain.xml><?xml version="1.0" encoding="utf-8"?>
<calcChain xmlns="http://schemas.openxmlformats.org/spreadsheetml/2006/main">
  <c r="K892" i="1" l="1"/>
  <c r="K891" i="1"/>
  <c r="P889" i="1"/>
  <c r="P888" i="1"/>
  <c r="AH887" i="1"/>
  <c r="P887" i="1"/>
  <c r="K887" i="1"/>
  <c r="AH886" i="1"/>
  <c r="P886" i="1"/>
  <c r="K886" i="1"/>
  <c r="K885" i="1"/>
  <c r="P884" i="1"/>
  <c r="K884" i="1"/>
  <c r="AH883" i="1"/>
  <c r="P883" i="1"/>
  <c r="K883" i="1"/>
  <c r="AF881" i="1"/>
  <c r="AH881" i="1" s="1"/>
  <c r="U881" i="1"/>
  <c r="P881" i="1"/>
  <c r="AH879" i="1"/>
  <c r="P879" i="1"/>
  <c r="K879" i="1"/>
  <c r="K878" i="1"/>
  <c r="K877" i="1"/>
  <c r="K876" i="1"/>
  <c r="K875" i="1"/>
  <c r="K890" i="1" s="1"/>
  <c r="AH873" i="1"/>
  <c r="P873" i="1"/>
  <c r="K873" i="1"/>
  <c r="AH872" i="1"/>
  <c r="P872" i="1"/>
  <c r="K872" i="1"/>
  <c r="AH871" i="1"/>
  <c r="AF871" i="1"/>
  <c r="U871" i="1"/>
  <c r="P871" i="1"/>
  <c r="K871" i="1"/>
  <c r="K870" i="1"/>
  <c r="K874" i="1" s="1"/>
  <c r="AH868" i="1"/>
  <c r="P868" i="1"/>
  <c r="AH867" i="1"/>
  <c r="P867" i="1"/>
  <c r="AH866" i="1"/>
  <c r="P866" i="1"/>
  <c r="AH865" i="1"/>
  <c r="AH864" i="1"/>
  <c r="P864" i="1"/>
  <c r="AH863" i="1"/>
  <c r="P863" i="1"/>
  <c r="K863" i="1"/>
  <c r="AH862" i="1"/>
  <c r="P862" i="1"/>
  <c r="AH861" i="1"/>
  <c r="AH860" i="1"/>
  <c r="AH859" i="1"/>
  <c r="AH858" i="1"/>
  <c r="AH857" i="1"/>
  <c r="AH856" i="1"/>
  <c r="AH855" i="1"/>
  <c r="AH854" i="1"/>
  <c r="AH853" i="1"/>
  <c r="AH852" i="1"/>
  <c r="AH851" i="1"/>
  <c r="AH850" i="1"/>
  <c r="AH849" i="1"/>
  <c r="P849" i="1"/>
  <c r="AH848" i="1"/>
  <c r="P848" i="1"/>
  <c r="AH847" i="1"/>
  <c r="P847" i="1"/>
  <c r="AH846" i="1"/>
  <c r="P846" i="1"/>
  <c r="P842" i="1" s="1"/>
  <c r="AH845" i="1"/>
  <c r="P845" i="1"/>
  <c r="AH844" i="1"/>
  <c r="AH843" i="1"/>
  <c r="AH842" i="1"/>
  <c r="AH841" i="1"/>
  <c r="AH840" i="1"/>
  <c r="P840" i="1"/>
  <c r="K840" i="1"/>
  <c r="AH839" i="1"/>
  <c r="P839" i="1"/>
  <c r="AH838" i="1"/>
  <c r="P838" i="1"/>
  <c r="K838" i="1"/>
  <c r="AH837" i="1"/>
  <c r="P837" i="1"/>
  <c r="K837" i="1"/>
  <c r="AH836" i="1"/>
  <c r="P836" i="1"/>
  <c r="K836" i="1"/>
  <c r="AH835" i="1"/>
  <c r="P835" i="1"/>
  <c r="K835" i="1"/>
  <c r="AH834" i="1"/>
  <c r="P834" i="1"/>
  <c r="K834" i="1"/>
  <c r="AH833" i="1"/>
  <c r="P833" i="1"/>
  <c r="K833" i="1"/>
  <c r="AH832" i="1"/>
  <c r="P832" i="1"/>
  <c r="K832" i="1"/>
  <c r="AH831" i="1"/>
  <c r="AH830" i="1"/>
  <c r="P830" i="1"/>
  <c r="AH829" i="1"/>
  <c r="P829" i="1"/>
  <c r="AH828" i="1"/>
  <c r="AH827" i="1"/>
  <c r="P827" i="1"/>
  <c r="AH826" i="1"/>
  <c r="AH825" i="1"/>
  <c r="P825" i="1"/>
  <c r="AH824" i="1"/>
  <c r="P824" i="1"/>
  <c r="K824" i="1"/>
  <c r="AH823" i="1"/>
  <c r="P823" i="1"/>
  <c r="K823" i="1"/>
  <c r="AH822" i="1"/>
  <c r="P822" i="1"/>
  <c r="K822" i="1"/>
  <c r="AH821" i="1"/>
  <c r="P821" i="1"/>
  <c r="AH820" i="1"/>
  <c r="P820" i="1"/>
  <c r="AH819" i="1"/>
  <c r="P819" i="1"/>
  <c r="K819" i="1"/>
  <c r="K818" i="1"/>
  <c r="K817" i="1"/>
  <c r="K869" i="1" s="1"/>
  <c r="AH814" i="1"/>
  <c r="P814" i="1"/>
  <c r="K814" i="1"/>
  <c r="AH813" i="1"/>
  <c r="P813" i="1"/>
  <c r="K813" i="1"/>
  <c r="K812" i="1"/>
  <c r="K811" i="1"/>
  <c r="K810" i="1"/>
  <c r="K809" i="1"/>
  <c r="AH808" i="1"/>
  <c r="P808" i="1"/>
  <c r="K808" i="1"/>
  <c r="AH807" i="1"/>
  <c r="U807" i="1"/>
  <c r="P807" i="1"/>
  <c r="K807" i="1"/>
  <c r="P806" i="1"/>
  <c r="K806" i="1"/>
  <c r="P805" i="1"/>
  <c r="K805" i="1"/>
  <c r="AH804" i="1"/>
  <c r="P804" i="1"/>
  <c r="K804" i="1"/>
  <c r="K803" i="1"/>
  <c r="K815" i="1" s="1"/>
  <c r="K801" i="1"/>
  <c r="AH800" i="1"/>
  <c r="P800" i="1"/>
  <c r="K800" i="1"/>
  <c r="AH798" i="1"/>
  <c r="P798" i="1"/>
  <c r="K798" i="1"/>
  <c r="AH797" i="1"/>
  <c r="AH796" i="1"/>
  <c r="P796" i="1"/>
  <c r="K796" i="1"/>
  <c r="K802" i="1" s="1"/>
  <c r="AH794" i="1"/>
  <c r="P794" i="1"/>
  <c r="AH793" i="1"/>
  <c r="AF793" i="1"/>
  <c r="V793" i="1"/>
  <c r="U793" i="1"/>
  <c r="P793" i="1"/>
  <c r="AF792" i="1"/>
  <c r="AH792" i="1" s="1"/>
  <c r="V792" i="1"/>
  <c r="U792" i="1"/>
  <c r="AH791" i="1"/>
  <c r="P791" i="1"/>
  <c r="AH790" i="1"/>
  <c r="V790" i="1"/>
  <c r="U790" i="1"/>
  <c r="P790" i="1"/>
  <c r="AF784" i="1"/>
  <c r="AH784" i="1" s="1"/>
  <c r="V784" i="1"/>
  <c r="U784" i="1"/>
  <c r="P784" i="1"/>
  <c r="K784" i="1"/>
  <c r="AG782" i="1"/>
  <c r="O782" i="1"/>
  <c r="AH781" i="1"/>
  <c r="P781" i="1"/>
  <c r="K781" i="1"/>
  <c r="AF779" i="1"/>
  <c r="AH779" i="1" s="1"/>
  <c r="V779" i="1"/>
  <c r="U779" i="1"/>
  <c r="P779" i="1"/>
  <c r="K779" i="1"/>
  <c r="K778" i="1"/>
  <c r="K777" i="1"/>
  <c r="AF776" i="1"/>
  <c r="AH776" i="1" s="1"/>
  <c r="V776" i="1"/>
  <c r="U776" i="1"/>
  <c r="P776" i="1"/>
  <c r="AF775" i="1"/>
  <c r="AH775" i="1" s="1"/>
  <c r="V775" i="1"/>
  <c r="U775" i="1"/>
  <c r="P775" i="1"/>
  <c r="K775" i="1"/>
  <c r="K774" i="1"/>
  <c r="K773" i="1"/>
  <c r="K772" i="1"/>
  <c r="K771" i="1"/>
  <c r="K795" i="1" s="1"/>
  <c r="K767" i="1"/>
  <c r="K766" i="1"/>
  <c r="K765" i="1"/>
  <c r="K764" i="1"/>
  <c r="K763" i="1"/>
  <c r="K762" i="1"/>
  <c r="AH761" i="1"/>
  <c r="P761" i="1"/>
  <c r="K761" i="1"/>
  <c r="K760" i="1"/>
  <c r="K759" i="1"/>
  <c r="K758" i="1"/>
  <c r="K757" i="1"/>
  <c r="K768" i="1" s="1"/>
  <c r="K755" i="1"/>
  <c r="K754" i="1"/>
  <c r="K753" i="1"/>
  <c r="K752" i="1"/>
  <c r="K751" i="1"/>
  <c r="K750" i="1"/>
  <c r="K749" i="1"/>
  <c r="K748" i="1"/>
  <c r="K747" i="1"/>
  <c r="K746" i="1"/>
  <c r="K745" i="1"/>
  <c r="K744" i="1"/>
  <c r="K743" i="1"/>
  <c r="K756" i="1" s="1"/>
  <c r="K742" i="1"/>
  <c r="K741" i="1"/>
  <c r="AH740" i="1"/>
  <c r="P740" i="1"/>
  <c r="K740" i="1"/>
  <c r="K739" i="1"/>
  <c r="P737" i="1"/>
  <c r="K737" i="1"/>
  <c r="AH736" i="1"/>
  <c r="P736" i="1"/>
  <c r="K736" i="1"/>
  <c r="P735" i="1"/>
  <c r="K735" i="1"/>
  <c r="AH734" i="1"/>
  <c r="P734" i="1"/>
  <c r="K734" i="1"/>
  <c r="K733" i="1"/>
  <c r="K732" i="1"/>
  <c r="K731" i="1"/>
  <c r="K738" i="1" s="1"/>
  <c r="P729" i="1"/>
  <c r="K729" i="1"/>
  <c r="P728" i="1"/>
  <c r="K728" i="1"/>
  <c r="P727" i="1"/>
  <c r="K727" i="1"/>
  <c r="AH726" i="1"/>
  <c r="P726" i="1"/>
  <c r="K726" i="1"/>
  <c r="K725" i="1"/>
  <c r="K724" i="1"/>
  <c r="K723" i="1"/>
  <c r="K722" i="1"/>
  <c r="K721" i="1"/>
  <c r="K720" i="1"/>
  <c r="K730" i="1" s="1"/>
  <c r="K718" i="1"/>
  <c r="K717" i="1"/>
  <c r="AH714" i="1"/>
  <c r="P714" i="1"/>
  <c r="K714" i="1"/>
  <c r="K713" i="1"/>
  <c r="K712" i="1"/>
  <c r="K711" i="1"/>
  <c r="AF710" i="1"/>
  <c r="AH710" i="1" s="1"/>
  <c r="P710" i="1"/>
  <c r="K710" i="1"/>
  <c r="K709" i="1"/>
  <c r="AH708" i="1"/>
  <c r="AH707" i="1"/>
  <c r="AH706" i="1"/>
  <c r="AH705" i="1"/>
  <c r="P705" i="1"/>
  <c r="K705" i="1"/>
  <c r="K719" i="1" s="1"/>
  <c r="K703" i="1"/>
  <c r="AH701" i="1"/>
  <c r="AH700" i="1"/>
  <c r="P700" i="1"/>
  <c r="K700" i="1"/>
  <c r="K699" i="1"/>
  <c r="K698" i="1"/>
  <c r="AH693" i="1"/>
  <c r="P693" i="1"/>
  <c r="K693" i="1"/>
  <c r="AH692" i="1"/>
  <c r="P692" i="1"/>
  <c r="K692" i="1"/>
  <c r="K691" i="1"/>
  <c r="K690" i="1"/>
  <c r="AH689" i="1"/>
  <c r="AH687" i="1"/>
  <c r="AH686" i="1"/>
  <c r="AH683" i="1"/>
  <c r="P683" i="1"/>
  <c r="O683" i="1"/>
  <c r="K683" i="1"/>
  <c r="AH682" i="1"/>
  <c r="AF682" i="1"/>
  <c r="P682" i="1"/>
  <c r="K681" i="1"/>
  <c r="AH680" i="1"/>
  <c r="P680" i="1"/>
  <c r="K680" i="1"/>
  <c r="K679" i="1"/>
  <c r="K678" i="1"/>
  <c r="K677" i="1"/>
  <c r="K676" i="1"/>
  <c r="K675" i="1"/>
  <c r="K704" i="1" s="1"/>
  <c r="K673" i="1"/>
  <c r="AH672" i="1"/>
  <c r="AH671" i="1"/>
  <c r="P671" i="1"/>
  <c r="K671" i="1"/>
  <c r="AF670" i="1"/>
  <c r="AH670" i="1" s="1"/>
  <c r="P670" i="1"/>
  <c r="AH669" i="1"/>
  <c r="AH668" i="1"/>
  <c r="AH667" i="1"/>
  <c r="AH666" i="1"/>
  <c r="AH665" i="1"/>
  <c r="AH664" i="1"/>
  <c r="AH663" i="1"/>
  <c r="AH662" i="1"/>
  <c r="AH661" i="1"/>
  <c r="AF660" i="1"/>
  <c r="AH660" i="1" s="1"/>
  <c r="AH659" i="1" s="1"/>
  <c r="V660" i="1"/>
  <c r="U660" i="1"/>
  <c r="P660" i="1"/>
  <c r="K660" i="1"/>
  <c r="AH650" i="1"/>
  <c r="P650" i="1"/>
  <c r="K650" i="1"/>
  <c r="K649" i="1"/>
  <c r="K648" i="1"/>
  <c r="K647" i="1"/>
  <c r="K646" i="1"/>
  <c r="K645" i="1"/>
  <c r="K644" i="1"/>
  <c r="K643" i="1"/>
  <c r="K642" i="1"/>
  <c r="K641" i="1"/>
  <c r="K674" i="1" s="1"/>
  <c r="K640" i="1"/>
  <c r="K639" i="1"/>
  <c r="K638" i="1"/>
  <c r="AH637" i="1"/>
  <c r="P637" i="1"/>
  <c r="K637" i="1"/>
  <c r="AH636" i="1"/>
  <c r="AH634" i="1"/>
  <c r="AH632" i="1"/>
  <c r="P632" i="1"/>
  <c r="K632" i="1"/>
  <c r="K629" i="1"/>
  <c r="AH626" i="1"/>
  <c r="P626" i="1"/>
  <c r="K626" i="1"/>
  <c r="K625" i="1"/>
  <c r="K624" i="1"/>
  <c r="K623" i="1"/>
  <c r="K621" i="1"/>
  <c r="K622" i="1" s="1"/>
  <c r="AH620" i="1"/>
  <c r="AF619" i="1"/>
  <c r="AH619" i="1" s="1"/>
  <c r="U619" i="1"/>
  <c r="AH618" i="1"/>
  <c r="AH617" i="1"/>
  <c r="AH616" i="1"/>
  <c r="AH615" i="1"/>
  <c r="P615" i="1"/>
  <c r="K615" i="1"/>
  <c r="AF614" i="1"/>
  <c r="AH614" i="1" s="1"/>
  <c r="U614" i="1"/>
  <c r="K611" i="1"/>
  <c r="AH610" i="1"/>
  <c r="P610" i="1"/>
  <c r="K610" i="1"/>
  <c r="K608" i="1"/>
  <c r="AH607" i="1"/>
  <c r="P607" i="1"/>
  <c r="K607" i="1"/>
  <c r="K606" i="1"/>
  <c r="AH605" i="1"/>
  <c r="P605" i="1"/>
  <c r="K605" i="1"/>
  <c r="AH604" i="1"/>
  <c r="P604" i="1"/>
  <c r="K604" i="1"/>
  <c r="K603" i="1"/>
  <c r="K602" i="1"/>
  <c r="K601" i="1"/>
  <c r="K600" i="1"/>
  <c r="K599" i="1"/>
  <c r="K609" i="1" s="1"/>
  <c r="K597" i="1"/>
  <c r="K596" i="1"/>
  <c r="P595" i="1"/>
  <c r="K595" i="1"/>
  <c r="K594" i="1"/>
  <c r="K593" i="1"/>
  <c r="AH592" i="1"/>
  <c r="P592" i="1"/>
  <c r="K592" i="1"/>
  <c r="K591" i="1"/>
  <c r="K590" i="1"/>
  <c r="K589" i="1"/>
  <c r="K588" i="1"/>
  <c r="K587" i="1"/>
  <c r="K586" i="1"/>
  <c r="AH585" i="1"/>
  <c r="P585" i="1"/>
  <c r="K585" i="1"/>
  <c r="P584" i="1"/>
  <c r="K584" i="1"/>
  <c r="AH583" i="1"/>
  <c r="P583" i="1"/>
  <c r="K583" i="1"/>
  <c r="K582" i="1"/>
  <c r="K598" i="1" s="1"/>
  <c r="AH581" i="1"/>
  <c r="P581" i="1"/>
  <c r="K581" i="1"/>
  <c r="AH579" i="1"/>
  <c r="P579" i="1"/>
  <c r="K579" i="1"/>
  <c r="AH578" i="1"/>
  <c r="P578" i="1"/>
  <c r="K578" i="1"/>
  <c r="P577" i="1"/>
  <c r="K577" i="1"/>
  <c r="AH576" i="1"/>
  <c r="P576" i="1"/>
  <c r="K576" i="1"/>
  <c r="AG575" i="1"/>
  <c r="AH575" i="1" s="1"/>
  <c r="AF575" i="1"/>
  <c r="U575" i="1"/>
  <c r="P575" i="1"/>
  <c r="K575" i="1"/>
  <c r="K574" i="1"/>
  <c r="K573" i="1"/>
  <c r="K572" i="1"/>
  <c r="K571" i="1"/>
  <c r="K570" i="1"/>
  <c r="K569" i="1"/>
  <c r="K568" i="1"/>
  <c r="K567" i="1"/>
  <c r="K566" i="1"/>
  <c r="K565" i="1"/>
  <c r="K564" i="1"/>
  <c r="AH563" i="1"/>
  <c r="P563" i="1"/>
  <c r="K563" i="1"/>
  <c r="K562" i="1"/>
  <c r="K561" i="1"/>
  <c r="AH560" i="1"/>
  <c r="P560" i="1"/>
  <c r="K560" i="1"/>
  <c r="K559" i="1"/>
  <c r="K558" i="1"/>
  <c r="P557" i="1"/>
  <c r="K557" i="1"/>
  <c r="AH556" i="1"/>
  <c r="P556" i="1"/>
  <c r="K556" i="1"/>
  <c r="AH555" i="1"/>
  <c r="P555" i="1"/>
  <c r="K555" i="1"/>
  <c r="AH554" i="1"/>
  <c r="P554" i="1"/>
  <c r="K554" i="1"/>
  <c r="K553" i="1"/>
  <c r="K552" i="1"/>
  <c r="K551" i="1"/>
  <c r="K550" i="1"/>
  <c r="K549" i="1"/>
  <c r="AH548" i="1"/>
  <c r="P548" i="1"/>
  <c r="AH547" i="1"/>
  <c r="P547" i="1"/>
  <c r="K547" i="1"/>
  <c r="AH546" i="1"/>
  <c r="P546" i="1"/>
  <c r="AH545" i="1"/>
  <c r="P545" i="1"/>
  <c r="K545" i="1"/>
  <c r="AH544" i="1"/>
  <c r="P544" i="1"/>
  <c r="K544" i="1"/>
  <c r="P543" i="1"/>
  <c r="K543" i="1"/>
  <c r="AH542" i="1"/>
  <c r="P542" i="1"/>
  <c r="K542" i="1"/>
  <c r="K580" i="1" s="1"/>
  <c r="AH541" i="1"/>
  <c r="P541" i="1"/>
  <c r="K541" i="1"/>
  <c r="AH539" i="1"/>
  <c r="P539" i="1"/>
  <c r="K539" i="1"/>
  <c r="P538" i="1"/>
  <c r="K538" i="1"/>
  <c r="P537" i="1"/>
  <c r="K537" i="1"/>
  <c r="P536" i="1"/>
  <c r="K536" i="1"/>
  <c r="P535" i="1"/>
  <c r="K535" i="1"/>
  <c r="AH534" i="1"/>
  <c r="P534" i="1"/>
  <c r="K534" i="1"/>
  <c r="AH533" i="1"/>
  <c r="P533" i="1"/>
  <c r="K533" i="1"/>
  <c r="AG532" i="1"/>
  <c r="AH532" i="1" s="1"/>
  <c r="AH530" i="1"/>
  <c r="P530" i="1"/>
  <c r="AH527" i="1"/>
  <c r="P527" i="1"/>
  <c r="K527" i="1"/>
  <c r="K540" i="1" s="1"/>
  <c r="K525" i="1"/>
  <c r="K524" i="1"/>
  <c r="K523" i="1"/>
  <c r="AH520" i="1"/>
  <c r="P520" i="1"/>
  <c r="K520" i="1"/>
  <c r="P519" i="1"/>
  <c r="K519" i="1"/>
  <c r="K526" i="1" s="1"/>
  <c r="P518" i="1"/>
  <c r="K518" i="1"/>
  <c r="AH517" i="1"/>
  <c r="P517" i="1"/>
  <c r="K517" i="1"/>
  <c r="AH515" i="1"/>
  <c r="P515" i="1"/>
  <c r="K515" i="1"/>
  <c r="AH514" i="1"/>
  <c r="P514" i="1"/>
  <c r="K514" i="1"/>
  <c r="AH513" i="1"/>
  <c r="P513" i="1"/>
  <c r="K513" i="1"/>
  <c r="K512" i="1"/>
  <c r="AH511" i="1"/>
  <c r="P511" i="1"/>
  <c r="K511" i="1"/>
  <c r="P510" i="1"/>
  <c r="K510" i="1"/>
  <c r="AH509" i="1"/>
  <c r="P509" i="1"/>
  <c r="P508" i="1"/>
  <c r="K508" i="1"/>
  <c r="P507" i="1"/>
  <c r="K507" i="1"/>
  <c r="K506" i="1"/>
  <c r="K505" i="1"/>
  <c r="K504" i="1"/>
  <c r="K503" i="1"/>
  <c r="AH502" i="1"/>
  <c r="P502" i="1"/>
  <c r="K502" i="1"/>
  <c r="K516" i="1" s="1"/>
  <c r="K501" i="1"/>
  <c r="AH497" i="1"/>
  <c r="AF497" i="1"/>
  <c r="P497" i="1"/>
  <c r="K497" i="1"/>
  <c r="K495" i="1"/>
  <c r="P494" i="1"/>
  <c r="K494" i="1"/>
  <c r="AH493" i="1"/>
  <c r="P493" i="1"/>
  <c r="K493" i="1"/>
  <c r="P492" i="1"/>
  <c r="K492" i="1"/>
  <c r="P491" i="1"/>
  <c r="K491" i="1"/>
  <c r="P490" i="1"/>
  <c r="K490" i="1"/>
  <c r="AH489" i="1"/>
  <c r="P489" i="1"/>
  <c r="K489" i="1"/>
  <c r="K488" i="1"/>
  <c r="P486" i="1"/>
  <c r="K486" i="1"/>
  <c r="P485" i="1"/>
  <c r="K485" i="1"/>
  <c r="AH484" i="1"/>
  <c r="P484" i="1"/>
  <c r="K484" i="1"/>
  <c r="K483" i="1"/>
  <c r="K487" i="1" s="1"/>
  <c r="K482" i="1"/>
  <c r="K481" i="1"/>
  <c r="K480" i="1"/>
  <c r="K478" i="1"/>
  <c r="K477" i="1"/>
  <c r="K476" i="1"/>
  <c r="K475" i="1"/>
  <c r="P474" i="1"/>
  <c r="K474" i="1"/>
  <c r="P473" i="1"/>
  <c r="K473" i="1"/>
  <c r="K479" i="1" s="1"/>
  <c r="AH472" i="1"/>
  <c r="P472" i="1"/>
  <c r="K472" i="1"/>
  <c r="K469" i="1"/>
  <c r="K468" i="1"/>
  <c r="K467" i="1"/>
  <c r="K466" i="1"/>
  <c r="K465" i="1"/>
  <c r="K464" i="1"/>
  <c r="K463" i="1"/>
  <c r="K462" i="1"/>
  <c r="K470" i="1" s="1"/>
  <c r="K461" i="1"/>
  <c r="K460" i="1"/>
  <c r="AF458" i="1"/>
  <c r="AH458" i="1" s="1"/>
  <c r="P458" i="1"/>
  <c r="AH457" i="1"/>
  <c r="P457" i="1"/>
  <c r="AH456" i="1"/>
  <c r="AH455" i="1"/>
  <c r="AH454" i="1"/>
  <c r="AH453" i="1"/>
  <c r="P453" i="1"/>
  <c r="AH452" i="1"/>
  <c r="P452" i="1"/>
  <c r="AH451" i="1"/>
  <c r="P451" i="1"/>
  <c r="P449" i="1"/>
  <c r="K449" i="1"/>
  <c r="P448" i="1"/>
  <c r="K448" i="1"/>
  <c r="AH447" i="1"/>
  <c r="P447" i="1"/>
  <c r="K447" i="1"/>
  <c r="K450" i="1" s="1"/>
  <c r="K446" i="1"/>
  <c r="AH444" i="1"/>
  <c r="P444" i="1"/>
  <c r="AH442" i="1"/>
  <c r="AH441" i="1"/>
  <c r="P441" i="1"/>
  <c r="K441" i="1"/>
  <c r="AH440" i="1"/>
  <c r="AH439" i="1"/>
  <c r="P439" i="1"/>
  <c r="K439" i="1"/>
  <c r="K443" i="1" s="1"/>
  <c r="P437" i="1"/>
  <c r="K437" i="1"/>
  <c r="AH436" i="1"/>
  <c r="P436" i="1"/>
  <c r="K436" i="1"/>
  <c r="K438" i="1" s="1"/>
  <c r="K434" i="1"/>
  <c r="K433" i="1"/>
  <c r="AH432" i="1"/>
  <c r="P432" i="1"/>
  <c r="K432" i="1"/>
  <c r="AH431" i="1"/>
  <c r="P431" i="1"/>
  <c r="K431" i="1"/>
  <c r="AH430" i="1"/>
  <c r="P430" i="1"/>
  <c r="K430" i="1"/>
  <c r="AH429" i="1"/>
  <c r="AH428" i="1"/>
  <c r="P428" i="1"/>
  <c r="K428" i="1"/>
  <c r="AF427" i="1"/>
  <c r="AH427" i="1" s="1"/>
  <c r="AF426" i="1"/>
  <c r="AH426" i="1" s="1"/>
  <c r="P426" i="1"/>
  <c r="K426" i="1"/>
  <c r="K435" i="1" s="1"/>
  <c r="K424" i="1"/>
  <c r="AH423" i="1"/>
  <c r="P423" i="1"/>
  <c r="K422" i="1"/>
  <c r="AH421" i="1"/>
  <c r="P421" i="1"/>
  <c r="AH419" i="1"/>
  <c r="AH418" i="1"/>
  <c r="AH417" i="1"/>
  <c r="P417" i="1"/>
  <c r="K417" i="1"/>
  <c r="AH411" i="1"/>
  <c r="P411" i="1"/>
  <c r="AH410" i="1"/>
  <c r="AH409" i="1"/>
  <c r="AH408" i="1"/>
  <c r="AH407" i="1"/>
  <c r="P407" i="1"/>
  <c r="K407" i="1"/>
  <c r="AH406" i="1"/>
  <c r="P406" i="1"/>
  <c r="K406" i="1"/>
  <c r="P405" i="1"/>
  <c r="K405" i="1"/>
  <c r="AH403" i="1"/>
  <c r="P403" i="1"/>
  <c r="K403" i="1"/>
  <c r="AH402" i="1"/>
  <c r="AH400" i="1"/>
  <c r="P400" i="1"/>
  <c r="K400" i="1"/>
  <c r="AH399" i="1"/>
  <c r="P399" i="1"/>
  <c r="K399" i="1"/>
  <c r="K420" i="1" s="1"/>
  <c r="K398" i="1"/>
  <c r="AH397" i="1"/>
  <c r="P397" i="1"/>
  <c r="K397" i="1"/>
  <c r="AH396" i="1"/>
  <c r="P396" i="1"/>
  <c r="K396" i="1"/>
  <c r="AH393" i="1"/>
  <c r="P393" i="1"/>
  <c r="K393" i="1"/>
  <c r="K391" i="1"/>
  <c r="AF390" i="1"/>
  <c r="AH390" i="1" s="1"/>
  <c r="P390" i="1"/>
  <c r="AH389" i="1"/>
  <c r="AH388" i="1"/>
  <c r="P388" i="1"/>
  <c r="K387" i="1"/>
  <c r="AH386" i="1"/>
  <c r="P386" i="1"/>
  <c r="AH385" i="1"/>
  <c r="AH384" i="1"/>
  <c r="AH383" i="1"/>
  <c r="AH382" i="1"/>
  <c r="AH381" i="1"/>
  <c r="AH380" i="1"/>
  <c r="P380" i="1"/>
  <c r="K379" i="1"/>
  <c r="AH378" i="1"/>
  <c r="AF378" i="1"/>
  <c r="V378" i="1"/>
  <c r="U378" i="1"/>
  <c r="P378" i="1"/>
  <c r="AH377" i="1"/>
  <c r="AF377" i="1"/>
  <c r="V377" i="1"/>
  <c r="V896" i="1" s="1"/>
  <c r="U377" i="1"/>
  <c r="U896" i="1" s="1"/>
  <c r="AH376" i="1"/>
  <c r="P376" i="1"/>
  <c r="P374" i="1"/>
  <c r="K374" i="1"/>
  <c r="AH373" i="1"/>
  <c r="P373" i="1"/>
  <c r="K373" i="1"/>
  <c r="AH372" i="1"/>
  <c r="P372" i="1"/>
  <c r="K372" i="1"/>
  <c r="K375" i="1" s="1"/>
  <c r="K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P304" i="1"/>
  <c r="K302" i="1"/>
  <c r="AH301" i="1"/>
  <c r="P301" i="1"/>
  <c r="K301" i="1"/>
  <c r="K300" i="1"/>
  <c r="K299" i="1"/>
  <c r="K298" i="1"/>
  <c r="K297" i="1"/>
  <c r="K303" i="1" s="1"/>
  <c r="K296" i="1"/>
  <c r="K294" i="1"/>
  <c r="K293" i="1"/>
  <c r="K292" i="1"/>
  <c r="AH291" i="1"/>
  <c r="AH290" i="1"/>
  <c r="P290" i="1"/>
  <c r="AH289" i="1"/>
  <c r="K289" i="1"/>
  <c r="K288" i="1"/>
  <c r="K287" i="1"/>
  <c r="K286" i="1"/>
  <c r="AH285" i="1"/>
  <c r="P285" i="1"/>
  <c r="AH284" i="1"/>
  <c r="P284" i="1"/>
  <c r="K283" i="1"/>
  <c r="K295" i="1" s="1"/>
  <c r="K281" i="1"/>
  <c r="AH280" i="1"/>
  <c r="P280" i="1"/>
  <c r="K280" i="1"/>
  <c r="AH279" i="1"/>
  <c r="AH278" i="1"/>
  <c r="P278" i="1"/>
  <c r="K277" i="1"/>
  <c r="K276" i="1"/>
  <c r="K282" i="1" s="1"/>
  <c r="AH275" i="1"/>
  <c r="AH274" i="1"/>
  <c r="P274" i="1"/>
  <c r="AH273" i="1"/>
  <c r="AF273" i="1"/>
  <c r="P273" i="1"/>
  <c r="AH272" i="1"/>
  <c r="P272" i="1"/>
  <c r="K272" i="1"/>
  <c r="AH271" i="1"/>
  <c r="AH270" i="1"/>
  <c r="AH269" i="1"/>
  <c r="AH268" i="1"/>
  <c r="AH267" i="1"/>
  <c r="AH266" i="1"/>
  <c r="AH265" i="1"/>
  <c r="AH264" i="1"/>
  <c r="AH263" i="1"/>
  <c r="AH262" i="1"/>
  <c r="AH261" i="1"/>
  <c r="AH260" i="1"/>
  <c r="AH259" i="1"/>
  <c r="AH258" i="1"/>
  <c r="AH257" i="1"/>
  <c r="AH256" i="1"/>
  <c r="AH255" i="1" s="1"/>
  <c r="AH254" i="1"/>
  <c r="P254" i="1"/>
  <c r="AF252" i="1"/>
  <c r="AH252" i="1" s="1"/>
  <c r="P252" i="1"/>
  <c r="K252" i="1"/>
  <c r="AH251" i="1"/>
  <c r="AH250" i="1"/>
  <c r="P250" i="1"/>
  <c r="K250" i="1"/>
  <c r="K249" i="1"/>
  <c r="K253" i="1" s="1"/>
  <c r="K247" i="1"/>
  <c r="AH246" i="1"/>
  <c r="AH245" i="1"/>
  <c r="AH244" i="1"/>
  <c r="AH243" i="1"/>
  <c r="AH242" i="1"/>
  <c r="P242" i="1"/>
  <c r="K240" i="1"/>
  <c r="P239" i="1"/>
  <c r="AH238" i="1"/>
  <c r="P238" i="1"/>
  <c r="K236" i="1"/>
  <c r="K237" i="1" s="1"/>
  <c r="AH234" i="1"/>
  <c r="AH230" i="1"/>
  <c r="AH227" i="1"/>
  <c r="P227" i="1"/>
  <c r="AH225" i="1"/>
  <c r="P225" i="1"/>
  <c r="AH223" i="1"/>
  <c r="P223" i="1"/>
  <c r="AH221" i="1"/>
  <c r="P221" i="1"/>
  <c r="AH220" i="1"/>
  <c r="P220" i="1"/>
  <c r="AH219" i="1"/>
  <c r="P218" i="1"/>
  <c r="AH217" i="1"/>
  <c r="P217" i="1"/>
  <c r="K214" i="1"/>
  <c r="P213" i="1"/>
  <c r="AH212" i="1"/>
  <c r="P212" i="1"/>
  <c r="P211" i="1"/>
  <c r="P210" i="1"/>
  <c r="AH209" i="1"/>
  <c r="P209" i="1"/>
  <c r="P208" i="1"/>
  <c r="AH207" i="1"/>
  <c r="P207" i="1"/>
  <c r="AH201" i="1"/>
  <c r="P201" i="1"/>
  <c r="AH198" i="1"/>
  <c r="P198" i="1"/>
  <c r="P197" i="1"/>
  <c r="AH196" i="1"/>
  <c r="P196" i="1"/>
  <c r="AH193" i="1"/>
  <c r="P193" i="1"/>
  <c r="AH190" i="1"/>
  <c r="P190" i="1"/>
  <c r="P189" i="1"/>
  <c r="P188" i="1"/>
  <c r="P187" i="1"/>
  <c r="P186" i="1"/>
  <c r="AH185" i="1"/>
  <c r="P185" i="1"/>
  <c r="AH184" i="1"/>
  <c r="AH183" i="1"/>
  <c r="P183" i="1"/>
  <c r="P182" i="1"/>
  <c r="P181" i="1"/>
  <c r="P180" i="1"/>
  <c r="AH179" i="1"/>
  <c r="P179" i="1"/>
  <c r="AH177" i="1"/>
  <c r="P177" i="1"/>
  <c r="AH175" i="1"/>
  <c r="P175" i="1"/>
  <c r="AH173" i="1"/>
  <c r="P173" i="1"/>
  <c r="AH172" i="1"/>
  <c r="P172" i="1"/>
  <c r="K167" i="1"/>
  <c r="K166" i="1"/>
  <c r="AH165" i="1"/>
  <c r="P165" i="1"/>
  <c r="K165" i="1"/>
  <c r="AH164" i="1"/>
  <c r="AH163" i="1"/>
  <c r="P163" i="1"/>
  <c r="K163" i="1"/>
  <c r="K162" i="1"/>
  <c r="K161" i="1"/>
  <c r="AH158" i="1"/>
  <c r="P158" i="1"/>
  <c r="K158" i="1"/>
  <c r="K157" i="1"/>
  <c r="P156" i="1"/>
  <c r="K156" i="1"/>
  <c r="AH155" i="1"/>
  <c r="P155" i="1"/>
  <c r="K155" i="1"/>
  <c r="AH154" i="1"/>
  <c r="P154" i="1"/>
  <c r="K154" i="1"/>
  <c r="P153" i="1"/>
  <c r="K153" i="1"/>
  <c r="AH152" i="1"/>
  <c r="P152" i="1"/>
  <c r="K152" i="1"/>
  <c r="K151" i="1"/>
  <c r="K150" i="1"/>
  <c r="P149" i="1"/>
  <c r="K149" i="1"/>
  <c r="AH148" i="1"/>
  <c r="P148" i="1"/>
  <c r="K148" i="1"/>
  <c r="AH145" i="1"/>
  <c r="P145" i="1"/>
  <c r="K145" i="1"/>
  <c r="P144" i="1"/>
  <c r="K144" i="1"/>
  <c r="K215" i="1" s="1"/>
  <c r="AH143" i="1"/>
  <c r="P143" i="1"/>
  <c r="K143" i="1"/>
  <c r="K141" i="1"/>
  <c r="AH140" i="1"/>
  <c r="P140" i="1"/>
  <c r="AH139" i="1"/>
  <c r="P139" i="1"/>
  <c r="K139" i="1"/>
  <c r="K138" i="1"/>
  <c r="AH137" i="1"/>
  <c r="P137" i="1"/>
  <c r="K137" i="1"/>
  <c r="K136" i="1"/>
  <c r="AH135" i="1"/>
  <c r="P135" i="1"/>
  <c r="K135" i="1"/>
  <c r="K134" i="1"/>
  <c r="AH133" i="1"/>
  <c r="AF133" i="1"/>
  <c r="P133" i="1"/>
  <c r="AH132" i="1"/>
  <c r="AH131" i="1"/>
  <c r="P131" i="1"/>
  <c r="AH130" i="1"/>
  <c r="P130" i="1"/>
  <c r="K130" i="1"/>
  <c r="AH129" i="1"/>
  <c r="P129" i="1"/>
  <c r="K129" i="1"/>
  <c r="K128" i="1"/>
  <c r="K127" i="1"/>
  <c r="K126" i="1"/>
  <c r="AH125" i="1"/>
  <c r="AH124" i="1"/>
  <c r="U124" i="1"/>
  <c r="P124" i="1"/>
  <c r="K124" i="1"/>
  <c r="K123" i="1"/>
  <c r="K142" i="1" s="1"/>
  <c r="AM121" i="1"/>
  <c r="K121" i="1"/>
  <c r="K120" i="1"/>
  <c r="K122" i="1" s="1"/>
  <c r="AH116" i="1"/>
  <c r="P116" i="1"/>
  <c r="K116" i="1"/>
  <c r="K115" i="1"/>
  <c r="K114" i="1"/>
  <c r="AF113" i="1"/>
  <c r="AH113" i="1" s="1"/>
  <c r="P113" i="1"/>
  <c r="K113" i="1"/>
  <c r="K112" i="1"/>
  <c r="K111" i="1"/>
  <c r="AH110" i="1"/>
  <c r="P110" i="1"/>
  <c r="K110" i="1"/>
  <c r="K117" i="1" s="1"/>
  <c r="K108" i="1"/>
  <c r="P107" i="1"/>
  <c r="K107" i="1"/>
  <c r="AH106" i="1"/>
  <c r="P106" i="1"/>
  <c r="K106" i="1"/>
  <c r="AF105" i="1"/>
  <c r="AH105" i="1" s="1"/>
  <c r="P105" i="1"/>
  <c r="AH104" i="1"/>
  <c r="AH103" i="1"/>
  <c r="AH102" i="1"/>
  <c r="AH101" i="1"/>
  <c r="AH100" i="1"/>
  <c r="AH99" i="1"/>
  <c r="AH98" i="1"/>
  <c r="P98" i="1"/>
  <c r="K98" i="1"/>
  <c r="AH97" i="1"/>
  <c r="P97" i="1"/>
  <c r="AH96" i="1"/>
  <c r="P96" i="1"/>
  <c r="K96" i="1"/>
  <c r="K95" i="1"/>
  <c r="K109" i="1" s="1"/>
  <c r="K94" i="1"/>
  <c r="K93" i="1"/>
  <c r="AF92" i="1"/>
  <c r="AH92" i="1" s="1"/>
  <c r="P92" i="1"/>
  <c r="AF91" i="1"/>
  <c r="AH91" i="1" s="1"/>
  <c r="AH90" i="1"/>
  <c r="AF90" i="1"/>
  <c r="P90" i="1"/>
  <c r="AH89" i="1"/>
  <c r="AH88" i="1"/>
  <c r="AH87" i="1"/>
  <c r="AH86" i="1"/>
  <c r="AH85" i="1"/>
  <c r="AH84" i="1"/>
  <c r="P84" i="1"/>
  <c r="K84" i="1"/>
  <c r="K81" i="1"/>
  <c r="P80" i="1"/>
  <c r="K80" i="1"/>
  <c r="K79" i="1"/>
  <c r="AH77" i="1"/>
  <c r="P77" i="1"/>
  <c r="K77" i="1"/>
  <c r="K76" i="1"/>
  <c r="AH75" i="1"/>
  <c r="P75" i="1"/>
  <c r="K75" i="1"/>
  <c r="K74" i="1"/>
  <c r="K73" i="1"/>
  <c r="K82" i="1" s="1"/>
  <c r="K71" i="1"/>
  <c r="AH70" i="1"/>
  <c r="P70" i="1"/>
  <c r="K70" i="1"/>
  <c r="AG69" i="1"/>
  <c r="AG896" i="1" s="1"/>
  <c r="AF69" i="1"/>
  <c r="V69" i="1"/>
  <c r="U69" i="1"/>
  <c r="P69" i="1"/>
  <c r="K69" i="1"/>
  <c r="K72" i="1" s="1"/>
  <c r="K66" i="1"/>
  <c r="AH64" i="1"/>
  <c r="P64" i="1"/>
  <c r="K64" i="1"/>
  <c r="K63" i="1"/>
  <c r="K62" i="1"/>
  <c r="K61" i="1"/>
  <c r="AH60" i="1"/>
  <c r="P60" i="1"/>
  <c r="K60" i="1"/>
  <c r="K59" i="1"/>
  <c r="K67" i="1" s="1"/>
  <c r="K58" i="1"/>
  <c r="AH57" i="1"/>
  <c r="P57" i="1"/>
  <c r="AH55" i="1"/>
  <c r="P55" i="1"/>
  <c r="AH54" i="1"/>
  <c r="P54" i="1"/>
  <c r="AH53" i="1"/>
  <c r="P53" i="1"/>
  <c r="P52" i="1"/>
  <c r="P51" i="1"/>
  <c r="P50" i="1"/>
  <c r="P49" i="1"/>
  <c r="AH48" i="1"/>
  <c r="P48" i="1"/>
  <c r="K45" i="1"/>
  <c r="AH42" i="1"/>
  <c r="P42" i="1"/>
  <c r="AH41" i="1"/>
  <c r="P41" i="1"/>
  <c r="AF40" i="1"/>
  <c r="AH40" i="1" s="1"/>
  <c r="AH35" i="1" s="1"/>
  <c r="P40" i="1"/>
  <c r="AH39" i="1"/>
  <c r="AH38" i="1"/>
  <c r="AH37" i="1"/>
  <c r="AH36" i="1"/>
  <c r="P35" i="1"/>
  <c r="AH33" i="1"/>
  <c r="P33" i="1"/>
  <c r="K32" i="1"/>
  <c r="AH31" i="1"/>
  <c r="P31" i="1"/>
  <c r="AH30" i="1"/>
  <c r="P30" i="1"/>
  <c r="P29" i="1"/>
  <c r="AH26" i="1"/>
  <c r="P26" i="1"/>
  <c r="P25" i="1" s="1"/>
  <c r="AH25" i="1"/>
  <c r="AH23" i="1"/>
  <c r="P23" i="1"/>
  <c r="AH19" i="1"/>
  <c r="P19" i="1"/>
  <c r="P16" i="1"/>
  <c r="AH15" i="1"/>
  <c r="P15" i="1"/>
  <c r="AH12" i="1"/>
  <c r="P12" i="1"/>
  <c r="AH7" i="1"/>
  <c r="AH69" i="1" l="1"/>
  <c r="AF896" i="1"/>
</calcChain>
</file>

<file path=xl/comments1.xml><?xml version="1.0" encoding="utf-8"?>
<comments xmlns="http://schemas.openxmlformats.org/spreadsheetml/2006/main">
  <authors>
    <author>rc</author>
    <author>PLANEA16</author>
    <author>Martha</author>
    <author>MONSALVE</author>
    <author>Usuario</author>
    <author>ASUS</author>
    <author>Administrador</author>
    <author>GOBIER00</author>
  </authors>
  <commentList>
    <comment ref="J8" authorId="0">
      <text>
        <r>
          <rPr>
            <b/>
            <sz val="9"/>
            <color indexed="81"/>
            <rFont val="Tahoma"/>
            <family val="2"/>
          </rPr>
          <t>rc:</t>
        </r>
        <r>
          <rPr>
            <sz val="9"/>
            <color indexed="81"/>
            <rFont val="Tahoma"/>
            <family val="2"/>
          </rPr>
          <t xml:space="preserve">
NO se ha programado año a año a pesar de contar con recursos según la matriz plurianual.</t>
        </r>
      </text>
    </comment>
    <comment ref="J10" authorId="0">
      <text>
        <r>
          <rPr>
            <b/>
            <sz val="9"/>
            <color indexed="81"/>
            <rFont val="Tahoma"/>
            <family val="2"/>
          </rPr>
          <t>rc:</t>
        </r>
        <r>
          <rPr>
            <sz val="9"/>
            <color indexed="81"/>
            <rFont val="Tahoma"/>
            <family val="2"/>
          </rPr>
          <t xml:space="preserve">
Se debe preguntar si esta acumulada o porque esas cifras en el momento de la programacion en cada año del cuatrienio.</t>
        </r>
      </text>
    </comment>
    <comment ref="J11" authorId="0">
      <text>
        <r>
          <rPr>
            <b/>
            <sz val="9"/>
            <color indexed="81"/>
            <rFont val="Tahoma"/>
            <family val="2"/>
          </rPr>
          <t>rc:</t>
        </r>
        <r>
          <rPr>
            <sz val="9"/>
            <color indexed="81"/>
            <rFont val="Tahoma"/>
            <family val="2"/>
          </rPr>
          <t xml:space="preserve">
NO se ha programado año a año a pesar de contar con recursos según la matriz plurianual.</t>
        </r>
      </text>
    </comment>
    <comment ref="J12" authorId="0">
      <text>
        <r>
          <rPr>
            <b/>
            <sz val="9"/>
            <color indexed="81"/>
            <rFont val="Tahoma"/>
            <family val="2"/>
          </rPr>
          <t>rc:</t>
        </r>
        <r>
          <rPr>
            <sz val="9"/>
            <color indexed="81"/>
            <rFont val="Tahoma"/>
            <family val="2"/>
          </rPr>
          <t xml:space="preserve">
está programado 1 para el 2012 y 1 para el 2013. Definir esta situación.</t>
        </r>
      </text>
    </comment>
    <comment ref="J22" authorId="0">
      <text>
        <r>
          <rPr>
            <b/>
            <sz val="9"/>
            <color indexed="81"/>
            <rFont val="Tahoma"/>
            <family val="2"/>
          </rPr>
          <t>rc:</t>
        </r>
        <r>
          <rPr>
            <sz val="9"/>
            <color indexed="81"/>
            <rFont val="Tahoma"/>
            <family val="2"/>
          </rPr>
          <t xml:space="preserve">
está programado 1 para el 2012 y 1 para el 2014. Definir esta situación.</t>
        </r>
      </text>
    </comment>
    <comment ref="J23" authorId="0">
      <text>
        <r>
          <rPr>
            <b/>
            <sz val="9"/>
            <color indexed="81"/>
            <rFont val="Tahoma"/>
            <family val="2"/>
          </rPr>
          <t>rc:</t>
        </r>
        <r>
          <rPr>
            <sz val="9"/>
            <color indexed="81"/>
            <rFont val="Tahoma"/>
            <family val="2"/>
          </rPr>
          <t xml:space="preserve">
NO se ha programado año a año a pesar de contar con recursos según la matriz plurianual.</t>
        </r>
      </text>
    </comment>
    <comment ref="J31" authorId="0">
      <text>
        <r>
          <rPr>
            <b/>
            <sz val="9"/>
            <color indexed="81"/>
            <rFont val="Tahoma"/>
            <family val="2"/>
          </rPr>
          <t>rc:</t>
        </r>
        <r>
          <rPr>
            <sz val="9"/>
            <color indexed="81"/>
            <rFont val="Tahoma"/>
            <family val="2"/>
          </rPr>
          <t xml:space="preserve">
se tiene programado año a año de la siguiente manera:
2012: 0
2013: 6
2014: 6
2015: 12
Y la línea base es 0. Se debe preguntar porque esas cifras</t>
        </r>
      </text>
    </comment>
    <comment ref="J48" authorId="0">
      <text>
        <r>
          <rPr>
            <b/>
            <sz val="9"/>
            <color indexed="81"/>
            <rFont val="Tahoma"/>
            <family val="2"/>
          </rPr>
          <t>rc:</t>
        </r>
        <r>
          <rPr>
            <sz val="9"/>
            <color indexed="81"/>
            <rFont val="Tahoma"/>
            <family val="2"/>
          </rPr>
          <t xml:space="preserve">
Se ha programado 1 para el 2012; 1 para el 2013; 1 en 2014 y 1 para el 2015. Revisar</t>
        </r>
      </text>
    </comment>
    <comment ref="J49" authorId="0">
      <text>
        <r>
          <rPr>
            <b/>
            <sz val="9"/>
            <color indexed="81"/>
            <rFont val="Tahoma"/>
            <family val="2"/>
          </rPr>
          <t>rc:</t>
        </r>
        <r>
          <rPr>
            <sz val="9"/>
            <color indexed="81"/>
            <rFont val="Tahoma"/>
            <family val="2"/>
          </rPr>
          <t xml:space="preserve">
Se ha programado 1 para el 2012; 1 para el 2013. Revisar.</t>
        </r>
      </text>
    </comment>
    <comment ref="J50" authorId="0">
      <text>
        <r>
          <rPr>
            <b/>
            <sz val="9"/>
            <color indexed="81"/>
            <rFont val="Tahoma"/>
            <family val="2"/>
          </rPr>
          <t>rc:</t>
        </r>
        <r>
          <rPr>
            <sz val="9"/>
            <color indexed="81"/>
            <rFont val="Tahoma"/>
            <family val="2"/>
          </rPr>
          <t xml:space="preserve">
. Se ha programado 1 para el 2012; 1 para el 2013 y 1 en 2014. Revisar</t>
        </r>
      </text>
    </comment>
    <comment ref="J51" authorId="0">
      <text>
        <r>
          <rPr>
            <b/>
            <sz val="9"/>
            <color indexed="81"/>
            <rFont val="Tahoma"/>
            <family val="2"/>
          </rPr>
          <t>rc:</t>
        </r>
        <r>
          <rPr>
            <sz val="9"/>
            <color indexed="81"/>
            <rFont val="Tahoma"/>
            <family val="2"/>
          </rPr>
          <t xml:space="preserve">
Se ha programado 1 para el 2012; 1 para el 2013; 1 en 2014 y 1 para el 2015. Revisar</t>
        </r>
      </text>
    </comment>
    <comment ref="U54" authorId="1">
      <text>
        <r>
          <rPr>
            <b/>
            <sz val="9"/>
            <color indexed="81"/>
            <rFont val="Tahoma"/>
            <family val="2"/>
          </rPr>
          <t>PLANEA16:</t>
        </r>
        <r>
          <rPr>
            <sz val="9"/>
            <color indexed="81"/>
            <rFont val="Tahoma"/>
            <family val="2"/>
          </rPr>
          <t xml:space="preserve">
TIENE VF SEGÚN ORDENANZA 010DE 2014
</t>
        </r>
      </text>
    </comment>
    <comment ref="AF54" authorId="1">
      <text>
        <r>
          <rPr>
            <b/>
            <sz val="9"/>
            <color indexed="81"/>
            <rFont val="Tahoma"/>
            <family val="2"/>
          </rPr>
          <t>PLANEA16:</t>
        </r>
        <r>
          <rPr>
            <sz val="9"/>
            <color indexed="81"/>
            <rFont val="Tahoma"/>
            <family val="2"/>
          </rPr>
          <t xml:space="preserve">
TIENE VF SEGÚN ORDENANZA 010DE 2014
</t>
        </r>
      </text>
    </comment>
    <comment ref="J59" authorId="0">
      <text>
        <r>
          <rPr>
            <b/>
            <sz val="9"/>
            <color indexed="81"/>
            <rFont val="Tahoma"/>
            <family val="2"/>
          </rPr>
          <t>rc:</t>
        </r>
        <r>
          <rPr>
            <sz val="9"/>
            <color indexed="81"/>
            <rFont val="Tahoma"/>
            <family val="2"/>
          </rPr>
          <t xml:space="preserve">
Se ha programado  1 para el 2013; 2 en 2014 y 3 para el 2015. Revisar</t>
        </r>
      </text>
    </comment>
    <comment ref="J60" authorId="0">
      <text>
        <r>
          <rPr>
            <b/>
            <sz val="9"/>
            <color indexed="81"/>
            <rFont val="Tahoma"/>
            <family val="2"/>
          </rPr>
          <t>rc:</t>
        </r>
        <r>
          <rPr>
            <sz val="9"/>
            <color indexed="81"/>
            <rFont val="Tahoma"/>
            <family val="2"/>
          </rPr>
          <t xml:space="preserve">
Se ha programado  1 para el 2012; 2 en 2013; 3 en 2013 y 4 para el 2015. Revisar</t>
        </r>
      </text>
    </comment>
    <comment ref="J61" authorId="0">
      <text>
        <r>
          <rPr>
            <b/>
            <sz val="9"/>
            <color indexed="81"/>
            <rFont val="Tahoma"/>
            <family val="2"/>
          </rPr>
          <t>rc:</t>
        </r>
        <r>
          <rPr>
            <sz val="9"/>
            <color indexed="81"/>
            <rFont val="Tahoma"/>
            <family val="2"/>
          </rPr>
          <t xml:space="preserve">
Se ha programado  1 para el 2013; 1 en 2014; 2 para el 2015. Revisar</t>
        </r>
      </text>
    </comment>
    <comment ref="J64" authorId="0">
      <text>
        <r>
          <rPr>
            <b/>
            <sz val="9"/>
            <color indexed="81"/>
            <rFont val="Tahoma"/>
            <family val="2"/>
          </rPr>
          <t>rc:</t>
        </r>
        <r>
          <rPr>
            <sz val="9"/>
            <color indexed="81"/>
            <rFont val="Tahoma"/>
            <family val="2"/>
          </rPr>
          <t xml:space="preserve">
Se ha programado  20% para el 2012; 30% en 2013; 40% en 2014 y 50% para el 2015. Revisar</t>
        </r>
      </text>
    </comment>
    <comment ref="J66" authorId="0">
      <text>
        <r>
          <rPr>
            <b/>
            <sz val="9"/>
            <color indexed="81"/>
            <rFont val="Tahoma"/>
            <family val="2"/>
          </rPr>
          <t>rc:</t>
        </r>
        <r>
          <rPr>
            <sz val="9"/>
            <color indexed="81"/>
            <rFont val="Tahoma"/>
            <family val="2"/>
          </rPr>
          <t xml:space="preserve">
Se ha programado  1 para el 2012; 1 en 2013; 1 en 2014 y 1 para el 2015. Revisar</t>
        </r>
      </text>
    </comment>
    <comment ref="J71" authorId="0">
      <text>
        <r>
          <rPr>
            <b/>
            <sz val="9"/>
            <color indexed="81"/>
            <rFont val="Tahoma"/>
            <family val="2"/>
          </rPr>
          <t>rc:</t>
        </r>
        <r>
          <rPr>
            <sz val="9"/>
            <color indexed="81"/>
            <rFont val="Tahoma"/>
            <family val="2"/>
          </rPr>
          <t xml:space="preserve">
Se ha programado  1 en 2013; 1 en 2014 y 1 para el 2015. Revisar.</t>
        </r>
      </text>
    </comment>
    <comment ref="J73" authorId="0">
      <text>
        <r>
          <rPr>
            <b/>
            <sz val="9"/>
            <color indexed="81"/>
            <rFont val="Tahoma"/>
            <family val="2"/>
          </rPr>
          <t>rc:</t>
        </r>
        <r>
          <rPr>
            <sz val="9"/>
            <color indexed="81"/>
            <rFont val="Tahoma"/>
            <family val="2"/>
          </rPr>
          <t xml:space="preserve">
Se ha programado 2012 Políticas Publicas: 3, Planes Estratégicos: 4; en 2013 Políticas Publicas: 14, Planes Estratégicos: 8. Revisar.</t>
        </r>
      </text>
    </comment>
    <comment ref="J93" authorId="0">
      <text>
        <r>
          <rPr>
            <b/>
            <sz val="9"/>
            <color indexed="81"/>
            <rFont val="Tahoma"/>
            <family val="2"/>
          </rPr>
          <t>rc:</t>
        </r>
        <r>
          <rPr>
            <sz val="9"/>
            <color indexed="81"/>
            <rFont val="Tahoma"/>
            <family val="2"/>
          </rPr>
          <t xml:space="preserve">
.  Se ha programado  1 en 2012; 3 en 2013; 3 en 2014 y 3 para el 2015. Revisar.</t>
        </r>
      </text>
    </comment>
    <comment ref="J94" authorId="0">
      <text>
        <r>
          <rPr>
            <b/>
            <sz val="9"/>
            <color indexed="81"/>
            <rFont val="Tahoma"/>
            <family val="2"/>
          </rPr>
          <t>rc:</t>
        </r>
        <r>
          <rPr>
            <sz val="9"/>
            <color indexed="81"/>
            <rFont val="Tahoma"/>
            <family val="2"/>
          </rPr>
          <t xml:space="preserve">
. Se ha programado 2 en 2013; 3 en 2014 y 3 para el 2015. Revisar</t>
        </r>
      </text>
    </comment>
    <comment ref="G101" authorId="1">
      <text>
        <r>
          <rPr>
            <b/>
            <sz val="9"/>
            <color indexed="81"/>
            <rFont val="Tahoma"/>
            <family val="2"/>
          </rPr>
          <t>PLANEA16:</t>
        </r>
        <r>
          <rPr>
            <sz val="9"/>
            <color indexed="81"/>
            <rFont val="Tahoma"/>
            <family val="2"/>
          </rPr>
          <t xml:space="preserve">
TIENE VF SEGÚN ORDENANZA 006E DE 2014</t>
        </r>
      </text>
    </comment>
    <comment ref="J106" authorId="0">
      <text>
        <r>
          <rPr>
            <b/>
            <sz val="9"/>
            <color indexed="81"/>
            <rFont val="Tahoma"/>
            <family val="2"/>
          </rPr>
          <t>rc:</t>
        </r>
        <r>
          <rPr>
            <sz val="9"/>
            <color indexed="81"/>
            <rFont val="Tahoma"/>
            <family val="2"/>
          </rPr>
          <t xml:space="preserve">
Se ha programado  2 en 2012; 3 en 2013; 3 en 2014 y 3 para el 2015. Revisar.</t>
        </r>
      </text>
    </comment>
    <comment ref="J107" authorId="0">
      <text>
        <r>
          <rPr>
            <b/>
            <sz val="9"/>
            <color indexed="81"/>
            <rFont val="Tahoma"/>
            <family val="2"/>
          </rPr>
          <t>rc:</t>
        </r>
        <r>
          <rPr>
            <sz val="9"/>
            <color indexed="81"/>
            <rFont val="Tahoma"/>
            <family val="2"/>
          </rPr>
          <t xml:space="preserve">
Se ha programado 1 en 2013; 1 en 2014 y 1 para el 2015. Revisar</t>
        </r>
      </text>
    </comment>
    <comment ref="J108" authorId="0">
      <text>
        <r>
          <rPr>
            <b/>
            <sz val="9"/>
            <color indexed="81"/>
            <rFont val="Tahoma"/>
            <family val="2"/>
          </rPr>
          <t>rc:</t>
        </r>
        <r>
          <rPr>
            <sz val="9"/>
            <color indexed="81"/>
            <rFont val="Tahoma"/>
            <family val="2"/>
          </rPr>
          <t xml:space="preserve">
Se ha programado  2 en 2012; 3 en 2013; 3 en 2014 y 3 para el 2015. Revisar.</t>
        </r>
      </text>
    </comment>
    <comment ref="J111" authorId="0">
      <text>
        <r>
          <rPr>
            <b/>
            <sz val="9"/>
            <color indexed="81"/>
            <rFont val="Tahoma"/>
            <family val="2"/>
          </rPr>
          <t>rc:</t>
        </r>
        <r>
          <rPr>
            <sz val="9"/>
            <color indexed="81"/>
            <rFont val="Tahoma"/>
            <family val="2"/>
          </rPr>
          <t xml:space="preserve">
Se ha programado  1 en 2013; 1 en 2014 y 1 para el 2015. Revisar.</t>
        </r>
      </text>
    </comment>
    <comment ref="J112" authorId="0">
      <text>
        <r>
          <rPr>
            <b/>
            <sz val="9"/>
            <color indexed="81"/>
            <rFont val="Tahoma"/>
            <family val="2"/>
          </rPr>
          <t>rc:</t>
        </r>
        <r>
          <rPr>
            <sz val="9"/>
            <color indexed="81"/>
            <rFont val="Tahoma"/>
            <family val="2"/>
          </rPr>
          <t xml:space="preserve">
Se ha programado  1 en 2013; 2 en 2014 y 3 para el 2015. Revisar.</t>
        </r>
      </text>
    </comment>
    <comment ref="J114" authorId="0">
      <text>
        <r>
          <rPr>
            <b/>
            <sz val="9"/>
            <color indexed="81"/>
            <rFont val="Tahoma"/>
            <family val="2"/>
          </rPr>
          <t>rc:</t>
        </r>
        <r>
          <rPr>
            <sz val="9"/>
            <color indexed="81"/>
            <rFont val="Tahoma"/>
            <family val="2"/>
          </rPr>
          <t xml:space="preserve">
Se ha programado  5 en 2013; 20 en 2014 y 35 para el 2015. Revisar.</t>
        </r>
      </text>
    </comment>
    <comment ref="J115" authorId="0">
      <text>
        <r>
          <rPr>
            <b/>
            <sz val="9"/>
            <color indexed="81"/>
            <rFont val="Tahoma"/>
            <family val="2"/>
          </rPr>
          <t>rc:</t>
        </r>
        <r>
          <rPr>
            <sz val="9"/>
            <color indexed="81"/>
            <rFont val="Tahoma"/>
            <family val="2"/>
          </rPr>
          <t xml:space="preserve">
Se ha programado  50% en 2012; 100% en 2013; 100% en 2014 y 100% para el 2015. Revisar.</t>
        </r>
      </text>
    </comment>
    <comment ref="J116" authorId="0">
      <text>
        <r>
          <rPr>
            <b/>
            <sz val="9"/>
            <color indexed="81"/>
            <rFont val="Tahoma"/>
            <family val="2"/>
          </rPr>
          <t>rc:</t>
        </r>
        <r>
          <rPr>
            <sz val="9"/>
            <color indexed="81"/>
            <rFont val="Tahoma"/>
            <family val="2"/>
          </rPr>
          <t xml:space="preserve">
Se ha programado  0 en 2012; 0,5 en 2013; 1 en 2014 y 100% para el 2015. Revisar.</t>
        </r>
      </text>
    </comment>
    <comment ref="L136" authorId="2">
      <text>
        <r>
          <rPr>
            <b/>
            <sz val="9"/>
            <color indexed="81"/>
            <rFont val="Tahoma"/>
            <family val="2"/>
          </rPr>
          <t>Martha:</t>
        </r>
        <r>
          <rPr>
            <sz val="9"/>
            <color indexed="81"/>
            <rFont val="Tahoma"/>
            <family val="2"/>
          </rPr>
          <t xml:space="preserve">
3 escuelas apoyadas o fortalecidas de 6 existentes
</t>
        </r>
      </text>
    </comment>
    <comment ref="L138" authorId="2">
      <text>
        <r>
          <rPr>
            <b/>
            <sz val="9"/>
            <color indexed="81"/>
            <rFont val="Tahoma"/>
            <family val="2"/>
          </rPr>
          <t>Martha:</t>
        </r>
        <r>
          <rPr>
            <sz val="9"/>
            <color indexed="81"/>
            <rFont val="Tahoma"/>
            <family val="2"/>
          </rPr>
          <t xml:space="preserve">
5 sedes educativas apoyadas de 9 sedes educativas existentes</t>
        </r>
      </text>
    </comment>
    <comment ref="L144" authorId="2">
      <text>
        <r>
          <rPr>
            <b/>
            <sz val="9"/>
            <color indexed="81"/>
            <rFont val="Tahoma"/>
            <family val="2"/>
          </rPr>
          <t>Martha:</t>
        </r>
        <r>
          <rPr>
            <sz val="9"/>
            <color indexed="81"/>
            <rFont val="Tahoma"/>
            <family val="2"/>
          </rPr>
          <t xml:space="preserve">
15/60</t>
        </r>
      </text>
    </comment>
    <comment ref="J227" authorId="3">
      <text>
        <r>
          <rPr>
            <sz val="10"/>
            <rFont val="Arial"/>
            <family val="2"/>
          </rPr>
          <t xml:space="preserve">ANILLOS
</t>
        </r>
      </text>
    </comment>
    <comment ref="U254" authorId="4">
      <text>
        <r>
          <rPr>
            <b/>
            <sz val="9"/>
            <color indexed="81"/>
            <rFont val="Tahoma"/>
            <family val="2"/>
          </rPr>
          <t>Usuario:</t>
        </r>
        <r>
          <rPr>
            <sz val="9"/>
            <color indexed="81"/>
            <rFont val="Tahoma"/>
            <family val="2"/>
          </rPr>
          <t xml:space="preserve">
se le acreditaron mas recursos.</t>
        </r>
      </text>
    </comment>
    <comment ref="V254" authorId="4">
      <text>
        <r>
          <rPr>
            <b/>
            <sz val="9"/>
            <color indexed="81"/>
            <rFont val="Tahoma"/>
            <family val="2"/>
          </rPr>
          <t>Usuario:</t>
        </r>
        <r>
          <rPr>
            <sz val="9"/>
            <color indexed="81"/>
            <rFont val="Tahoma"/>
            <family val="2"/>
          </rPr>
          <t xml:space="preserve">
se le acreditaron mas recursos.</t>
        </r>
      </text>
    </comment>
    <comment ref="AF254" authorId="4">
      <text>
        <r>
          <rPr>
            <b/>
            <sz val="9"/>
            <color indexed="81"/>
            <rFont val="Tahoma"/>
            <family val="2"/>
          </rPr>
          <t>Usuario:</t>
        </r>
        <r>
          <rPr>
            <sz val="9"/>
            <color indexed="81"/>
            <rFont val="Tahoma"/>
            <family val="2"/>
          </rPr>
          <t xml:space="preserve">
se le acreditaron mas recursos.</t>
        </r>
      </text>
    </comment>
    <comment ref="G265" authorId="1">
      <text>
        <r>
          <rPr>
            <b/>
            <sz val="9"/>
            <color indexed="81"/>
            <rFont val="Tahoma"/>
            <family val="2"/>
          </rPr>
          <t>PLANEA16:</t>
        </r>
        <r>
          <rPr>
            <sz val="9"/>
            <color indexed="81"/>
            <rFont val="Tahoma"/>
            <family val="2"/>
          </rPr>
          <t xml:space="preserve">
TIENE VF SEGÚN ORDENANZA 006E DE 2014</t>
        </r>
      </text>
    </comment>
    <comment ref="G266" authorId="1">
      <text>
        <r>
          <rPr>
            <b/>
            <sz val="9"/>
            <color indexed="81"/>
            <rFont val="Tahoma"/>
            <family val="2"/>
          </rPr>
          <t>PLANEA16:</t>
        </r>
        <r>
          <rPr>
            <sz val="9"/>
            <color indexed="81"/>
            <rFont val="Tahoma"/>
            <family val="2"/>
          </rPr>
          <t xml:space="preserve">
TIENE VF SEGÚN ORDENANZA 006E DE 2014</t>
        </r>
      </text>
    </comment>
    <comment ref="U291" authorId="1">
      <text>
        <r>
          <rPr>
            <b/>
            <sz val="9"/>
            <color indexed="81"/>
            <rFont val="Tahoma"/>
            <family val="2"/>
          </rPr>
          <t>PLANEA16:</t>
        </r>
        <r>
          <rPr>
            <sz val="9"/>
            <color indexed="81"/>
            <rFont val="Tahoma"/>
            <family val="2"/>
          </rPr>
          <t xml:space="preserve">
TIENE VF SEGÚN ORDENANZA 010 DE 2014.</t>
        </r>
      </text>
    </comment>
    <comment ref="V291" authorId="1">
      <text>
        <r>
          <rPr>
            <b/>
            <sz val="9"/>
            <color indexed="81"/>
            <rFont val="Tahoma"/>
            <family val="2"/>
          </rPr>
          <t>PLANEA16:</t>
        </r>
        <r>
          <rPr>
            <sz val="9"/>
            <color indexed="81"/>
            <rFont val="Tahoma"/>
            <family val="2"/>
          </rPr>
          <t xml:space="preserve">
TIENE VF SEGÚN ORDENANZA 010 DE 2014.</t>
        </r>
      </text>
    </comment>
    <comment ref="AF291" authorId="1">
      <text>
        <r>
          <rPr>
            <b/>
            <sz val="9"/>
            <color indexed="81"/>
            <rFont val="Tahoma"/>
            <family val="2"/>
          </rPr>
          <t>PLANEA16:</t>
        </r>
        <r>
          <rPr>
            <sz val="9"/>
            <color indexed="81"/>
            <rFont val="Tahoma"/>
            <family val="2"/>
          </rPr>
          <t xml:space="preserve">
TIENE VF SEGÚN ORDENANZA 010 DE 2014.</t>
        </r>
      </text>
    </comment>
    <comment ref="G304" authorId="5">
      <text>
        <r>
          <rPr>
            <sz val="9"/>
            <color indexed="81"/>
            <rFont val="Tahoma"/>
            <family val="2"/>
          </rPr>
          <t xml:space="preserve">NO ESTABA PROGRAMADO
</t>
        </r>
      </text>
    </comment>
    <comment ref="Q304" authorId="5">
      <text>
        <r>
          <rPr>
            <sz val="9"/>
            <color indexed="81"/>
            <rFont val="Tahoma"/>
            <family val="2"/>
          </rPr>
          <t xml:space="preserve">NO ESTABA PROGRAMADO
</t>
        </r>
      </text>
    </comment>
    <comment ref="G305" authorId="5">
      <text>
        <r>
          <rPr>
            <sz val="9"/>
            <color indexed="81"/>
            <rFont val="Tahoma"/>
            <family val="2"/>
          </rPr>
          <t xml:space="preserve">NO ESTABA PROGRAMADO
</t>
        </r>
      </text>
    </comment>
    <comment ref="Q305" authorId="5">
      <text>
        <r>
          <rPr>
            <sz val="9"/>
            <color indexed="81"/>
            <rFont val="Tahoma"/>
            <family val="2"/>
          </rPr>
          <t xml:space="preserve">NO ESTABA PROGRAMADO
</t>
        </r>
      </text>
    </comment>
    <comment ref="G306" authorId="5">
      <text>
        <r>
          <rPr>
            <sz val="9"/>
            <color indexed="81"/>
            <rFont val="Tahoma"/>
            <family val="2"/>
          </rPr>
          <t xml:space="preserve">NO ESTABA PROGRAMADO
</t>
        </r>
      </text>
    </comment>
    <comment ref="Q306" authorId="5">
      <text>
        <r>
          <rPr>
            <sz val="9"/>
            <color indexed="81"/>
            <rFont val="Tahoma"/>
            <family val="2"/>
          </rPr>
          <t xml:space="preserve">NO ESTABA PROGRAMADO
</t>
        </r>
      </text>
    </comment>
    <comment ref="G307" authorId="5">
      <text>
        <r>
          <rPr>
            <sz val="9"/>
            <color indexed="81"/>
            <rFont val="Tahoma"/>
            <family val="2"/>
          </rPr>
          <t xml:space="preserve">NO ESTABA PROGRAMADO
</t>
        </r>
      </text>
    </comment>
    <comment ref="Q307" authorId="5">
      <text>
        <r>
          <rPr>
            <sz val="9"/>
            <color indexed="81"/>
            <rFont val="Tahoma"/>
            <family val="2"/>
          </rPr>
          <t xml:space="preserve">NO ESTABA PROGRAMADO
</t>
        </r>
      </text>
    </comment>
    <comment ref="G308" authorId="5">
      <text>
        <r>
          <rPr>
            <sz val="9"/>
            <color indexed="81"/>
            <rFont val="Tahoma"/>
            <family val="2"/>
          </rPr>
          <t xml:space="preserve">NO ESTABA PROGRAMADO
</t>
        </r>
      </text>
    </comment>
    <comment ref="Q308" authorId="5">
      <text>
        <r>
          <rPr>
            <sz val="9"/>
            <color indexed="81"/>
            <rFont val="Tahoma"/>
            <family val="2"/>
          </rPr>
          <t xml:space="preserve">NO ESTABA PROGRAMADO
</t>
        </r>
      </text>
    </comment>
    <comment ref="Q309" authorId="5">
      <text>
        <r>
          <rPr>
            <sz val="9"/>
            <color indexed="81"/>
            <rFont val="Tahoma"/>
            <family val="2"/>
          </rPr>
          <t xml:space="preserve">NO ESTABA PROGRAMADO
</t>
        </r>
      </text>
    </comment>
    <comment ref="G310" authorId="5">
      <text>
        <r>
          <rPr>
            <sz val="9"/>
            <color indexed="81"/>
            <rFont val="Tahoma"/>
            <family val="2"/>
          </rPr>
          <t xml:space="preserve">NO ESTABA PROGRAMADO
</t>
        </r>
      </text>
    </comment>
    <comment ref="Q310" authorId="5">
      <text>
        <r>
          <rPr>
            <sz val="9"/>
            <color indexed="81"/>
            <rFont val="Tahoma"/>
            <family val="2"/>
          </rPr>
          <t xml:space="preserve">NO ESTABA PROGRAMADO
</t>
        </r>
      </text>
    </comment>
    <comment ref="G311" authorId="5">
      <text>
        <r>
          <rPr>
            <sz val="9"/>
            <color indexed="81"/>
            <rFont val="Tahoma"/>
            <family val="2"/>
          </rPr>
          <t xml:space="preserve">NO ESTABA PROGRAMADO
</t>
        </r>
      </text>
    </comment>
    <comment ref="Q311" authorId="5">
      <text>
        <r>
          <rPr>
            <sz val="9"/>
            <color indexed="81"/>
            <rFont val="Tahoma"/>
            <family val="2"/>
          </rPr>
          <t xml:space="preserve">NO ESTABA PROGRAMADO
</t>
        </r>
      </text>
    </comment>
    <comment ref="G312" authorId="5">
      <text>
        <r>
          <rPr>
            <sz val="9"/>
            <color indexed="81"/>
            <rFont val="Tahoma"/>
            <family val="2"/>
          </rPr>
          <t xml:space="preserve">NO ESTABA PROGRAMADO
</t>
        </r>
      </text>
    </comment>
    <comment ref="Q312" authorId="5">
      <text>
        <r>
          <rPr>
            <sz val="9"/>
            <color indexed="81"/>
            <rFont val="Tahoma"/>
            <family val="2"/>
          </rPr>
          <t xml:space="preserve">NO ESTABA PROGRAMADO
</t>
        </r>
      </text>
    </comment>
    <comment ref="G313" authorId="5">
      <text>
        <r>
          <rPr>
            <sz val="9"/>
            <color indexed="81"/>
            <rFont val="Tahoma"/>
            <family val="2"/>
          </rPr>
          <t xml:space="preserve">NO ESTABA PROGRAMADO
</t>
        </r>
      </text>
    </comment>
    <comment ref="Q313" authorId="5">
      <text>
        <r>
          <rPr>
            <sz val="9"/>
            <color indexed="81"/>
            <rFont val="Tahoma"/>
            <family val="2"/>
          </rPr>
          <t xml:space="preserve">NO ESTABA PROGRAMADO
</t>
        </r>
      </text>
    </comment>
    <comment ref="G314" authorId="5">
      <text>
        <r>
          <rPr>
            <sz val="9"/>
            <color indexed="81"/>
            <rFont val="Tahoma"/>
            <family val="2"/>
          </rPr>
          <t xml:space="preserve">NO ESTABA PROGRAMADO
</t>
        </r>
      </text>
    </comment>
    <comment ref="Q314" authorId="5">
      <text>
        <r>
          <rPr>
            <sz val="9"/>
            <color indexed="81"/>
            <rFont val="Tahoma"/>
            <family val="2"/>
          </rPr>
          <t xml:space="preserve">NO ESTABA PROGRAMADO
</t>
        </r>
      </text>
    </comment>
    <comment ref="G315" authorId="5">
      <text>
        <r>
          <rPr>
            <sz val="9"/>
            <color indexed="81"/>
            <rFont val="Tahoma"/>
            <family val="2"/>
          </rPr>
          <t xml:space="preserve">NO ESTABA PROGRAMADO
</t>
        </r>
      </text>
    </comment>
    <comment ref="Q315" authorId="5">
      <text>
        <r>
          <rPr>
            <sz val="9"/>
            <color indexed="81"/>
            <rFont val="Tahoma"/>
            <family val="2"/>
          </rPr>
          <t xml:space="preserve">NO ESTABA PROGRAMADO
</t>
        </r>
      </text>
    </comment>
    <comment ref="G316" authorId="5">
      <text>
        <r>
          <rPr>
            <sz val="9"/>
            <color indexed="81"/>
            <rFont val="Tahoma"/>
            <family val="2"/>
          </rPr>
          <t xml:space="preserve">NO ESTABA PROGRAMADO
</t>
        </r>
      </text>
    </comment>
    <comment ref="Q316" authorId="5">
      <text>
        <r>
          <rPr>
            <sz val="9"/>
            <color indexed="81"/>
            <rFont val="Tahoma"/>
            <family val="2"/>
          </rPr>
          <t xml:space="preserve">NO ESTABA PROGRAMADO
</t>
        </r>
      </text>
    </comment>
    <comment ref="G317" authorId="5">
      <text>
        <r>
          <rPr>
            <sz val="9"/>
            <color indexed="81"/>
            <rFont val="Tahoma"/>
            <family val="2"/>
          </rPr>
          <t xml:space="preserve">NO ESTABA PROGRAMADO
</t>
        </r>
      </text>
    </comment>
    <comment ref="Q317" authorId="5">
      <text>
        <r>
          <rPr>
            <sz val="9"/>
            <color indexed="81"/>
            <rFont val="Tahoma"/>
            <family val="2"/>
          </rPr>
          <t xml:space="preserve">NO ESTABA PROGRAMADO
</t>
        </r>
      </text>
    </comment>
    <comment ref="G318" authorId="5">
      <text>
        <r>
          <rPr>
            <sz val="9"/>
            <color indexed="81"/>
            <rFont val="Tahoma"/>
            <family val="2"/>
          </rPr>
          <t xml:space="preserve">NO ESTABA PROGRAMADO
</t>
        </r>
      </text>
    </comment>
    <comment ref="Q318" authorId="5">
      <text>
        <r>
          <rPr>
            <sz val="9"/>
            <color indexed="81"/>
            <rFont val="Tahoma"/>
            <family val="2"/>
          </rPr>
          <t xml:space="preserve">NO ESTABA PROGRAMADO
</t>
        </r>
      </text>
    </comment>
    <comment ref="G319" authorId="5">
      <text>
        <r>
          <rPr>
            <sz val="9"/>
            <color indexed="81"/>
            <rFont val="Tahoma"/>
            <family val="2"/>
          </rPr>
          <t xml:space="preserve">NO ESTABA PROGRAMADO
</t>
        </r>
      </text>
    </comment>
    <comment ref="Q319" authorId="5">
      <text>
        <r>
          <rPr>
            <sz val="9"/>
            <color indexed="81"/>
            <rFont val="Tahoma"/>
            <family val="2"/>
          </rPr>
          <t xml:space="preserve">NO ESTABA PROGRAMADO
</t>
        </r>
      </text>
    </comment>
    <comment ref="G320" authorId="5">
      <text>
        <r>
          <rPr>
            <sz val="9"/>
            <color indexed="81"/>
            <rFont val="Tahoma"/>
            <family val="2"/>
          </rPr>
          <t xml:space="preserve">NO ESTABA PROGRAMADO
</t>
        </r>
      </text>
    </comment>
    <comment ref="Q320" authorId="5">
      <text>
        <r>
          <rPr>
            <sz val="9"/>
            <color indexed="81"/>
            <rFont val="Tahoma"/>
            <family val="2"/>
          </rPr>
          <t xml:space="preserve">NO ESTABA PROGRAMADO
</t>
        </r>
      </text>
    </comment>
    <comment ref="G321" authorId="5">
      <text>
        <r>
          <rPr>
            <sz val="9"/>
            <color indexed="81"/>
            <rFont val="Tahoma"/>
            <family val="2"/>
          </rPr>
          <t xml:space="preserve">NO ESTABA PROGRAMADO
</t>
        </r>
      </text>
    </comment>
    <comment ref="Q321" authorId="5">
      <text>
        <r>
          <rPr>
            <sz val="9"/>
            <color indexed="81"/>
            <rFont val="Tahoma"/>
            <family val="2"/>
          </rPr>
          <t xml:space="preserve">NO ESTABA PROGRAMADO
</t>
        </r>
      </text>
    </comment>
    <comment ref="G322" authorId="5">
      <text>
        <r>
          <rPr>
            <sz val="9"/>
            <color indexed="81"/>
            <rFont val="Tahoma"/>
            <family val="2"/>
          </rPr>
          <t xml:space="preserve">NO ESTABA PROGRAMADO
</t>
        </r>
      </text>
    </comment>
    <comment ref="Q322" authorId="5">
      <text>
        <r>
          <rPr>
            <sz val="9"/>
            <color indexed="81"/>
            <rFont val="Tahoma"/>
            <family val="2"/>
          </rPr>
          <t xml:space="preserve">NO ESTABA PROGRAMADO
</t>
        </r>
      </text>
    </comment>
    <comment ref="G323" authorId="5">
      <text>
        <r>
          <rPr>
            <sz val="9"/>
            <color indexed="81"/>
            <rFont val="Tahoma"/>
            <family val="2"/>
          </rPr>
          <t xml:space="preserve">NO ESTABA PROGRAMADO
</t>
        </r>
      </text>
    </comment>
    <comment ref="Q323" authorId="5">
      <text>
        <r>
          <rPr>
            <sz val="9"/>
            <color indexed="81"/>
            <rFont val="Tahoma"/>
            <family val="2"/>
          </rPr>
          <t xml:space="preserve">NO ESTABA PROGRAMADO
</t>
        </r>
      </text>
    </comment>
    <comment ref="G324" authorId="5">
      <text>
        <r>
          <rPr>
            <sz val="9"/>
            <color indexed="81"/>
            <rFont val="Tahoma"/>
            <family val="2"/>
          </rPr>
          <t xml:space="preserve">NO ESTABA PROGRAMADO
</t>
        </r>
      </text>
    </comment>
    <comment ref="Q324" authorId="5">
      <text>
        <r>
          <rPr>
            <sz val="9"/>
            <color indexed="81"/>
            <rFont val="Tahoma"/>
            <family val="2"/>
          </rPr>
          <t xml:space="preserve">NO ESTABA PROGRAMADO
</t>
        </r>
      </text>
    </comment>
    <comment ref="G325" authorId="5">
      <text>
        <r>
          <rPr>
            <sz val="9"/>
            <color indexed="81"/>
            <rFont val="Tahoma"/>
            <family val="2"/>
          </rPr>
          <t xml:space="preserve">NO ESTABA PROGRAMADO
</t>
        </r>
      </text>
    </comment>
    <comment ref="Q325" authorId="5">
      <text>
        <r>
          <rPr>
            <sz val="9"/>
            <color indexed="81"/>
            <rFont val="Tahoma"/>
            <family val="2"/>
          </rPr>
          <t xml:space="preserve">NO ESTABA PROGRAMADO
</t>
        </r>
      </text>
    </comment>
    <comment ref="G326" authorId="5">
      <text>
        <r>
          <rPr>
            <sz val="9"/>
            <color indexed="81"/>
            <rFont val="Tahoma"/>
            <family val="2"/>
          </rPr>
          <t xml:space="preserve">NO ESTABA PROGRAMADO
</t>
        </r>
      </text>
    </comment>
    <comment ref="Q326" authorId="5">
      <text>
        <r>
          <rPr>
            <sz val="9"/>
            <color indexed="81"/>
            <rFont val="Tahoma"/>
            <family val="2"/>
          </rPr>
          <t xml:space="preserve">NO ESTABA PROGRAMADO
</t>
        </r>
      </text>
    </comment>
    <comment ref="G327" authorId="5">
      <text>
        <r>
          <rPr>
            <sz val="9"/>
            <color indexed="81"/>
            <rFont val="Tahoma"/>
            <family val="2"/>
          </rPr>
          <t xml:space="preserve">NO ESTABA PROGRAMADO
</t>
        </r>
      </text>
    </comment>
    <comment ref="Q327" authorId="5">
      <text>
        <r>
          <rPr>
            <sz val="9"/>
            <color indexed="81"/>
            <rFont val="Tahoma"/>
            <family val="2"/>
          </rPr>
          <t xml:space="preserve">NO ESTABA PROGRAMADO
</t>
        </r>
      </text>
    </comment>
    <comment ref="G328" authorId="5">
      <text>
        <r>
          <rPr>
            <sz val="9"/>
            <color indexed="81"/>
            <rFont val="Tahoma"/>
            <family val="2"/>
          </rPr>
          <t xml:space="preserve">NO ESTABA PROGRAMADO
</t>
        </r>
      </text>
    </comment>
    <comment ref="Q328" authorId="5">
      <text>
        <r>
          <rPr>
            <sz val="9"/>
            <color indexed="81"/>
            <rFont val="Tahoma"/>
            <family val="2"/>
          </rPr>
          <t xml:space="preserve">NO ESTABA PROGRAMADO
</t>
        </r>
      </text>
    </comment>
    <comment ref="G329" authorId="5">
      <text>
        <r>
          <rPr>
            <sz val="9"/>
            <color indexed="81"/>
            <rFont val="Tahoma"/>
            <family val="2"/>
          </rPr>
          <t xml:space="preserve">NO ESTABA PROGRAMADO
</t>
        </r>
      </text>
    </comment>
    <comment ref="Q329" authorId="5">
      <text>
        <r>
          <rPr>
            <sz val="9"/>
            <color indexed="81"/>
            <rFont val="Tahoma"/>
            <family val="2"/>
          </rPr>
          <t xml:space="preserve">NO ESTABA PROGRAMADO
</t>
        </r>
      </text>
    </comment>
    <comment ref="G330" authorId="5">
      <text>
        <r>
          <rPr>
            <sz val="9"/>
            <color indexed="81"/>
            <rFont val="Tahoma"/>
            <family val="2"/>
          </rPr>
          <t xml:space="preserve">NO ESTABA PROGRAMADO
</t>
        </r>
      </text>
    </comment>
    <comment ref="Q330" authorId="5">
      <text>
        <r>
          <rPr>
            <sz val="9"/>
            <color indexed="81"/>
            <rFont val="Tahoma"/>
            <family val="2"/>
          </rPr>
          <t xml:space="preserve">NO ESTABA PROGRAMADO
</t>
        </r>
      </text>
    </comment>
    <comment ref="G331" authorId="5">
      <text>
        <r>
          <rPr>
            <sz val="9"/>
            <color indexed="81"/>
            <rFont val="Tahoma"/>
            <family val="2"/>
          </rPr>
          <t xml:space="preserve">NO ESTABA PROGRAMADO
</t>
        </r>
      </text>
    </comment>
    <comment ref="Q331" authorId="5">
      <text>
        <r>
          <rPr>
            <sz val="9"/>
            <color indexed="81"/>
            <rFont val="Tahoma"/>
            <family val="2"/>
          </rPr>
          <t xml:space="preserve">NO ESTABA PROGRAMADO
</t>
        </r>
      </text>
    </comment>
    <comment ref="G332" authorId="5">
      <text>
        <r>
          <rPr>
            <sz val="9"/>
            <color indexed="81"/>
            <rFont val="Tahoma"/>
            <family val="2"/>
          </rPr>
          <t xml:space="preserve">NO ESTABA PROGRAMADO
</t>
        </r>
      </text>
    </comment>
    <comment ref="Q332" authorId="5">
      <text>
        <r>
          <rPr>
            <sz val="9"/>
            <color indexed="81"/>
            <rFont val="Tahoma"/>
            <family val="2"/>
          </rPr>
          <t xml:space="preserve">NO ESTABA PROGRAMADO
</t>
        </r>
      </text>
    </comment>
    <comment ref="G333" authorId="5">
      <text>
        <r>
          <rPr>
            <sz val="9"/>
            <color indexed="81"/>
            <rFont val="Tahoma"/>
            <family val="2"/>
          </rPr>
          <t xml:space="preserve">NO ESTABA PROGRAMADO
</t>
        </r>
      </text>
    </comment>
    <comment ref="Q333" authorId="5">
      <text>
        <r>
          <rPr>
            <sz val="9"/>
            <color indexed="81"/>
            <rFont val="Tahoma"/>
            <family val="2"/>
          </rPr>
          <t xml:space="preserve">NO ESTABA PROGRAMADO
</t>
        </r>
      </text>
    </comment>
    <comment ref="G334" authorId="5">
      <text>
        <r>
          <rPr>
            <sz val="9"/>
            <color indexed="81"/>
            <rFont val="Tahoma"/>
            <family val="2"/>
          </rPr>
          <t xml:space="preserve">NO ESTABA PROGRAMADO
</t>
        </r>
      </text>
    </comment>
    <comment ref="Q334" authorId="5">
      <text>
        <r>
          <rPr>
            <sz val="9"/>
            <color indexed="81"/>
            <rFont val="Tahoma"/>
            <family val="2"/>
          </rPr>
          <t xml:space="preserve">NO ESTABA PROGRAMADO
</t>
        </r>
      </text>
    </comment>
    <comment ref="G335" authorId="5">
      <text>
        <r>
          <rPr>
            <sz val="9"/>
            <color indexed="81"/>
            <rFont val="Tahoma"/>
            <family val="2"/>
          </rPr>
          <t xml:space="preserve">NO ESTABA PROGRAMADO
</t>
        </r>
      </text>
    </comment>
    <comment ref="Q335" authorId="5">
      <text>
        <r>
          <rPr>
            <sz val="9"/>
            <color indexed="81"/>
            <rFont val="Tahoma"/>
            <family val="2"/>
          </rPr>
          <t xml:space="preserve">NO ESTABA PROGRAMADO
</t>
        </r>
      </text>
    </comment>
    <comment ref="G336" authorId="5">
      <text>
        <r>
          <rPr>
            <sz val="9"/>
            <color indexed="81"/>
            <rFont val="Tahoma"/>
            <family val="2"/>
          </rPr>
          <t xml:space="preserve">NO ESTABA PROGRAMADO
</t>
        </r>
      </text>
    </comment>
    <comment ref="Q336" authorId="5">
      <text>
        <r>
          <rPr>
            <sz val="9"/>
            <color indexed="81"/>
            <rFont val="Tahoma"/>
            <family val="2"/>
          </rPr>
          <t xml:space="preserve">NO ESTABA PROGRAMADO
</t>
        </r>
      </text>
    </comment>
    <comment ref="G337" authorId="5">
      <text>
        <r>
          <rPr>
            <sz val="9"/>
            <color indexed="81"/>
            <rFont val="Tahoma"/>
            <family val="2"/>
          </rPr>
          <t xml:space="preserve">NO ESTABA PROGRAMADO
</t>
        </r>
      </text>
    </comment>
    <comment ref="Q337" authorId="5">
      <text>
        <r>
          <rPr>
            <sz val="9"/>
            <color indexed="81"/>
            <rFont val="Tahoma"/>
            <family val="2"/>
          </rPr>
          <t xml:space="preserve">NO ESTABA PROGRAMADO
</t>
        </r>
      </text>
    </comment>
    <comment ref="G338" authorId="5">
      <text>
        <r>
          <rPr>
            <sz val="9"/>
            <color indexed="81"/>
            <rFont val="Tahoma"/>
            <family val="2"/>
          </rPr>
          <t xml:space="preserve">NO ESTABA PROGRAMADO
</t>
        </r>
      </text>
    </comment>
    <comment ref="Q338" authorId="5">
      <text>
        <r>
          <rPr>
            <sz val="9"/>
            <color indexed="81"/>
            <rFont val="Tahoma"/>
            <family val="2"/>
          </rPr>
          <t xml:space="preserve">NO ESTABA PROGRAMADO
</t>
        </r>
      </text>
    </comment>
    <comment ref="G339" authorId="5">
      <text>
        <r>
          <rPr>
            <sz val="9"/>
            <color indexed="81"/>
            <rFont val="Tahoma"/>
            <family val="2"/>
          </rPr>
          <t xml:space="preserve">NO ESTABA PROGRAMADO
</t>
        </r>
      </text>
    </comment>
    <comment ref="Q339" authorId="5">
      <text>
        <r>
          <rPr>
            <sz val="9"/>
            <color indexed="81"/>
            <rFont val="Tahoma"/>
            <family val="2"/>
          </rPr>
          <t xml:space="preserve">NO ESTABA PROGRAMADO
</t>
        </r>
      </text>
    </comment>
    <comment ref="G340" authorId="5">
      <text>
        <r>
          <rPr>
            <sz val="9"/>
            <color indexed="81"/>
            <rFont val="Tahoma"/>
            <family val="2"/>
          </rPr>
          <t xml:space="preserve">NO ESTABA PROGRAMADO
</t>
        </r>
      </text>
    </comment>
    <comment ref="Q340" authorId="5">
      <text>
        <r>
          <rPr>
            <sz val="9"/>
            <color indexed="81"/>
            <rFont val="Tahoma"/>
            <family val="2"/>
          </rPr>
          <t xml:space="preserve">NO ESTABA PROGRAMADO
</t>
        </r>
      </text>
    </comment>
    <comment ref="G341" authorId="5">
      <text>
        <r>
          <rPr>
            <sz val="9"/>
            <color indexed="81"/>
            <rFont val="Tahoma"/>
            <family val="2"/>
          </rPr>
          <t xml:space="preserve">NO ESTABA PROGRAMADO
</t>
        </r>
      </text>
    </comment>
    <comment ref="Q341" authorId="5">
      <text>
        <r>
          <rPr>
            <sz val="9"/>
            <color indexed="81"/>
            <rFont val="Tahoma"/>
            <family val="2"/>
          </rPr>
          <t xml:space="preserve">NO ESTABA PROGRAMADO
</t>
        </r>
      </text>
    </comment>
    <comment ref="G342" authorId="5">
      <text>
        <r>
          <rPr>
            <sz val="9"/>
            <color indexed="81"/>
            <rFont val="Tahoma"/>
            <family val="2"/>
          </rPr>
          <t xml:space="preserve">NO ESTABA PROGRAMADO
</t>
        </r>
      </text>
    </comment>
    <comment ref="Q342" authorId="5">
      <text>
        <r>
          <rPr>
            <sz val="9"/>
            <color indexed="81"/>
            <rFont val="Tahoma"/>
            <family val="2"/>
          </rPr>
          <t xml:space="preserve">NO ESTABA PROGRAMADO
</t>
        </r>
      </text>
    </comment>
    <comment ref="G343" authorId="5">
      <text>
        <r>
          <rPr>
            <sz val="9"/>
            <color indexed="81"/>
            <rFont val="Tahoma"/>
            <family val="2"/>
          </rPr>
          <t xml:space="preserve">NO ESTABA PROGRAMADO
</t>
        </r>
      </text>
    </comment>
    <comment ref="Q343" authorId="5">
      <text>
        <r>
          <rPr>
            <sz val="9"/>
            <color indexed="81"/>
            <rFont val="Tahoma"/>
            <family val="2"/>
          </rPr>
          <t xml:space="preserve">NO ESTABA PROGRAMADO
</t>
        </r>
      </text>
    </comment>
    <comment ref="G344" authorId="5">
      <text>
        <r>
          <rPr>
            <sz val="9"/>
            <color indexed="81"/>
            <rFont val="Tahoma"/>
            <family val="2"/>
          </rPr>
          <t xml:space="preserve">NO ESTABA PROGRAMADO
</t>
        </r>
      </text>
    </comment>
    <comment ref="Q344" authorId="5">
      <text>
        <r>
          <rPr>
            <sz val="9"/>
            <color indexed="81"/>
            <rFont val="Tahoma"/>
            <family val="2"/>
          </rPr>
          <t xml:space="preserve">NO ESTABA PROGRAMADO
</t>
        </r>
      </text>
    </comment>
    <comment ref="G345" authorId="5">
      <text>
        <r>
          <rPr>
            <sz val="9"/>
            <color indexed="81"/>
            <rFont val="Tahoma"/>
            <family val="2"/>
          </rPr>
          <t xml:space="preserve">NO ESTABA PROGRAMADO
</t>
        </r>
      </text>
    </comment>
    <comment ref="Q345" authorId="5">
      <text>
        <r>
          <rPr>
            <sz val="9"/>
            <color indexed="81"/>
            <rFont val="Tahoma"/>
            <family val="2"/>
          </rPr>
          <t xml:space="preserve">NO ESTABA PROGRAMADO
</t>
        </r>
      </text>
    </comment>
    <comment ref="G346" authorId="5">
      <text>
        <r>
          <rPr>
            <sz val="9"/>
            <color indexed="81"/>
            <rFont val="Tahoma"/>
            <family val="2"/>
          </rPr>
          <t xml:space="preserve">NO ESTABA PROGRAMADO
</t>
        </r>
      </text>
    </comment>
    <comment ref="Q346" authorId="5">
      <text>
        <r>
          <rPr>
            <sz val="9"/>
            <color indexed="81"/>
            <rFont val="Tahoma"/>
            <family val="2"/>
          </rPr>
          <t xml:space="preserve">NO ESTABA PROGRAMADO
</t>
        </r>
      </text>
    </comment>
    <comment ref="G347" authorId="5">
      <text>
        <r>
          <rPr>
            <sz val="9"/>
            <color indexed="81"/>
            <rFont val="Tahoma"/>
            <family val="2"/>
          </rPr>
          <t xml:space="preserve">NO ESTABA PROGRAMADO
</t>
        </r>
      </text>
    </comment>
    <comment ref="Q347" authorId="5">
      <text>
        <r>
          <rPr>
            <sz val="9"/>
            <color indexed="81"/>
            <rFont val="Tahoma"/>
            <family val="2"/>
          </rPr>
          <t xml:space="preserve">NO ESTABA PROGRAMADO
</t>
        </r>
      </text>
    </comment>
    <comment ref="G348" authorId="5">
      <text>
        <r>
          <rPr>
            <sz val="9"/>
            <color indexed="81"/>
            <rFont val="Tahoma"/>
            <family val="2"/>
          </rPr>
          <t xml:space="preserve">NO ESTABA PROGRAMADO
</t>
        </r>
      </text>
    </comment>
    <comment ref="Q348" authorId="5">
      <text>
        <r>
          <rPr>
            <sz val="9"/>
            <color indexed="81"/>
            <rFont val="Tahoma"/>
            <family val="2"/>
          </rPr>
          <t xml:space="preserve">NO ESTABA PROGRAMADO
</t>
        </r>
      </text>
    </comment>
    <comment ref="G349" authorId="5">
      <text>
        <r>
          <rPr>
            <sz val="9"/>
            <color indexed="81"/>
            <rFont val="Tahoma"/>
            <family val="2"/>
          </rPr>
          <t xml:space="preserve">NO ESTABA PROGRAMADO
</t>
        </r>
      </text>
    </comment>
    <comment ref="Q349" authorId="5">
      <text>
        <r>
          <rPr>
            <sz val="9"/>
            <color indexed="81"/>
            <rFont val="Tahoma"/>
            <family val="2"/>
          </rPr>
          <t xml:space="preserve">NO ESTABA PROGRAMADO
</t>
        </r>
      </text>
    </comment>
    <comment ref="G350" authorId="5">
      <text>
        <r>
          <rPr>
            <sz val="9"/>
            <color indexed="81"/>
            <rFont val="Tahoma"/>
            <family val="2"/>
          </rPr>
          <t xml:space="preserve">NO ESTABA PROGRAMADO
</t>
        </r>
      </text>
    </comment>
    <comment ref="Q350" authorId="5">
      <text>
        <r>
          <rPr>
            <sz val="9"/>
            <color indexed="81"/>
            <rFont val="Tahoma"/>
            <family val="2"/>
          </rPr>
          <t xml:space="preserve">NO ESTABA PROGRAMADO
</t>
        </r>
      </text>
    </comment>
    <comment ref="G351" authorId="5">
      <text>
        <r>
          <rPr>
            <sz val="9"/>
            <color indexed="81"/>
            <rFont val="Tahoma"/>
            <family val="2"/>
          </rPr>
          <t xml:space="preserve">NO ESTABA PROGRAMADO
</t>
        </r>
      </text>
    </comment>
    <comment ref="Q351" authorId="5">
      <text>
        <r>
          <rPr>
            <sz val="9"/>
            <color indexed="81"/>
            <rFont val="Tahoma"/>
            <family val="2"/>
          </rPr>
          <t xml:space="preserve">NO ESTABA PROGRAMADO
</t>
        </r>
      </text>
    </comment>
    <comment ref="G352" authorId="5">
      <text>
        <r>
          <rPr>
            <sz val="9"/>
            <color indexed="81"/>
            <rFont val="Tahoma"/>
            <family val="2"/>
          </rPr>
          <t xml:space="preserve">NO ESTABA PROGRAMADO
</t>
        </r>
      </text>
    </comment>
    <comment ref="Q352" authorId="5">
      <text>
        <r>
          <rPr>
            <sz val="9"/>
            <color indexed="81"/>
            <rFont val="Tahoma"/>
            <family val="2"/>
          </rPr>
          <t xml:space="preserve">NO ESTABA PROGRAMADO
</t>
        </r>
      </text>
    </comment>
    <comment ref="G353" authorId="5">
      <text>
        <r>
          <rPr>
            <sz val="9"/>
            <color indexed="81"/>
            <rFont val="Tahoma"/>
            <family val="2"/>
          </rPr>
          <t xml:space="preserve">NO ESTABA PROGRAMADO
</t>
        </r>
      </text>
    </comment>
    <comment ref="Q353" authorId="5">
      <text>
        <r>
          <rPr>
            <sz val="9"/>
            <color indexed="81"/>
            <rFont val="Tahoma"/>
            <family val="2"/>
          </rPr>
          <t xml:space="preserve">NO ESTABA PROGRAMADO
</t>
        </r>
      </text>
    </comment>
    <comment ref="G354" authorId="5">
      <text>
        <r>
          <rPr>
            <sz val="9"/>
            <color indexed="81"/>
            <rFont val="Tahoma"/>
            <family val="2"/>
          </rPr>
          <t xml:space="preserve">NO ESTABA PROGRAMADO
</t>
        </r>
      </text>
    </comment>
    <comment ref="I354" authorId="5">
      <text>
        <r>
          <rPr>
            <sz val="9"/>
            <color indexed="81"/>
            <rFont val="Tahoma"/>
            <family val="2"/>
          </rPr>
          <t xml:space="preserve">NO ESTABA PROGRAMADO
</t>
        </r>
      </text>
    </comment>
    <comment ref="Q354" authorId="5">
      <text>
        <r>
          <rPr>
            <sz val="9"/>
            <color indexed="81"/>
            <rFont val="Tahoma"/>
            <family val="2"/>
          </rPr>
          <t xml:space="preserve">NO ESTABA PROGRAMADO
</t>
        </r>
      </text>
    </comment>
    <comment ref="G355" authorId="5">
      <text>
        <r>
          <rPr>
            <sz val="9"/>
            <color indexed="81"/>
            <rFont val="Tahoma"/>
            <family val="2"/>
          </rPr>
          <t xml:space="preserve">NO ESTABA PROGRAMADO
</t>
        </r>
      </text>
    </comment>
    <comment ref="I355" authorId="5">
      <text>
        <r>
          <rPr>
            <sz val="9"/>
            <color indexed="81"/>
            <rFont val="Tahoma"/>
            <family val="2"/>
          </rPr>
          <t xml:space="preserve">NO ESTABA PROGRAMADO
</t>
        </r>
      </text>
    </comment>
    <comment ref="Q355" authorId="5">
      <text>
        <r>
          <rPr>
            <sz val="9"/>
            <color indexed="81"/>
            <rFont val="Tahoma"/>
            <family val="2"/>
          </rPr>
          <t xml:space="preserve">NO ESTABA PROGRAMADO
</t>
        </r>
      </text>
    </comment>
    <comment ref="G356" authorId="5">
      <text>
        <r>
          <rPr>
            <b/>
            <sz val="9"/>
            <color indexed="81"/>
            <rFont val="Tahoma"/>
            <family val="2"/>
          </rPr>
          <t>NO ESTABA PROGRAMADO</t>
        </r>
        <r>
          <rPr>
            <sz val="9"/>
            <color indexed="81"/>
            <rFont val="Tahoma"/>
            <family val="2"/>
          </rPr>
          <t xml:space="preserve">
</t>
        </r>
      </text>
    </comment>
    <comment ref="I356" authorId="5">
      <text>
        <r>
          <rPr>
            <b/>
            <sz val="9"/>
            <color indexed="81"/>
            <rFont val="Tahoma"/>
            <family val="2"/>
          </rPr>
          <t>NO ESTABA PROGRAMADO</t>
        </r>
        <r>
          <rPr>
            <sz val="9"/>
            <color indexed="81"/>
            <rFont val="Tahoma"/>
            <family val="2"/>
          </rPr>
          <t xml:space="preserve">
</t>
        </r>
      </text>
    </comment>
    <comment ref="Q356" authorId="5">
      <text>
        <r>
          <rPr>
            <b/>
            <sz val="9"/>
            <color indexed="81"/>
            <rFont val="Tahoma"/>
            <family val="2"/>
          </rPr>
          <t>NO ESTABA PROGRAMADO</t>
        </r>
        <r>
          <rPr>
            <sz val="9"/>
            <color indexed="81"/>
            <rFont val="Tahoma"/>
            <family val="2"/>
          </rPr>
          <t xml:space="preserve">
</t>
        </r>
      </text>
    </comment>
    <comment ref="G358" authorId="5">
      <text>
        <r>
          <rPr>
            <sz val="9"/>
            <color indexed="81"/>
            <rFont val="Tahoma"/>
            <family val="2"/>
          </rPr>
          <t xml:space="preserve">NO ESTABA PROGRAMADO
</t>
        </r>
      </text>
    </comment>
    <comment ref="I358" authorId="5">
      <text>
        <r>
          <rPr>
            <sz val="9"/>
            <color indexed="81"/>
            <rFont val="Tahoma"/>
            <family val="2"/>
          </rPr>
          <t xml:space="preserve">NO ESTABA PROGRAMADO
</t>
        </r>
      </text>
    </comment>
    <comment ref="Q358" authorId="5">
      <text>
        <r>
          <rPr>
            <sz val="9"/>
            <color indexed="81"/>
            <rFont val="Tahoma"/>
            <family val="2"/>
          </rPr>
          <t xml:space="preserve">NO ESTABA PROGRAMADO
</t>
        </r>
      </text>
    </comment>
    <comment ref="G359" authorId="5">
      <text>
        <r>
          <rPr>
            <sz val="9"/>
            <color indexed="81"/>
            <rFont val="Tahoma"/>
            <family val="2"/>
          </rPr>
          <t xml:space="preserve">NO ESTABA PROGRAMADO
</t>
        </r>
      </text>
    </comment>
    <comment ref="I359" authorId="5">
      <text>
        <r>
          <rPr>
            <sz val="9"/>
            <color indexed="81"/>
            <rFont val="Tahoma"/>
            <family val="2"/>
          </rPr>
          <t xml:space="preserve">NO ESTABA PROGRAMADO
</t>
        </r>
      </text>
    </comment>
    <comment ref="Q359" authorId="5">
      <text>
        <r>
          <rPr>
            <sz val="9"/>
            <color indexed="81"/>
            <rFont val="Tahoma"/>
            <family val="2"/>
          </rPr>
          <t xml:space="preserve">NO ESTABA PROGRAMADO
</t>
        </r>
      </text>
    </comment>
    <comment ref="G360" authorId="5">
      <text>
        <r>
          <rPr>
            <sz val="9"/>
            <color indexed="81"/>
            <rFont val="Tahoma"/>
            <family val="2"/>
          </rPr>
          <t xml:space="preserve">NO ESTABA PROGRAMADO
</t>
        </r>
      </text>
    </comment>
    <comment ref="I360" authorId="5">
      <text>
        <r>
          <rPr>
            <sz val="9"/>
            <color indexed="81"/>
            <rFont val="Tahoma"/>
            <family val="2"/>
          </rPr>
          <t xml:space="preserve">NO ESTABA PROGRAMADO
</t>
        </r>
      </text>
    </comment>
    <comment ref="Q360" authorId="5">
      <text>
        <r>
          <rPr>
            <sz val="9"/>
            <color indexed="81"/>
            <rFont val="Tahoma"/>
            <family val="2"/>
          </rPr>
          <t xml:space="preserve">NO ESTABA PROGRAMADO
</t>
        </r>
      </text>
    </comment>
    <comment ref="G361" authorId="5">
      <text>
        <r>
          <rPr>
            <sz val="9"/>
            <color indexed="81"/>
            <rFont val="Tahoma"/>
            <family val="2"/>
          </rPr>
          <t xml:space="preserve">NO ESTABA PROGRAMADO
</t>
        </r>
      </text>
    </comment>
    <comment ref="I361" authorId="5">
      <text>
        <r>
          <rPr>
            <sz val="9"/>
            <color indexed="81"/>
            <rFont val="Tahoma"/>
            <family val="2"/>
          </rPr>
          <t xml:space="preserve">NO ESTABA PROGRAMADO
</t>
        </r>
      </text>
    </comment>
    <comment ref="Q361" authorId="5">
      <text>
        <r>
          <rPr>
            <sz val="9"/>
            <color indexed="81"/>
            <rFont val="Tahoma"/>
            <family val="2"/>
          </rPr>
          <t xml:space="preserve">NO ESTABA PROGRAMADO
</t>
        </r>
      </text>
    </comment>
    <comment ref="Q362" authorId="5">
      <text>
        <r>
          <rPr>
            <sz val="9"/>
            <color indexed="81"/>
            <rFont val="Tahoma"/>
            <family val="2"/>
          </rPr>
          <t xml:space="preserve">NO ESTABA PROGRAMADO
</t>
        </r>
      </text>
    </comment>
    <comment ref="G430" authorId="1">
      <text>
        <r>
          <rPr>
            <b/>
            <sz val="9"/>
            <color indexed="81"/>
            <rFont val="Tahoma"/>
            <family val="2"/>
          </rPr>
          <t>PLANEA16:</t>
        </r>
        <r>
          <rPr>
            <sz val="9"/>
            <color indexed="81"/>
            <rFont val="Tahoma"/>
            <family val="2"/>
          </rPr>
          <t xml:space="preserve">
TIENE VF SEGÚN ORDENANZA 006E</t>
        </r>
      </text>
    </comment>
    <comment ref="U520" authorId="4">
      <text>
        <r>
          <rPr>
            <b/>
            <sz val="9"/>
            <color indexed="81"/>
            <rFont val="Tahoma"/>
            <family val="2"/>
          </rPr>
          <t>Usuario:</t>
        </r>
        <r>
          <rPr>
            <sz val="9"/>
            <color indexed="81"/>
            <rFont val="Tahoma"/>
            <family val="2"/>
          </rPr>
          <t xml:space="preserve">
RECURSOS CONTRACREDITADOS</t>
        </r>
      </text>
    </comment>
    <comment ref="V520" authorId="4">
      <text>
        <r>
          <rPr>
            <b/>
            <sz val="9"/>
            <color indexed="81"/>
            <rFont val="Tahoma"/>
            <family val="2"/>
          </rPr>
          <t>Usuario:</t>
        </r>
        <r>
          <rPr>
            <sz val="9"/>
            <color indexed="81"/>
            <rFont val="Tahoma"/>
            <family val="2"/>
          </rPr>
          <t xml:space="preserve">
RECURSOS CONTRACREDITADOS</t>
        </r>
      </text>
    </comment>
    <comment ref="AF520" authorId="4">
      <text>
        <r>
          <rPr>
            <b/>
            <sz val="9"/>
            <color indexed="81"/>
            <rFont val="Tahoma"/>
            <family val="2"/>
          </rPr>
          <t>Usuario:</t>
        </r>
        <r>
          <rPr>
            <sz val="9"/>
            <color indexed="81"/>
            <rFont val="Tahoma"/>
            <family val="2"/>
          </rPr>
          <t xml:space="preserve">
RECURSOS CONTRACREDITADOS</t>
        </r>
      </text>
    </comment>
    <comment ref="J541" authorId="2">
      <text>
        <r>
          <rPr>
            <b/>
            <sz val="9"/>
            <color indexed="81"/>
            <rFont val="Tahoma"/>
            <family val="2"/>
          </rPr>
          <t>Martha:</t>
        </r>
        <r>
          <rPr>
            <sz val="9"/>
            <color indexed="81"/>
            <rFont val="Tahoma"/>
            <family val="2"/>
          </rPr>
          <t xml:space="preserve">
12 computadores en el edificio Alonso Pérez de Guzmán</t>
        </r>
      </text>
    </comment>
    <comment ref="L563" authorId="2">
      <text>
        <r>
          <rPr>
            <b/>
            <sz val="9"/>
            <color indexed="81"/>
            <rFont val="Tahoma"/>
            <family val="2"/>
          </rPr>
          <t>Martha:</t>
        </r>
        <r>
          <rPr>
            <sz val="9"/>
            <color indexed="81"/>
            <rFont val="Tahoma"/>
            <family val="2"/>
          </rPr>
          <t xml:space="preserve">
13235 total de afiliados</t>
        </r>
      </text>
    </comment>
    <comment ref="J593" authorId="0">
      <text>
        <r>
          <rPr>
            <b/>
            <sz val="9"/>
            <color indexed="81"/>
            <rFont val="Tahoma"/>
            <family val="2"/>
          </rPr>
          <t>rc:</t>
        </r>
        <r>
          <rPr>
            <sz val="9"/>
            <color indexed="81"/>
            <rFont val="Tahoma"/>
            <family val="2"/>
          </rPr>
          <t xml:space="preserve">
META DE GESTION</t>
        </r>
      </text>
    </comment>
    <comment ref="J640" authorId="0">
      <text>
        <r>
          <rPr>
            <b/>
            <sz val="9"/>
            <color indexed="81"/>
            <rFont val="Tahoma"/>
            <family val="2"/>
          </rPr>
          <t>rc:</t>
        </r>
        <r>
          <rPr>
            <sz val="9"/>
            <color indexed="81"/>
            <rFont val="Tahoma"/>
            <family val="2"/>
          </rPr>
          <t xml:space="preserve">
Se ha programado 93 en el año 2012; 47 en el 2014 y 47 en el 2015 que sumando nos da 187 y son 186. Revisar</t>
        </r>
      </text>
    </comment>
    <comment ref="J641" authorId="0">
      <text>
        <r>
          <rPr>
            <b/>
            <sz val="9"/>
            <color indexed="81"/>
            <rFont val="Tahoma"/>
            <family val="2"/>
          </rPr>
          <t>rc:</t>
        </r>
        <r>
          <rPr>
            <sz val="9"/>
            <color indexed="81"/>
            <rFont val="Tahoma"/>
            <family val="2"/>
          </rPr>
          <t xml:space="preserve">
Se tiene el indicador en número y se ha programado en porcentaje. Revisar</t>
        </r>
      </text>
    </comment>
    <comment ref="J644" authorId="0">
      <text>
        <r>
          <rPr>
            <b/>
            <sz val="9"/>
            <color indexed="81"/>
            <rFont val="Tahoma"/>
            <family val="2"/>
          </rPr>
          <t>rc:</t>
        </r>
        <r>
          <rPr>
            <sz val="9"/>
            <color indexed="81"/>
            <rFont val="Tahoma"/>
            <family val="2"/>
          </rPr>
          <t xml:space="preserve">
Se ha programado 1 en cada uno de los años. Aclarar esta situación</t>
        </r>
      </text>
    </comment>
    <comment ref="J645" authorId="0">
      <text>
        <r>
          <rPr>
            <b/>
            <sz val="9"/>
            <color indexed="81"/>
            <rFont val="Tahoma"/>
            <family val="2"/>
          </rPr>
          <t>rc:</t>
        </r>
        <r>
          <rPr>
            <sz val="9"/>
            <color indexed="81"/>
            <rFont val="Tahoma"/>
            <family val="2"/>
          </rPr>
          <t xml:space="preserve">
Se ha programado 4 en cada uno de los años. Aclarar esta situación.</t>
        </r>
      </text>
    </comment>
    <comment ref="J647" authorId="0">
      <text>
        <r>
          <rPr>
            <b/>
            <sz val="9"/>
            <color indexed="81"/>
            <rFont val="Tahoma"/>
            <family val="2"/>
          </rPr>
          <t>rc:</t>
        </r>
        <r>
          <rPr>
            <sz val="9"/>
            <color indexed="81"/>
            <rFont val="Tahoma"/>
            <family val="2"/>
          </rPr>
          <t xml:space="preserve">
Se ha programado 1 en 2012; 2 en 2013; 2 en 2014 y 2 en 2015. Aclarar esta situación.</t>
        </r>
      </text>
    </comment>
    <comment ref="J648" authorId="0">
      <text>
        <r>
          <rPr>
            <b/>
            <sz val="9"/>
            <color indexed="81"/>
            <rFont val="Tahoma"/>
            <family val="2"/>
          </rPr>
          <t>rc:</t>
        </r>
        <r>
          <rPr>
            <sz val="9"/>
            <color indexed="81"/>
            <rFont val="Tahoma"/>
            <family val="2"/>
          </rPr>
          <t xml:space="preserve">
Se ha programado 4 en cada uno de los años. Aclarar esta situación</t>
        </r>
      </text>
    </comment>
    <comment ref="J649" authorId="0">
      <text>
        <r>
          <rPr>
            <b/>
            <sz val="9"/>
            <color indexed="81"/>
            <rFont val="Tahoma"/>
            <family val="2"/>
          </rPr>
          <t>rc:</t>
        </r>
        <r>
          <rPr>
            <sz val="9"/>
            <color indexed="81"/>
            <rFont val="Tahoma"/>
            <family val="2"/>
          </rPr>
          <t xml:space="preserve">
Se ha programado 50 en 2013; 50 en 2014 y 100 en 2015. Aclarar esta situación.</t>
        </r>
      </text>
    </comment>
    <comment ref="G650" authorId="1">
      <text>
        <r>
          <rPr>
            <b/>
            <sz val="9"/>
            <color indexed="81"/>
            <rFont val="Tahoma"/>
            <family val="2"/>
          </rPr>
          <t>PLANEA16:</t>
        </r>
        <r>
          <rPr>
            <sz val="9"/>
            <color indexed="81"/>
            <rFont val="Tahoma"/>
            <family val="2"/>
          </rPr>
          <t xml:space="preserve">
TIENE VF SEGÚN ORDENANZA 006E DE 2014</t>
        </r>
      </text>
    </comment>
    <comment ref="G662" authorId="5">
      <text>
        <r>
          <rPr>
            <b/>
            <sz val="9"/>
            <color indexed="81"/>
            <rFont val="Tahoma"/>
            <family val="2"/>
          </rPr>
          <t>NO ESTABA PROGRAMADO</t>
        </r>
      </text>
    </comment>
    <comment ref="G671" authorId="1">
      <text>
        <r>
          <rPr>
            <b/>
            <sz val="9"/>
            <color indexed="81"/>
            <rFont val="Tahoma"/>
            <family val="2"/>
          </rPr>
          <t>PLANEA16:</t>
        </r>
        <r>
          <rPr>
            <sz val="9"/>
            <color indexed="81"/>
            <rFont val="Tahoma"/>
            <family val="2"/>
          </rPr>
          <t xml:space="preserve">
TIENE VF SEGÚN ORDENANZA 006E DE 2014
</t>
        </r>
      </text>
    </comment>
    <comment ref="J671" authorId="0">
      <text>
        <r>
          <rPr>
            <b/>
            <sz val="9"/>
            <color indexed="81"/>
            <rFont val="Tahoma"/>
            <family val="2"/>
          </rPr>
          <t>rc:</t>
        </r>
        <r>
          <rPr>
            <sz val="9"/>
            <color indexed="81"/>
            <rFont val="Tahoma"/>
            <family val="2"/>
          </rPr>
          <t xml:space="preserve">
No es clara la programación si esta acumulada o no. Se ha programado 5 en 2012; 9 en 2013; 9 en 2014 y 20 en 2015. Aclarar esta situación.</t>
        </r>
      </text>
    </comment>
    <comment ref="J680" authorId="0">
      <text>
        <r>
          <rPr>
            <b/>
            <sz val="9"/>
            <color indexed="81"/>
            <rFont val="Tahoma"/>
            <family val="2"/>
          </rPr>
          <t>rc:</t>
        </r>
        <r>
          <rPr>
            <sz val="9"/>
            <color indexed="81"/>
            <rFont val="Tahoma"/>
            <family val="2"/>
          </rPr>
          <t xml:space="preserve">
Se ha programado 125 en 2012; 63 en 2013; 68 en 2014 y 125 en 2015. Aclarar esta situación.</t>
        </r>
      </text>
    </comment>
    <comment ref="J681" authorId="0">
      <text>
        <r>
          <rPr>
            <b/>
            <sz val="9"/>
            <color indexed="81"/>
            <rFont val="Tahoma"/>
            <family val="2"/>
          </rPr>
          <t>rc:</t>
        </r>
        <r>
          <rPr>
            <sz val="9"/>
            <color indexed="81"/>
            <rFont val="Tahoma"/>
            <family val="2"/>
          </rPr>
          <t xml:space="preserve">
Se ha programado 5000 en 2012 y 5000 en 2014. Aclarar esta situación.</t>
        </r>
      </text>
    </comment>
    <comment ref="J691" authorId="0">
      <text>
        <r>
          <rPr>
            <b/>
            <sz val="9"/>
            <color indexed="81"/>
            <rFont val="Tahoma"/>
            <family val="2"/>
          </rPr>
          <t>rc:</t>
        </r>
        <r>
          <rPr>
            <sz val="9"/>
            <color indexed="81"/>
            <rFont val="Tahoma"/>
            <family val="2"/>
          </rPr>
          <t xml:space="preserve">
No se ha programado en el cuatrienio a pesar de contar con recursos todos los años. Aclarar esta situación</t>
        </r>
      </text>
    </comment>
    <comment ref="J692" authorId="0">
      <text>
        <r>
          <rPr>
            <b/>
            <sz val="9"/>
            <color indexed="81"/>
            <rFont val="Tahoma"/>
            <family val="2"/>
          </rPr>
          <t>rc:</t>
        </r>
        <r>
          <rPr>
            <sz val="9"/>
            <color indexed="81"/>
            <rFont val="Tahoma"/>
            <family val="2"/>
          </rPr>
          <t xml:space="preserve">
No se ha programado en el cuatrienio a pesar de contar con recursos todos los años. Aclarar esta situación.</t>
        </r>
      </text>
    </comment>
    <comment ref="J698" authorId="0">
      <text>
        <r>
          <rPr>
            <b/>
            <sz val="9"/>
            <color indexed="81"/>
            <rFont val="Tahoma"/>
            <family val="2"/>
          </rPr>
          <t>rc:</t>
        </r>
        <r>
          <rPr>
            <sz val="9"/>
            <color indexed="81"/>
            <rFont val="Tahoma"/>
            <family val="2"/>
          </rPr>
          <t xml:space="preserve">
Se ha programado 10 en 2012; 10 en 2013; 6 en 2014 y 15 en 2015. Para un total de 41. Aclarar esta situación</t>
        </r>
      </text>
    </comment>
    <comment ref="J699" authorId="0">
      <text>
        <r>
          <rPr>
            <b/>
            <sz val="9"/>
            <color indexed="81"/>
            <rFont val="Tahoma"/>
            <family val="2"/>
          </rPr>
          <t>rc:</t>
        </r>
        <r>
          <rPr>
            <sz val="9"/>
            <color indexed="81"/>
            <rFont val="Tahoma"/>
            <family val="2"/>
          </rPr>
          <t xml:space="preserve">
No dice ¿Cuantos? No se ha programado en el cuatrienio. Aclarar esta situación</t>
        </r>
      </text>
    </comment>
    <comment ref="J700" authorId="0">
      <text>
        <r>
          <rPr>
            <b/>
            <sz val="9"/>
            <color indexed="81"/>
            <rFont val="Tahoma"/>
            <family val="2"/>
          </rPr>
          <t>rc:</t>
        </r>
        <r>
          <rPr>
            <sz val="9"/>
            <color indexed="81"/>
            <rFont val="Tahoma"/>
            <family val="2"/>
          </rPr>
          <t xml:space="preserve">
La suma de lo programado en el cuatrienio es de 5. Revisar esta situación</t>
        </r>
      </text>
    </comment>
    <comment ref="J717" authorId="0">
      <text>
        <r>
          <rPr>
            <b/>
            <sz val="9"/>
            <color indexed="81"/>
            <rFont val="Tahoma"/>
            <family val="2"/>
          </rPr>
          <t>rc:</t>
        </r>
        <r>
          <rPr>
            <sz val="9"/>
            <color indexed="81"/>
            <rFont val="Tahoma"/>
            <family val="2"/>
          </rPr>
          <t xml:space="preserve">
La programación del cuatrienio suma 201. Revisar.</t>
        </r>
      </text>
    </comment>
    <comment ref="J722" authorId="0">
      <text>
        <r>
          <rPr>
            <b/>
            <sz val="9"/>
            <color indexed="81"/>
            <rFont val="Tahoma"/>
            <family val="2"/>
          </rPr>
          <t>rc:</t>
        </r>
        <r>
          <rPr>
            <sz val="9"/>
            <color indexed="81"/>
            <rFont val="Tahoma"/>
            <family val="2"/>
          </rPr>
          <t xml:space="preserve">
El indicador está midiendo la cantidad de posadas turísticas y en la meta se está midiendo un programa. Revisar. Se han programado para el cuatrienio: 2 para el 2012; 3 para el 2013 y 5 para el 2015</t>
        </r>
      </text>
    </comment>
    <comment ref="J723" authorId="0">
      <text>
        <r>
          <rPr>
            <b/>
            <sz val="9"/>
            <color indexed="81"/>
            <rFont val="Tahoma"/>
            <family val="2"/>
          </rPr>
          <t>rc:</t>
        </r>
        <r>
          <rPr>
            <sz val="9"/>
            <color indexed="81"/>
            <rFont val="Tahoma"/>
            <family val="2"/>
          </rPr>
          <t xml:space="preserve">
Se han programado para el cuatrienio: 1 para el 2012; 2 para el 2013. Revisar cifras.</t>
        </r>
      </text>
    </comment>
    <comment ref="J724" authorId="0">
      <text>
        <r>
          <rPr>
            <b/>
            <sz val="9"/>
            <color indexed="81"/>
            <rFont val="Tahoma"/>
            <family val="2"/>
          </rPr>
          <t>rc:</t>
        </r>
        <r>
          <rPr>
            <sz val="9"/>
            <color indexed="81"/>
            <rFont val="Tahoma"/>
            <family val="2"/>
          </rPr>
          <t xml:space="preserve">
Se han programado para el cuatrienio: 1 para el 2012; 2 para el 2013 y 3 para el 2015. Revisar cifras.</t>
        </r>
      </text>
    </comment>
    <comment ref="J725" authorId="0">
      <text>
        <r>
          <rPr>
            <b/>
            <sz val="9"/>
            <color indexed="81"/>
            <rFont val="Tahoma"/>
            <family val="2"/>
          </rPr>
          <t>rc:</t>
        </r>
        <r>
          <rPr>
            <sz val="9"/>
            <color indexed="81"/>
            <rFont val="Tahoma"/>
            <family val="2"/>
          </rPr>
          <t xml:space="preserve">
Se han programado para el cuatrienio: 25 para el 2013 y 25 para el 2015. Revisar cifras.</t>
        </r>
      </text>
    </comment>
    <comment ref="J736" authorId="0">
      <text>
        <r>
          <rPr>
            <b/>
            <sz val="9"/>
            <color indexed="81"/>
            <rFont val="Tahoma"/>
            <family val="2"/>
          </rPr>
          <t>rc:</t>
        </r>
        <r>
          <rPr>
            <sz val="9"/>
            <color indexed="81"/>
            <rFont val="Tahoma"/>
            <family val="2"/>
          </rPr>
          <t xml:space="preserve">
Se han programado para el cuatrienio: 2 para el 2012; 3 para el 2013 y 5 para el 2015. Revisar.</t>
        </r>
      </text>
    </comment>
    <comment ref="J737" authorId="0">
      <text>
        <r>
          <rPr>
            <b/>
            <sz val="9"/>
            <color indexed="81"/>
            <rFont val="Tahoma"/>
            <family val="2"/>
          </rPr>
          <t>rc:</t>
        </r>
        <r>
          <rPr>
            <sz val="9"/>
            <color indexed="81"/>
            <rFont val="Tahoma"/>
            <family val="2"/>
          </rPr>
          <t xml:space="preserve">
Se han programado para el cuatrienio: 2 para el 2012; y 1000 para el 2015. Revisar.</t>
        </r>
      </text>
    </comment>
    <comment ref="J752" authorId="0">
      <text>
        <r>
          <rPr>
            <b/>
            <sz val="9"/>
            <color indexed="81"/>
            <rFont val="Tahoma"/>
            <family val="2"/>
          </rPr>
          <t>rc:</t>
        </r>
        <r>
          <rPr>
            <sz val="9"/>
            <color indexed="81"/>
            <rFont val="Tahoma"/>
            <family val="2"/>
          </rPr>
          <t xml:space="preserve">
. No se ha programado en ninguno de los años de la vigencia. Revisar.</t>
        </r>
      </text>
    </comment>
    <comment ref="J755" authorId="0">
      <text>
        <r>
          <rPr>
            <b/>
            <sz val="9"/>
            <color indexed="81"/>
            <rFont val="Tahoma"/>
            <family val="2"/>
          </rPr>
          <t>rc:</t>
        </r>
        <r>
          <rPr>
            <sz val="9"/>
            <color indexed="81"/>
            <rFont val="Tahoma"/>
            <family val="2"/>
          </rPr>
          <t xml:space="preserve">
Se ha programado 1 para cada año del periodo de gobierno. Revisar.</t>
        </r>
      </text>
    </comment>
    <comment ref="J757" authorId="0">
      <text>
        <r>
          <rPr>
            <b/>
            <sz val="9"/>
            <color indexed="81"/>
            <rFont val="Tahoma"/>
            <family val="2"/>
          </rPr>
          <t>rc:</t>
        </r>
        <r>
          <rPr>
            <sz val="9"/>
            <color indexed="81"/>
            <rFont val="Tahoma"/>
            <family val="2"/>
          </rPr>
          <t xml:space="preserve">
Se tiene programado 6 en 2012 y 7 en 2013. Revisar</t>
        </r>
      </text>
    </comment>
    <comment ref="J758" authorId="0">
      <text>
        <r>
          <rPr>
            <b/>
            <sz val="9"/>
            <color indexed="81"/>
            <rFont val="Tahoma"/>
            <family val="2"/>
          </rPr>
          <t>rc:</t>
        </r>
        <r>
          <rPr>
            <sz val="9"/>
            <color indexed="81"/>
            <rFont val="Tahoma"/>
            <family val="2"/>
          </rPr>
          <t xml:space="preserve">
Se ha programado 15000 para el 2012; 15000 para el 2013; 2000EN 2014 y 10000 para el 2015. Revisar.</t>
        </r>
      </text>
    </comment>
    <comment ref="J760" authorId="0">
      <text>
        <r>
          <rPr>
            <b/>
            <sz val="9"/>
            <color indexed="81"/>
            <rFont val="Tahoma"/>
            <family val="2"/>
          </rPr>
          <t>rc:</t>
        </r>
        <r>
          <rPr>
            <sz val="9"/>
            <color indexed="81"/>
            <rFont val="Tahoma"/>
            <family val="2"/>
          </rPr>
          <t xml:space="preserve">
NO es competencia del departamento. El indicador dice No. De hogares con acceso a internet. Y no se tiene línea base ni valor esperado para el cuatrienio.</t>
        </r>
      </text>
    </comment>
    <comment ref="G761" authorId="4">
      <text>
        <r>
          <rPr>
            <b/>
            <sz val="9"/>
            <color indexed="81"/>
            <rFont val="Tahoma"/>
            <family val="2"/>
          </rPr>
          <t>Usuario:</t>
        </r>
        <r>
          <rPr>
            <sz val="9"/>
            <color indexed="81"/>
            <rFont val="Tahoma"/>
            <family val="2"/>
          </rPr>
          <t xml:space="preserve">
este proyecto se elimino y se cubrio con el proyecto de formación y capacitación de la fila anterior.</t>
        </r>
      </text>
    </comment>
    <comment ref="J761" authorId="0">
      <text>
        <r>
          <rPr>
            <b/>
            <sz val="9"/>
            <color indexed="81"/>
            <rFont val="Tahoma"/>
            <family val="2"/>
          </rPr>
          <t>rc:</t>
        </r>
        <r>
          <rPr>
            <sz val="9"/>
            <color indexed="81"/>
            <rFont val="Tahoma"/>
            <family val="2"/>
          </rPr>
          <t xml:space="preserve">
Se ha programado 200 para el 2012; 200 para el 2013; 100 en 2014 y 500 para el 2015. Revisar.</t>
        </r>
      </text>
    </comment>
    <comment ref="J762" authorId="0">
      <text>
        <r>
          <rPr>
            <b/>
            <sz val="9"/>
            <color indexed="81"/>
            <rFont val="Tahoma"/>
            <family val="2"/>
          </rPr>
          <t>rc:</t>
        </r>
        <r>
          <rPr>
            <sz val="9"/>
            <color indexed="81"/>
            <rFont val="Tahoma"/>
            <family val="2"/>
          </rPr>
          <t xml:space="preserve">
Se ha programado 1 para el 2012; 0,5 para el 2013; 0,5 en 2014 y 2 para el 2015. Revisar</t>
        </r>
      </text>
    </comment>
    <comment ref="J763" authorId="0">
      <text>
        <r>
          <rPr>
            <b/>
            <sz val="9"/>
            <color indexed="81"/>
            <rFont val="Tahoma"/>
            <family val="2"/>
          </rPr>
          <t>rc:</t>
        </r>
        <r>
          <rPr>
            <sz val="9"/>
            <color indexed="81"/>
            <rFont val="Tahoma"/>
            <family val="2"/>
          </rPr>
          <t xml:space="preserve">
Se ha programado 1 para el 2012; 0,5 para el 2013; 0,5 en 2014 y 2 para el 2015. Revisar</t>
        </r>
      </text>
    </comment>
    <comment ref="J777" authorId="0">
      <text>
        <r>
          <rPr>
            <b/>
            <sz val="9"/>
            <color indexed="81"/>
            <rFont val="Tahoma"/>
            <family val="2"/>
          </rPr>
          <t>rc:</t>
        </r>
        <r>
          <rPr>
            <sz val="9"/>
            <color indexed="81"/>
            <rFont val="Tahoma"/>
            <family val="2"/>
          </rPr>
          <t xml:space="preserve">
Se ha programado  66 en 2012 y 100 en 2013. Revisar</t>
        </r>
      </text>
    </comment>
    <comment ref="J779" authorId="0">
      <text>
        <r>
          <rPr>
            <b/>
            <sz val="9"/>
            <color indexed="81"/>
            <rFont val="Tahoma"/>
            <family val="2"/>
          </rPr>
          <t>rc:</t>
        </r>
        <r>
          <rPr>
            <sz val="9"/>
            <color indexed="81"/>
            <rFont val="Tahoma"/>
            <family val="2"/>
          </rPr>
          <t xml:space="preserve">
Se ha programado  1 en 2013; 1 en 2014 y 1 para el 2015. Revisar.</t>
        </r>
      </text>
    </comment>
    <comment ref="J781" authorId="0">
      <text>
        <r>
          <rPr>
            <b/>
            <sz val="9"/>
            <color indexed="81"/>
            <rFont val="Tahoma"/>
            <family val="2"/>
          </rPr>
          <t>rc:</t>
        </r>
        <r>
          <rPr>
            <sz val="9"/>
            <color indexed="81"/>
            <rFont val="Tahoma"/>
            <family val="2"/>
          </rPr>
          <t xml:space="preserve">
Se ha programado para el año 2015, 2.</t>
        </r>
      </text>
    </comment>
    <comment ref="G798" authorId="1">
      <text>
        <r>
          <rPr>
            <b/>
            <sz val="9"/>
            <color indexed="81"/>
            <rFont val="Tahoma"/>
            <family val="2"/>
          </rPr>
          <t>PLANEA16:</t>
        </r>
        <r>
          <rPr>
            <sz val="9"/>
            <color indexed="81"/>
            <rFont val="Tahoma"/>
            <family val="2"/>
          </rPr>
          <t xml:space="preserve">
TIENE VF SEGÚN ORDENANZA 006E DE 2014
</t>
        </r>
      </text>
    </comment>
    <comment ref="J801" authorId="0">
      <text>
        <r>
          <rPr>
            <b/>
            <sz val="9"/>
            <color indexed="81"/>
            <rFont val="Tahoma"/>
            <family val="2"/>
          </rPr>
          <t>rc:</t>
        </r>
        <r>
          <rPr>
            <sz val="9"/>
            <color indexed="81"/>
            <rFont val="Tahoma"/>
            <family val="2"/>
          </rPr>
          <t xml:space="preserve">
Se ha programado 12% en 2012; 15% en 2013; 18% en 2014 y 21% para el 2015. Revisar.</t>
        </r>
      </text>
    </comment>
    <comment ref="J817" authorId="0">
      <text>
        <r>
          <rPr>
            <b/>
            <sz val="9"/>
            <color indexed="81"/>
            <rFont val="Tahoma"/>
            <family val="2"/>
          </rPr>
          <t>rc:</t>
        </r>
        <r>
          <rPr>
            <sz val="9"/>
            <color indexed="81"/>
            <rFont val="Tahoma"/>
            <family val="2"/>
          </rPr>
          <t xml:space="preserve">
Se ha programado 1 en 2012; 1 en 2013; 1 en 2014 y 100% para el 2015. Revisar</t>
        </r>
      </text>
    </comment>
    <comment ref="J818" authorId="0">
      <text>
        <r>
          <rPr>
            <b/>
            <sz val="9"/>
            <color indexed="81"/>
            <rFont val="Tahoma"/>
            <family val="2"/>
          </rPr>
          <t>rc:</t>
        </r>
        <r>
          <rPr>
            <sz val="9"/>
            <color indexed="81"/>
            <rFont val="Tahoma"/>
            <family val="2"/>
          </rPr>
          <t xml:space="preserve">
No han programado para el cuatrienio. Revisar. ES UN TEMA JUDICIAL...</t>
        </r>
      </text>
    </comment>
    <comment ref="J819" authorId="0">
      <text>
        <r>
          <rPr>
            <b/>
            <sz val="9"/>
            <color indexed="81"/>
            <rFont val="Tahoma"/>
            <family val="2"/>
          </rPr>
          <t>rc:</t>
        </r>
        <r>
          <rPr>
            <sz val="9"/>
            <color indexed="81"/>
            <rFont val="Tahoma"/>
            <family val="2"/>
          </rPr>
          <t xml:space="preserve">
Se ha programado 1 en 2013; 1 en 2014 y 1 para el 2015. Revisar.</t>
        </r>
      </text>
    </comment>
    <comment ref="J822" authorId="0">
      <text>
        <r>
          <rPr>
            <b/>
            <sz val="9"/>
            <color indexed="81"/>
            <rFont val="Tahoma"/>
            <family val="2"/>
          </rPr>
          <t>rc:</t>
        </r>
        <r>
          <rPr>
            <sz val="9"/>
            <color indexed="81"/>
            <rFont val="Tahoma"/>
            <family val="2"/>
          </rPr>
          <t xml:space="preserve">
Se ha programado 1 en 2013; 1 en 2014 y 1 para el 2015. Revisar</t>
        </r>
      </text>
    </comment>
    <comment ref="G825" authorId="6">
      <text>
        <r>
          <rPr>
            <b/>
            <sz val="9"/>
            <color indexed="81"/>
            <rFont val="Calibri"/>
            <family val="2"/>
          </rPr>
          <t>Administrador:</t>
        </r>
        <r>
          <rPr>
            <sz val="9"/>
            <color indexed="81"/>
            <rFont val="Calibri"/>
            <family val="2"/>
          </rPr>
          <t xml:space="preserve">
adicion ordenanza 009 de 2014</t>
        </r>
      </text>
    </comment>
    <comment ref="J832" authorId="0">
      <text>
        <r>
          <rPr>
            <b/>
            <sz val="9"/>
            <color indexed="81"/>
            <rFont val="Tahoma"/>
            <family val="2"/>
          </rPr>
          <t>rc:</t>
        </r>
        <r>
          <rPr>
            <sz val="9"/>
            <color indexed="81"/>
            <rFont val="Tahoma"/>
            <family val="2"/>
          </rPr>
          <t xml:space="preserve">
Se ha programado 1 en 2012; 1 en 2013; 1 en 2014 y 1 para el 2015. Revisar.</t>
        </r>
      </text>
    </comment>
    <comment ref="J833" authorId="0">
      <text>
        <r>
          <rPr>
            <b/>
            <sz val="9"/>
            <color indexed="81"/>
            <rFont val="Tahoma"/>
            <family val="2"/>
          </rPr>
          <t>rc:</t>
        </r>
        <r>
          <rPr>
            <sz val="9"/>
            <color indexed="81"/>
            <rFont val="Tahoma"/>
            <family val="2"/>
          </rPr>
          <t xml:space="preserve">
Se ha programado 1 en 2012; 1 en 2013; 1 en 2014 y 1 para el 2015. Revisar.</t>
        </r>
      </text>
    </comment>
    <comment ref="J835" authorId="0">
      <text>
        <r>
          <rPr>
            <b/>
            <sz val="9"/>
            <color indexed="81"/>
            <rFont val="Tahoma"/>
            <family val="2"/>
          </rPr>
          <t>rc:</t>
        </r>
        <r>
          <rPr>
            <sz val="9"/>
            <color indexed="81"/>
            <rFont val="Tahoma"/>
            <family val="2"/>
          </rPr>
          <t xml:space="preserve">
Se ha programado 1 en 2012; 1 en 2013; 1 en 2014 y 1 para el 2015. Revisar</t>
        </r>
      </text>
    </comment>
    <comment ref="J836" authorId="0">
      <text>
        <r>
          <rPr>
            <b/>
            <sz val="9"/>
            <color indexed="81"/>
            <rFont val="Tahoma"/>
            <family val="2"/>
          </rPr>
          <t>rc:</t>
        </r>
        <r>
          <rPr>
            <sz val="9"/>
            <color indexed="81"/>
            <rFont val="Tahoma"/>
            <family val="2"/>
          </rPr>
          <t xml:space="preserve">
Se ha programado 1 en 2012; 1 en 2013; 1 en 2014 y 1 para el 2015. Revisar.</t>
        </r>
      </text>
    </comment>
    <comment ref="J838" authorId="0">
      <text>
        <r>
          <rPr>
            <b/>
            <sz val="9"/>
            <color indexed="81"/>
            <rFont val="Tahoma"/>
            <family val="2"/>
          </rPr>
          <t>rc:</t>
        </r>
        <r>
          <rPr>
            <sz val="9"/>
            <color indexed="81"/>
            <rFont val="Tahoma"/>
            <family val="2"/>
          </rPr>
          <t xml:space="preserve">
Se ha programado 1 en 2012; 1 en 2013; 1 en 2014 y 1 para el 2015. Revisar.</t>
        </r>
      </text>
    </comment>
    <comment ref="L840" authorId="7">
      <text>
        <r>
          <rPr>
            <b/>
            <sz val="9"/>
            <color indexed="81"/>
            <rFont val="Tahoma"/>
            <family val="2"/>
          </rPr>
          <t>GOBIER00:</t>
        </r>
        <r>
          <rPr>
            <sz val="9"/>
            <color indexed="81"/>
            <rFont val="Tahoma"/>
            <family val="2"/>
          </rPr>
          <t xml:space="preserve">
Estas dos metas de producto incluirlas en un programa CONTROL DEL TERRITORIO Y DEFENSA DE LA SOBERANIA TENIENDO EN CUENTA LA RECOMENDACIÓN QUE UD DIO EN LA ADICION PRESPUPUESTAL AL FONDO</t>
        </r>
      </text>
    </comment>
    <comment ref="J870" authorId="0">
      <text>
        <r>
          <rPr>
            <b/>
            <sz val="9"/>
            <color indexed="81"/>
            <rFont val="Tahoma"/>
            <family val="2"/>
          </rPr>
          <t>rc:</t>
        </r>
        <r>
          <rPr>
            <sz val="9"/>
            <color indexed="81"/>
            <rFont val="Tahoma"/>
            <family val="2"/>
          </rPr>
          <t xml:space="preserve">
Se ha programado 1 en 2012; 1 en 2013; 1 en 2014 y 1 para el 2015. Revisar</t>
        </r>
      </text>
    </comment>
    <comment ref="J871" authorId="0">
      <text>
        <r>
          <rPr>
            <b/>
            <sz val="9"/>
            <color indexed="81"/>
            <rFont val="Tahoma"/>
            <family val="2"/>
          </rPr>
          <t>rc:</t>
        </r>
        <r>
          <rPr>
            <sz val="9"/>
            <color indexed="81"/>
            <rFont val="Tahoma"/>
            <family val="2"/>
          </rPr>
          <t xml:space="preserve">
Se ha programado 3 en 2013; 3 en 2014 y 3 para el 2015. Revisar.</t>
        </r>
      </text>
    </comment>
    <comment ref="J872" authorId="0">
      <text>
        <r>
          <rPr>
            <b/>
            <sz val="9"/>
            <color indexed="81"/>
            <rFont val="Tahoma"/>
            <family val="2"/>
          </rPr>
          <t>rc:</t>
        </r>
        <r>
          <rPr>
            <sz val="9"/>
            <color indexed="81"/>
            <rFont val="Tahoma"/>
            <family val="2"/>
          </rPr>
          <t xml:space="preserve">
Se ha programado 3 en 2012; 3 en 2014 y 3 para el 2015. Revisar</t>
        </r>
      </text>
    </comment>
    <comment ref="J873" authorId="0">
      <text>
        <r>
          <rPr>
            <b/>
            <sz val="9"/>
            <color indexed="81"/>
            <rFont val="Tahoma"/>
            <family val="2"/>
          </rPr>
          <t>rc:</t>
        </r>
        <r>
          <rPr>
            <sz val="9"/>
            <color indexed="81"/>
            <rFont val="Tahoma"/>
            <family val="2"/>
          </rPr>
          <t xml:space="preserve">
Se ha programado 2 en 2012; 2 en 2014 y 3 para el 2015. Revisar</t>
        </r>
      </text>
    </comment>
    <comment ref="J891" authorId="0">
      <text>
        <r>
          <rPr>
            <b/>
            <sz val="9"/>
            <color indexed="81"/>
            <rFont val="Tahoma"/>
            <family val="2"/>
          </rPr>
          <t>rc:</t>
        </r>
        <r>
          <rPr>
            <sz val="9"/>
            <color indexed="81"/>
            <rFont val="Tahoma"/>
            <family val="2"/>
          </rPr>
          <t xml:space="preserve">
Se ha programado 1 en 2013; 1 en 2014 y 1 para el 2015. Revisar.</t>
        </r>
      </text>
    </comment>
  </commentList>
</comments>
</file>

<file path=xl/sharedStrings.xml><?xml version="1.0" encoding="utf-8"?>
<sst xmlns="http://schemas.openxmlformats.org/spreadsheetml/2006/main" count="6282" uniqueCount="3282">
  <si>
    <t>DEPARTAMENTO DE ARAUCA</t>
  </si>
  <si>
    <t>PLAN DE DESARROLLO "ES HORA DE RESULTADOS 2012 - 2015"</t>
  </si>
  <si>
    <t>FORMATO 1.  PLAN INDICATIVO VIGENCIA 2012 -2015</t>
  </si>
  <si>
    <t xml:space="preserve">DIMENSION </t>
  </si>
  <si>
    <t xml:space="preserve">OBJETIVO ESTRATÉGICO  </t>
  </si>
  <si>
    <t>CODIGO</t>
  </si>
  <si>
    <t>PROGRAMAS</t>
  </si>
  <si>
    <t>SUBPROGRAMAS</t>
  </si>
  <si>
    <t>NOMBRE DEL PROYECTO</t>
  </si>
  <si>
    <t>OBJETIVO DEL PROYECTO</t>
  </si>
  <si>
    <t>META DEL PROYECTO</t>
  </si>
  <si>
    <t>META DE PRODUCTO</t>
  </si>
  <si>
    <t>%</t>
  </si>
  <si>
    <t>INDICADOR DE PRODUCTO</t>
  </si>
  <si>
    <t>VR. INICIAL/ESTADO ACTUAL</t>
  </si>
  <si>
    <t>VR. ESPERADO AL TERMINAR LA VIGENCIA</t>
  </si>
  <si>
    <t>VALOR FINAL DEL INDICADOR PERIODO EVALUADO</t>
  </si>
  <si>
    <t>NIVEL DE CUMPLIMIENTO DE LA META FISICA</t>
  </si>
  <si>
    <t>FUENTES DE FINANCIACION</t>
  </si>
  <si>
    <t>TOTAL APROPIADO</t>
  </si>
  <si>
    <t>TOTAL RECURSOS EJECUTADOS</t>
  </si>
  <si>
    <t>NIVEL DE CUMPLIMIENTO META FINANCIERA</t>
  </si>
  <si>
    <t>RESPONSABLE</t>
  </si>
  <si>
    <t>OBSERVACIONES</t>
  </si>
  <si>
    <t>SECTOR DE COMPETENCIA</t>
  </si>
  <si>
    <t>DEPENDENCIA RESPONSABLE</t>
  </si>
  <si>
    <t>Programado 2014</t>
  </si>
  <si>
    <t>ACTIVIDADES</t>
  </si>
  <si>
    <t xml:space="preserve">INDICADOR DE GESTION  </t>
  </si>
  <si>
    <t>FECHA DE INICIO</t>
  </si>
  <si>
    <t>FECHA TERMINACION</t>
  </si>
  <si>
    <t>VALOR DEL PROYECTO</t>
  </si>
  <si>
    <t>VALOR ASIGNADO PRESUPUESTO</t>
  </si>
  <si>
    <t>ICLD</t>
  </si>
  <si>
    <t>ICDE</t>
  </si>
  <si>
    <t>SGP</t>
  </si>
  <si>
    <t>REGALIAS</t>
  </si>
  <si>
    <t>DEPTALES</t>
  </si>
  <si>
    <t>NACIONALES</t>
  </si>
  <si>
    <t>COFINANCION</t>
  </si>
  <si>
    <t>CREDITOS</t>
  </si>
  <si>
    <t xml:space="preserve">OTROS </t>
  </si>
  <si>
    <t>AMBIENTE NATURAL</t>
  </si>
  <si>
    <t>Lograr la sostenibilidad ambiental alrededor del agua, como factor de desarrollo y seguridad humana</t>
  </si>
  <si>
    <t>Sostenibilidad ambiental</t>
  </si>
  <si>
    <t xml:space="preserve">Gestión ambiental </t>
  </si>
  <si>
    <t>Adquisición de áreas de interés para acueductos municipales y regionales (Ley 1450 de 2011, Art. 210)</t>
  </si>
  <si>
    <t xml:space="preserve">Adquirir areas de interes para acueductos </t>
  </si>
  <si>
    <t>Adquirir un predio</t>
  </si>
  <si>
    <t>Adquirir 2500 has nuevas en áreas de importancia hídrica</t>
  </si>
  <si>
    <t>No. de has de importancia hídrica adquiridas</t>
  </si>
  <si>
    <t>Adquirir un predio de importancia hidrica</t>
  </si>
  <si>
    <t>Predio adquirido</t>
  </si>
  <si>
    <t>Myo de 2014</t>
  </si>
  <si>
    <t>Agosto de 2014</t>
  </si>
  <si>
    <t>X</t>
  </si>
  <si>
    <t>Pedro Reina</t>
  </si>
  <si>
    <t>Ambiental</t>
  </si>
  <si>
    <t>Secretaria de Desarrollo Agropecuario y Sostenible</t>
  </si>
  <si>
    <t>Elaborar el plan de manejo y ordenamiento de tres áreas del sistema departamental de áreas protegidas</t>
  </si>
  <si>
    <t>No. de planes de manejo y ordenamiento elaborados</t>
  </si>
  <si>
    <t>Recuperar y conservar 2000 has del sistema de áreas protegidas(PNN Cocuy)</t>
  </si>
  <si>
    <t>No. de has recuperadas y conservadas dentro del sistema de áreas protegidas</t>
  </si>
  <si>
    <t>Apoyar la implementación de 26 PRAES en los establecimientos educativos del departamento</t>
  </si>
  <si>
    <t>No. de PRAES implementados con apoyo de la Gobernación</t>
  </si>
  <si>
    <t xml:space="preserve">Implementar un (1) programa de educación y de cultura ambiental </t>
  </si>
  <si>
    <t>No. programas de educación y cultura ambiental implementados</t>
  </si>
  <si>
    <t>Formulación del plan de ordenación  y manejo  de la cuenca hidrográfica del río caranal  en el Departamento de Arauca</t>
  </si>
  <si>
    <t>Desarrollar proceos de investigaciion para cubrirl los vacios del conocimiento sobre la problemática de la iordenacion ambiental</t>
  </si>
  <si>
    <t>Formular el plan de ordenamiento del caño Caranal</t>
  </si>
  <si>
    <t>Apoyar la implementación de un (1) plan de ordenación y manejo ambiental de una cuenca hidrográfica</t>
  </si>
  <si>
    <t>No. de planes de ordenación y manejo ambiental implementados con el apoyo de la Gobernación</t>
  </si>
  <si>
    <t>Elaborar Diagnostico y aprestamiento para la fomulacion del plan de manejo ambiental</t>
  </si>
  <si>
    <t>Diagnostico elaborado</t>
  </si>
  <si>
    <t>Noviembre de 2014</t>
  </si>
  <si>
    <t>Noviembre de 2015</t>
  </si>
  <si>
    <t>Anilsa Bravo Chacon</t>
  </si>
  <si>
    <t>Convenio con Corporinoquia; se ejecutara en 2015</t>
  </si>
  <si>
    <t>Formulacion del plan de ordenacion y manejo de una cuenca hidrogafica</t>
  </si>
  <si>
    <t>Plan de ordenacion y manejo formulado</t>
  </si>
  <si>
    <t>Apoyar la implementación de los programas de uso eficiente y ahorro del agua en los siete  (7) municipios</t>
  </si>
  <si>
    <t>No. de programas de uso eficiente y ahorro del agua implementados con el apoyo de la Gobernación</t>
  </si>
  <si>
    <t>Implementación de acciones  de monitoreo y seguimiento de los planes de manejo y vertimientos  del Departamento de Arauca</t>
  </si>
  <si>
    <t>Implemantar acciones de mon itoreo y seguimiento a los planes de manejo y vertimiento</t>
  </si>
  <si>
    <t>Apoyar componenete de seguimiento y evaluacion y monitorero d elos planes de saneamiento y manjejo de vertimiento de los municipios de Tame, Arauquit, Saraven, Arauca y Cravo Norte</t>
  </si>
  <si>
    <t>Apoyar la implementación de los planes de saneamiento y manejo de vertimientos en los siete (7) municipios</t>
  </si>
  <si>
    <t>No. de programas de saneamiento y manejo de vertimientos implementados con el apoyo de la Gobernación</t>
  </si>
  <si>
    <t>Doce  (12) Talleres teorico practico sobre operación mnateniento y control de sistemas de tratamiento de agus residuales</t>
  </si>
  <si>
    <t>talleres Realizadas</t>
  </si>
  <si>
    <t>Octubre de 2014</t>
  </si>
  <si>
    <t>Diciembre de 2014</t>
  </si>
  <si>
    <t>Apoyar la implementación de los planes de gestión integral de residuos sólidos en los siete (7) municipios</t>
  </si>
  <si>
    <t>No. de programas de planes de gestión integral de residuos sólidos apoyados</t>
  </si>
  <si>
    <t>Realizar 10 Analisis INSITU  para aguas residuales</t>
  </si>
  <si>
    <t>No. De analisis realizaddos</t>
  </si>
  <si>
    <t>Realizar  10 Analisis de laboratorio para aguas residuales</t>
  </si>
  <si>
    <t>Apoyar la implementación del sistema de gestión ambiental de la Gobernación de Arauca</t>
  </si>
  <si>
    <t xml:space="preserve">Generar conciencia ambiental en los funcionarios y visitantes  de la Gobernacion </t>
  </si>
  <si>
    <t xml:space="preserve">Implementar el sistema de gestion ambiental </t>
  </si>
  <si>
    <t>Implementar el sistema de Gestión Ambiental de la Gobernación de Arauca</t>
  </si>
  <si>
    <t>No. de Sistema de Gestión ambiental implementados</t>
  </si>
  <si>
    <t>Implementacion de tres (3) estrategias de formacion en gestion ambiental</t>
  </si>
  <si>
    <t>No de estrategias implementadas</t>
  </si>
  <si>
    <t>Implementaciion del porgrama de uso adecuado del agua y manejo de residuos solidos  (3 jornadas)</t>
  </si>
  <si>
    <t>No. De porgramas implementadas</t>
  </si>
  <si>
    <t>Implemetacion de la estrategia IEC (Pendones, mural, agendas y señalizaciion)</t>
  </si>
  <si>
    <t>Estrategia IEC implementada</t>
  </si>
  <si>
    <t>Lograr la sostenibilidad y restauración de la laguna El Lipa previniendo la reducción de su área y la disminución de su biodiversidad</t>
  </si>
  <si>
    <t>Estero El Lipa sostenible y restaurada</t>
  </si>
  <si>
    <t>Apoyar la implementacion de programas de produccion mas limpiay uso eficiente de la energia en el Departamento de Arauca</t>
  </si>
  <si>
    <t>Aplicar las estrategias para general una produccion mas limpia en los procesos productivos</t>
  </si>
  <si>
    <t>Implementar el programa de produccion mas limpia y uso eficiente de la energia</t>
  </si>
  <si>
    <t>Implementar un  (1) programa de producción más limpia y uso eficiente de la energía</t>
  </si>
  <si>
    <t>No. de programas implementados</t>
  </si>
  <si>
    <t>Realizacion de un foro de produccion mas limpia del sector arrocero del departamento de Arauca</t>
  </si>
  <si>
    <t>Foro realizado</t>
  </si>
  <si>
    <t>Proyecto que culmino actividades el 29 de enero de 2015</t>
  </si>
  <si>
    <t>Realizar 5 practicas de campo en produccion mas limpia para Tame, Arauquita, Arauca y Puerto Rondon</t>
  </si>
  <si>
    <t>Practicas realizadas</t>
  </si>
  <si>
    <t>Desarrollo de acciones de restauración ecológica participativa en el costado oriental del PNN cocuy Departamento de Arauca, como estrategia para la regulación del ciclo hídrico en la zona y el aumento de la cobertura vegetal (Interventoria)(Proceso en Curso)</t>
  </si>
  <si>
    <t>Desarrollar acciones de restauracion ecologica en el PNN el Cocuy</t>
  </si>
  <si>
    <t>Interventoria al proceso</t>
  </si>
  <si>
    <t>Establecer  500 has forestales protectoras en ecosistemas naturales</t>
  </si>
  <si>
    <t>No. de has forestales protectoras establecidas</t>
  </si>
  <si>
    <t>Apoyo a la modernización de la cacaocultura Araucana mediante el establecimiento de sistemas agroforestales promisorios y competitivos en el Departamento de Arauca.</t>
  </si>
  <si>
    <t>Incentivar y contribuir al desarrollo tecnico y social del sector rural en el cultivo del cacao</t>
  </si>
  <si>
    <t>Establecer 600 has de cacao para beneficar a 500 productores</t>
  </si>
  <si>
    <t>No de Has forstales protectores establecidas</t>
  </si>
  <si>
    <t>Establecimiento de 600 has de cacao</t>
  </si>
  <si>
    <t>Has de cacao establecidas</t>
  </si>
  <si>
    <t>Diciembre de 2015</t>
  </si>
  <si>
    <t>Alvaro Sepulveda</t>
  </si>
  <si>
    <t>Proyecto suspendido</t>
  </si>
  <si>
    <t>Secretaria de desarrollo agropecuario y sostenible</t>
  </si>
  <si>
    <t xml:space="preserve">Realizar 50 demostraciiones de metodo, 15 escuelas cacaoteras, 10 cursos </t>
  </si>
  <si>
    <t>Actividades realizadas</t>
  </si>
  <si>
    <t>Asistencia tecnica para el formento del cultivo  (11 personas)</t>
  </si>
  <si>
    <t>Asistencia tecnica prestada</t>
  </si>
  <si>
    <t>Apoyar la aplicación de incentivos forestales en 500 has de bosques naturales</t>
  </si>
  <si>
    <t>No. de has con incentivos forestales aplicados</t>
  </si>
  <si>
    <t>Apoyo a la Implementación de un esquema de pagos por servicios ambientales (Ley 1450 de 2011, Art. 210)</t>
  </si>
  <si>
    <t>Diseñar el esquema de pagos por  servicios ambientales para la quebrada la cristalina del municipio de Tame</t>
  </si>
  <si>
    <t>Constar con un esquema de pagos por servicios ambientales</t>
  </si>
  <si>
    <t>Implementar un esquema de pagos por servicios ambientales</t>
  </si>
  <si>
    <t>No. de esquemas de pago por servicios ambientales</t>
  </si>
  <si>
    <t xml:space="preserve">Diseño de un esquema de  pagos por servicios ambientales </t>
  </si>
  <si>
    <t>Esquema diseñado</t>
  </si>
  <si>
    <t>Magda Julieta Gomez</t>
  </si>
  <si>
    <t>No se efectuo el procesos de contratación</t>
  </si>
  <si>
    <t>Apoyo al desarrollo de estrategias de conservación natural de fauna en los municipios de Arauca y Cravo Norte Departamento de Arauca.</t>
  </si>
  <si>
    <t>Apoyar estrategias de conservacion natural de la Fauna de los municipios de Cravo Norte y Arauca</t>
  </si>
  <si>
    <t>Beneficiar a cinco productores con puntillos y bebederos para mejorar las condiciones de la fauna de los municipios de Cravo Norte y Arauca</t>
  </si>
  <si>
    <t>Implementar un 20% del plan departamental de cambio climático</t>
  </si>
  <si>
    <t>Porcentaje del plan implementado</t>
  </si>
  <si>
    <t>Elaboracion de puntillos para  bebederos para ganado y chiguieres que beneficie a 5 productores</t>
  </si>
  <si>
    <t>Puntillos y bebederos contruidos</t>
  </si>
  <si>
    <t>Anilsa Bravo</t>
  </si>
  <si>
    <t>No se elaboro disponibiliad presupuestal</t>
  </si>
  <si>
    <t>TOTAL SUBPROGRAMA</t>
  </si>
  <si>
    <t>Gestión del riesgo de desastres</t>
  </si>
  <si>
    <t>Atención a la población vulnerable por emergencias o desastres en el departamento de Arauca</t>
  </si>
  <si>
    <t>Atendera la poblacion vulnerable con ayudas humanitarias en caso de emerrgais y/o desastres</t>
  </si>
  <si>
    <t>Entregar ayudas humanitarias e instalar un sistema de moniterio para medir niveles sobre el rio caranal</t>
  </si>
  <si>
    <t>Atender el  2% la población vulnerable por situaciones de riesgo y/o emergencia y/o desastre</t>
  </si>
  <si>
    <t>Porcentaje de población vulnerable atendida</t>
  </si>
  <si>
    <t>Compra de ayudas humanitarias, materiales de contrsuccion y sacos poliprolpileno poara la respuesta de emerfgencias</t>
  </si>
  <si>
    <t>Ayudas humanitarias adquiridas</t>
  </si>
  <si>
    <t>Diciembre 01 de 2014</t>
  </si>
  <si>
    <t>Diciembre 29 de 2014</t>
  </si>
  <si>
    <t>Edwar Portillo</t>
  </si>
  <si>
    <t>Contrato 120 de 2014</t>
  </si>
  <si>
    <t>Secretaria de gobierno</t>
  </si>
  <si>
    <t>Coordinar con los municipios la atencion del 100% de las personas afectadas por situaciones de desastres y/o emergencia</t>
  </si>
  <si>
    <t>Porcentaje de población atendida de desastres y/o emergencia</t>
  </si>
  <si>
    <t>Apoyo a la prevención y mitigación del riesgo urbano y rural en el Departamento de Arauca</t>
  </si>
  <si>
    <t>Reforestar el caño gaviotas</t>
  </si>
  <si>
    <t>Diseñar y construir  Diez (10) obras para la prevención y mitigación del riesgo urbano y rural, de conformidad con el plan de gestión del riesgo</t>
  </si>
  <si>
    <t>Numero de obras construidas en relación con el plan de gestión</t>
  </si>
  <si>
    <t>Reforestacion protectora sobre el caño gaviotas</t>
  </si>
  <si>
    <t>rforestacion realizada</t>
  </si>
  <si>
    <t>Dicembre de 2014</t>
  </si>
  <si>
    <t>Proceso en cueso</t>
  </si>
  <si>
    <t>Construcción de obras para la prevención y mitigación del riesgo en el rio caranal, sectores criticos, Municipio de Arauquita, Departamento de Arauca. (Procesos en curso</t>
  </si>
  <si>
    <t>Prevenir el riesgo dedesastre por crecimeinto del rio caranal</t>
  </si>
  <si>
    <t>Canalizar mecanicamente el rio caranal</t>
  </si>
  <si>
    <t>Canalizar mecanicamente el rio caranal sobre la cuenca media</t>
  </si>
  <si>
    <t>Canalizaciionrealizadas</t>
  </si>
  <si>
    <t>Dciembrede 2014</t>
  </si>
  <si>
    <t>En precoes de sesion del contrato para ejecutar 2014</t>
  </si>
  <si>
    <t>Construcción de obras de rehabilitación para evitar inundaciones y control de erosión  en la zona urbana  del Municipio de Arauca, Barrios Ohiti, Porvenir y Primero de enero en el Departamento de Arauca.( Procesos en curso)</t>
  </si>
  <si>
    <t>Prevenir el riesgo de desastre por crecimeinto del rio Arauca</t>
  </si>
  <si>
    <t>Construir protección para evitar inundaciones en el muncipio de Araica</t>
  </si>
  <si>
    <t>Construir proteccion a traves de bolsacretos sobre el barrio primero de enero y colchacretos en la parte inicial del barrio primero de enero y la vereda barrancones</t>
  </si>
  <si>
    <t>Construccion realizada</t>
  </si>
  <si>
    <t>Abril de 2014</t>
  </si>
  <si>
    <t>Convenio con el con Fondo nacional de Desastres</t>
  </si>
  <si>
    <t>Construcción de Obras de protección sobre Rio Casanare en los sitios denominados Caserio y Puente San Salvador en el Municipio de Tame, Departamento de Arauca.</t>
  </si>
  <si>
    <t xml:space="preserve">Prevenir el riesgo de desastre por crecimeinto del rio Casanare en el sector san  salvador </t>
  </si>
  <si>
    <t>Construir obras de proteccion sobre el rio casanare</t>
  </si>
  <si>
    <t>Proteccion del cacerio y del estribo norte del pueste sobre le rio casanare mediante bolsacretos, hexapodos y crucestas en guadua en forma de espolones</t>
  </si>
  <si>
    <t>Proteccione realizadas</t>
  </si>
  <si>
    <t>Junio de 2015</t>
  </si>
  <si>
    <t>Se ejecyuta en 2015</t>
  </si>
  <si>
    <t xml:space="preserve">Adquisición predio para atender población vulnerable por situación de riesgo -Reubicación Escuela Clarinetero, Municipio de Arauca, Departamento de Arauca. </t>
  </si>
  <si>
    <t xml:space="preserve">Adquirir un lote </t>
  </si>
  <si>
    <t>Compra de lote</t>
  </si>
  <si>
    <t>Lote adquirido</t>
  </si>
  <si>
    <t xml:space="preserve">No se ejecuto, el propietario no allego los avaluaos para la compra </t>
  </si>
  <si>
    <t>Construccion de obras de protección sobre rio Casanare en los sitios denominados caserio y Puente San Salvador en el municipio de Tame, Departamento de Arauca</t>
  </si>
  <si>
    <t>Mejorar la movilidad rural del departamento de Arauca</t>
  </si>
  <si>
    <t>Construccion de obras de proetccion en el rio casanare</t>
  </si>
  <si>
    <t>Obras construidas</t>
  </si>
  <si>
    <t>Diciembe de 2015</t>
  </si>
  <si>
    <t>SECRETARIA DE GOBIERNO</t>
  </si>
  <si>
    <t>Dotación de elementos e implementos para el fortalecimiento de los clopads del Departamento. (procesos en curso)</t>
  </si>
  <si>
    <t>Mejoar las condiciones de los CLOPADs del departamento</t>
  </si>
  <si>
    <t>Dotar de equipos a los CLOPADS del departamento</t>
  </si>
  <si>
    <t xml:space="preserve">Dotar y fortalecer el Crepad y los Clopads </t>
  </si>
  <si>
    <t>No. de Clopads y Crepad dotados y fortalecidos</t>
  </si>
  <si>
    <t>Dotacion de equipo de comunicacion CLOPADS (equipos portatiles, equipos base y un repetidor)</t>
  </si>
  <si>
    <t>Equipos de comunicación adquiridos</t>
  </si>
  <si>
    <t>Implementar 1 sistema de monitoreo y alerta temprana en el departamento de Arauca. (Procesos en curso)</t>
  </si>
  <si>
    <t>Implementar un sistema de monitoreo en el rio Arauca</t>
  </si>
  <si>
    <t xml:space="preserve">Implementar 4 sistemas de monitoreo y alertas tempranas </t>
  </si>
  <si>
    <t>No. de sistema de monitoreo y alertas tempranas implementadas</t>
  </si>
  <si>
    <t>Suministro e instalacion de un sistema de medicion de niveles sobre el rio Arauca, en el municipio de Arauquita</t>
  </si>
  <si>
    <t>Sistema de medicion suministrado</t>
  </si>
  <si>
    <t>Mrzo de 2014</t>
  </si>
  <si>
    <t xml:space="preserve">Implementar una estrategia de educación en prevención y atención de emergencias y desastres  </t>
  </si>
  <si>
    <t>No. de estrategias implementadas</t>
  </si>
  <si>
    <t>Apoyar al 50%  (4) de los municipios para la adopción de instrumentos de planificación adecuados para la gestión del cambio climático</t>
  </si>
  <si>
    <t>Numero de Municipios apoyados</t>
  </si>
  <si>
    <t>TOTAL PROGRAMA</t>
  </si>
  <si>
    <t>Total Dimension</t>
  </si>
  <si>
    <t>URBANO REGIONAL</t>
  </si>
  <si>
    <t>Integración Regional, Nacional e Internacional para potenciar la visión geoestratégica del Departamento de Arauca</t>
  </si>
  <si>
    <t>Integración regional</t>
  </si>
  <si>
    <t>Integracion y desarrollo fronterizo</t>
  </si>
  <si>
    <t>Apoyo al diseño de una  estrategia para la importación de combustible  y aplicación de la ley de  fronteras en el Departamento de Arauca</t>
  </si>
  <si>
    <t>Identificar las caracteristicas de la situacion del combustible en el deapramento de Araica</t>
  </si>
  <si>
    <t>Realizar diagnostco de la situacion de ventas de combustible en el departamento</t>
  </si>
  <si>
    <t>Formular e implementar un (1) programa de convivencia y paz en frontera</t>
  </si>
  <si>
    <t>No. de Programas implementados</t>
  </si>
  <si>
    <t>Diagnostico de la situacion de la venta de combustible en el departamento de Arauca (</t>
  </si>
  <si>
    <t>Diagnostico realizado</t>
  </si>
  <si>
    <t xml:space="preserve">Andrea Rangel </t>
  </si>
  <si>
    <t>Promocion del desarrollo</t>
  </si>
  <si>
    <t>Secretaria de Gobierno y Seguridad Ciudadana</t>
  </si>
  <si>
    <t xml:space="preserve">Implementar una (1) estrategia para reconocer la habilitación del puente internacional de fronteras José Antonio Páez </t>
  </si>
  <si>
    <t>Realizacion del censo de vehiculos en el departamento</t>
  </si>
  <si>
    <t>Censo realizado</t>
  </si>
  <si>
    <t>Implementar una (1) estrategia para la importación del combustible</t>
  </si>
  <si>
    <t>Realizacion de un taller de las comisiones  regionales de desarrollo fronterizo e implementacion del CONPES 3805 (31,800 millones)</t>
  </si>
  <si>
    <t>Taller realizado</t>
  </si>
  <si>
    <t>Implementar una (1) estrategia de fortalecimiento de los servicios conexos a migraciones</t>
  </si>
  <si>
    <t>No. de estrategias de implementadas</t>
  </si>
  <si>
    <t>Crear y/o reactivar dos (2) instancias de concertación fronteriza</t>
  </si>
  <si>
    <t xml:space="preserve">No. de instancias de concertación creadas y/ o reactivadas </t>
  </si>
  <si>
    <t>Desarrollo del programa cadenas productivas sostenibles de plan fronteras para la prosperidad, aunar esfuerzos administrativos, técnicos y financieros para la realización de un análisis técnico de factibilidad para el montaje de una unidad de producción (pollos de engorde y huevos) para el mercado local en el departamento de Arauca.</t>
  </si>
  <si>
    <t>Realizar un estudio de factibilidad del sector canoero del municipio de Arauca</t>
  </si>
  <si>
    <t>Apoyar el sector canoero del departamento de Arauca</t>
  </si>
  <si>
    <t>Formular e implementar tres (3) estrategias para la promoción y aplicación de la Ley de Fronteras, de la Política Pública de Fronteras y de los Acuerdos Binacionales</t>
  </si>
  <si>
    <t>No. de estrategias formuladas e implementadas</t>
  </si>
  <si>
    <t>Realizacion de un estudio de factibilidad en el sector canoero del municipio de Arauca</t>
  </si>
  <si>
    <t>Estudio de factibilidad elaborado</t>
  </si>
  <si>
    <t>Convenio con el ministerio de relaciones exteriores</t>
  </si>
  <si>
    <t>Fortalecimiento a programas de apoyo del sector fronterizo en el Departamento de Arauca</t>
  </si>
  <si>
    <t>Identifiacion de los ciudadanos Venezolanos que loborn en el departametno de Araica</t>
  </si>
  <si>
    <t>Elaborar un diagnostico de la fuerza laboral venezolana en Arauca</t>
  </si>
  <si>
    <t>Elaboracion de un diagnostico sobre el impacto economico y social de la fuerza laboral venezolana en el deparmento de Arauca</t>
  </si>
  <si>
    <t xml:space="preserve"> Formulación de  los estudios y diseños del centro nacional de atención fronterizo - CENAF y la terminal de carga para el Departamento de Arauca, en Desarrollo del Plan Fronteras para la prosperidad que lidera el Ministerio de Relaciones Exteriores.</t>
  </si>
  <si>
    <t>Construccion del CENAF</t>
  </si>
  <si>
    <t>Mejorar la infraestrcutura fronmteriza del departamento de Arauc</t>
  </si>
  <si>
    <t>Desarrollar estrategias para la implementación de una (1) plataforma logística para el desarrollo del Comercio Exterior</t>
  </si>
  <si>
    <t>No. de estrategias desarrolladas para la implementación de la plataforma logística</t>
  </si>
  <si>
    <t>Diagnostico e identifiacion de alternativas del CENAF (342 millones)</t>
  </si>
  <si>
    <t xml:space="preserve">Contrato suspendido </t>
  </si>
  <si>
    <t>Elaborar Diseño y estudios definitivos del CENAF (108 millones)</t>
  </si>
  <si>
    <t>Diseños y estudios elaborados</t>
  </si>
  <si>
    <t>Apoyo al desarrollo de campañas para reducir el contrabando de productos que mejore la captación de recursos propios en el departamento de Arauca</t>
  </si>
  <si>
    <t>Disminuar el contrabando en el departamento de Arauca</t>
  </si>
  <si>
    <t>Implementar una campaña que mejore la captacion de recursos propios del departamento de Arauca</t>
  </si>
  <si>
    <t>Implementar una campaña anual para reducir el contrabando de productos</t>
  </si>
  <si>
    <t>No. de campañas implementadas</t>
  </si>
  <si>
    <t>Contrataciion de personal para el programa de anticontrabando (3 tecnicos, 1 auxiliar y 1 profesional)</t>
  </si>
  <si>
    <t>Personal contratado</t>
  </si>
  <si>
    <t>Julio de 2014</t>
  </si>
  <si>
    <t>Mauricio Enrique Lindo Sanchez</t>
  </si>
  <si>
    <t>Secretaria de Hacienda</t>
  </si>
  <si>
    <t>Construcción de región competitiva</t>
  </si>
  <si>
    <t xml:space="preserve">Fomentar tres (3) esquemas de asociación para la integración territorial </t>
  </si>
  <si>
    <t>No. de esquemas de asociación fomentados</t>
  </si>
  <si>
    <t>Fortalecimiento Institucional</t>
  </si>
  <si>
    <t>Secretaria de Planeación Departamental</t>
  </si>
  <si>
    <t>Apoyo a la Implementación del Contrato Plan del Departamento de Arauca</t>
  </si>
  <si>
    <t>Lograr cofinanciar proyectos del contrato plan de arauca</t>
  </si>
  <si>
    <t>Apoyar proyectos del contrato plan de arauca</t>
  </si>
  <si>
    <t>Cofinanciar cuatro (4) proyectos estratégicos en el marco de los esquemas de asociación territorial, acudiendo a mecanismos como los contratos plan, implementación programas integrales de desarrollo rural con enfoque territorial, zonas especiales para la superación de la pobreza y al aprovechamiento del potencial minero energético</t>
  </si>
  <si>
    <t>No. de proyectos estratégicos cofinanciados en el marco de esquemas de asociación territorial</t>
  </si>
  <si>
    <t>Se apoyo la cofinanciacion del proyecto de formacion de capacidades y habilidades en emprendimineto y liderazgo  traves de la aporpiacion de la Ciencia tecnilogia e innovacion mas desarroollo en el departamento de Arauca (1.012.512.606)</t>
  </si>
  <si>
    <t>Proyectos cofinanciados</t>
  </si>
  <si>
    <t>marzo de 2015</t>
  </si>
  <si>
    <t>Pdro Reina</t>
  </si>
  <si>
    <t>Paso en superavit</t>
  </si>
  <si>
    <t>Promover la realización de dos (2) alianzas competitivas regionales</t>
  </si>
  <si>
    <t>No. alianzas competitivas regionales</t>
  </si>
  <si>
    <t>Adoptar e implementar la política de desarrollo local para el departamento y sus municipios, orientada a promover el aprovechamiento de las potencialidades locales, la disminución de la brecha urbano - rural y el fortalecimiento y articulación de la institucionalidad público/privada/comunitaria en las zonas rurales</t>
  </si>
  <si>
    <t>No. de políticas de desarrollo local adoptadas e implementadas</t>
  </si>
  <si>
    <t>Lograr que ocho (8) proyectos de interés departamental tengan cofinanciación de cooperación internacional</t>
  </si>
  <si>
    <t xml:space="preserve">No. de proyectos de interés departamental cofinanciados con recursos cooperación internacional </t>
  </si>
  <si>
    <t>Apoyo a la implementación del plan regional y fortalecimiento de la Comisión Regional de competitividad  del Dpto de Arauca</t>
  </si>
  <si>
    <t xml:space="preserve">Implementar el Plan regional de competitividad </t>
  </si>
  <si>
    <t>Fortalecer la Comision regional de competitividad del departamento de Arauca</t>
  </si>
  <si>
    <t>Apoyar la implementación del plan regional de competitividad</t>
  </si>
  <si>
    <t>Implementación del plan regional de competitividad</t>
  </si>
  <si>
    <t>Asistencia tcnica para la comision regional de competitividad (3 meses)</t>
  </si>
  <si>
    <t>Octubre 1 de 2014</t>
  </si>
  <si>
    <t>Diciembre 30 de 2014</t>
  </si>
  <si>
    <t>Libia karelia Galviz</t>
  </si>
  <si>
    <t>Contrato 328 de 2014</t>
  </si>
  <si>
    <t>Realizacion de cinco (5) talleres para el fortalecimiento de la CRC</t>
  </si>
  <si>
    <t>Talleres realizados</t>
  </si>
  <si>
    <t>Implementar una (1) estrategia de apoyo y transformación para el sector empresarial y productivo que permita aprovechar las oportunidades de los Tratados de Libre Comercio</t>
  </si>
  <si>
    <t>Promoción Del Desarrollo</t>
  </si>
  <si>
    <t>Planeación territorial</t>
  </si>
  <si>
    <t>Ordenamiento del territorio</t>
  </si>
  <si>
    <t>Estudios y diseños para la implementación del observatorio de planificación territorial en el Dpto de Arauca. (Proceso en Curso)</t>
  </si>
  <si>
    <t>Implementar el Observatorio de Planificación Territorial (Consolidación del Sistema de Información Geográfico Departamental y Censo Departamental)</t>
  </si>
  <si>
    <t>Observatorio de Planificación Territorial Implementado</t>
  </si>
  <si>
    <t>Realizar los diseños y estudios del observatoriode planificacon  Territorial</t>
  </si>
  <si>
    <t>Diseños realizados</t>
  </si>
  <si>
    <t>Mayo de 2014</t>
  </si>
  <si>
    <t>Proyecto para apoyar el seguimiento y evaluación de los planes de ordenamiento territorial de los municipios de Cravo norte, Fortul, Rondon y Tame en el Departamento</t>
  </si>
  <si>
    <t xml:space="preserve">Hacer la evaluacion de los planes de ordenamiento territorial </t>
  </si>
  <si>
    <t>Hacer el evaluacion de cuatro planes de ordenamiento territorial</t>
  </si>
  <si>
    <t>Cofinanciar al 100% de los municipios los procesos de actualización catastral, de estudios de amenazas y riesgos, de cartografía y de revisión general de los planes básicos de ordenamiento territorial</t>
  </si>
  <si>
    <t>Porcentaje de municipios con cofinanciación beneficiados</t>
  </si>
  <si>
    <t>Realizar la evaluacion del Plan de ordenamiento de 4 municipios del departamento de Arauca</t>
  </si>
  <si>
    <t>no. deEvaluaciones realizadas</t>
  </si>
  <si>
    <t>marzo de 2014</t>
  </si>
  <si>
    <t>Desarrollar los lineamientos de Ordenamiento Territorial para el aprovechamiento Sostenible de la Región, en el marco de la LOOT</t>
  </si>
  <si>
    <t>Lineamientos de ordenamiento territorial desarrollados</t>
  </si>
  <si>
    <t>Planeación Estratégica y fortalecimiento institucional municipal</t>
  </si>
  <si>
    <t>Formular  y actualizar mínimo once (11) políticas públicas (Empleo, Mujer, Primera infancia, niñez y adolescencia, Juventud, Familia, Indígenas, Afrodescendientes, Participación ciudadana (ajustada al CONPES 3661 de 2010), Minero-Energética, Seguridad Alimentaria y Nutricional, discapacidad, entre otras) y cuatro (4) Planes Estratégicos departamentales (Ciencia, tecnología e innovación, plan departamental de aguas, Plan de movilidad y adaptación al cambio climático, entre otros)</t>
  </si>
  <si>
    <t>No. de políticas públicas y planes formulados y/o actualizados</t>
  </si>
  <si>
    <t>Políticas Publicas: 0
Planes Estratégicos: 1</t>
  </si>
  <si>
    <t>Cofinanciar cinco (5) programas para articulación de políticas de interés nacional</t>
  </si>
  <si>
    <t>No. de programas de articulación de políticas de interés nacional cofinanciados</t>
  </si>
  <si>
    <t>Realización de estudios y diseños para la inversión de proyectos en el Departamento de Arauca</t>
  </si>
  <si>
    <t>Desarrollar los estudios y diseños de los proyectos deinversion del departamento de Arauca</t>
  </si>
  <si>
    <t>Realizar los diseños y estudios de los proyectos de inversion de la gobernación de Arauca</t>
  </si>
  <si>
    <t>Realizar la formulación y evaluación ex ante del 100% de los proyectos de inversión susceptibles de financiar o cofinanciar con los recursos del presupuesto del departamento (Financiación de estudios de pre inversión)</t>
  </si>
  <si>
    <t>Porcentaje de proyectos formulados y evaluados</t>
  </si>
  <si>
    <t>Realizacion de estudios y deisños para 19 proyectos de inversioon de la bogerncion de Arauca</t>
  </si>
  <si>
    <t>estudios y diseños realizados</t>
  </si>
  <si>
    <t>Diciembre de2014</t>
  </si>
  <si>
    <t>Pedro reina</t>
  </si>
  <si>
    <t>Realizar seguimiento y evaluación al 100% de las políticas formuladas</t>
  </si>
  <si>
    <t>Porcentaje de políticas formuladas con seguimiento y evaluación</t>
  </si>
  <si>
    <t>Apoyo a los procesos de Seguimiento y Evaluación de los Planes de Desarrollo Municipales y del departamento de Arauca</t>
  </si>
  <si>
    <t xml:space="preserve">Apoyar  alas administraciones municipales y departamental en el proceso de evaluacion y seguimiento de los PDD </t>
  </si>
  <si>
    <t>Realizar seguimiento y evaluacioin de los PDM y departamental de Arauca</t>
  </si>
  <si>
    <t xml:space="preserve">Definir e implementar un esquema de monitoreo, seguimiento y evaluación al cumplimiento física y financiera del 80% como mínimo de las metas de producto y de resultado del plan de desarrollo departamental </t>
  </si>
  <si>
    <t>Porcentaje de cumplimiento de las metas</t>
  </si>
  <si>
    <t>Ajuste de herramientas de seguimineto y evaluacion</t>
  </si>
  <si>
    <t>Herramientas ajustadas</t>
  </si>
  <si>
    <t>Abril de 2015</t>
  </si>
  <si>
    <t>Libia Karelia Galviz</t>
  </si>
  <si>
    <t>Evalacion y seguimiento de 8 Planes de desarrollo (7 municipales y 1 departamental)</t>
  </si>
  <si>
    <t>Planes de desarrollo con seguimiento y evaluacion realizadas</t>
  </si>
  <si>
    <t>Implementar un programa de fortalecimiento de las capacidades institucionales para mejorar el desempeño municipal, que incluya los procesos de focalización del gasto social, planeación socioeconómica, ambiental y territorial, finanzas públicas, formulación de proyectos, control interno, gobierno en línea, contratación, gestión documental, entre otros</t>
  </si>
  <si>
    <t>No. municipios asistidos</t>
  </si>
  <si>
    <t xml:space="preserve">Realizar anualmente evaluaciones al desempeño de los 7 municipios del Departamento </t>
  </si>
  <si>
    <t>Número de evaluaciones al desempeño municipal realizadas anualmente</t>
  </si>
  <si>
    <t>Orientar la formulación, implementación y hacer seguimiento al 100% de los programas de saneamiento fiscal y financiero adoptados por los municipios que incumplan la Ley 617 de 2000.</t>
  </si>
  <si>
    <t>Porcentaje de Programas de saneamiento fiscal y financiero municipal orientados</t>
  </si>
  <si>
    <t>Total Programa</t>
  </si>
  <si>
    <t>Infraestructura para el desarrollo</t>
  </si>
  <si>
    <t>Infraestructura de transporte</t>
  </si>
  <si>
    <t>Construcción, mejoramiento y/o rehabilitación de las vías contempladas en el Plan Vial Regional del Departamento de Arauca</t>
  </si>
  <si>
    <t>Mejorar la conectividad vial del departamento de Arauca</t>
  </si>
  <si>
    <t>Construir la via Fortul la Esmeralda</t>
  </si>
  <si>
    <t>Mejorar y/o rehabilitar 120 kilómetros de red de carreteras principales y de las contempladas en el Plan Vial Regional</t>
  </si>
  <si>
    <t>No, de Km de vias mejoradas y/o rehabilitadas</t>
  </si>
  <si>
    <t>Contruccion de la via fortul la esmeralda ($1.955.516.618)</t>
  </si>
  <si>
    <t>Via construida</t>
  </si>
  <si>
    <t>Marzo de 2014</t>
  </si>
  <si>
    <t>Luis Alberto Melo</t>
  </si>
  <si>
    <t>El monto total es de $13.036.777.4448 VF 2015)</t>
  </si>
  <si>
    <t>Transporte</t>
  </si>
  <si>
    <t>Secretaria de Infraestructura Física</t>
  </si>
  <si>
    <t>Proyecto de conectividad regional para el mejoramiento y mantenimiento de las vias Cravo Norte- Arauca, Rondon-Tame, Corocoro-Arauca, en el departamento de Arauca.(Proceso en Curso)</t>
  </si>
  <si>
    <t>Pavimentar tres (3) kilometros</t>
  </si>
  <si>
    <t>Pavimentacion de tres (3) kilometros</t>
  </si>
  <si>
    <t>Km de vias pavimentada</t>
  </si>
  <si>
    <t>Esta en proceso precontracutal, la procuraduria ha hecho observaciones y por tal motivo no ha sido cntratado</t>
  </si>
  <si>
    <t>Mejoramiento y rehabilitación de la vía Tame- Puerto Rondón  en el Departamento de Arauca. (Proceso en Curso)</t>
  </si>
  <si>
    <t>Pavimentar 4,2 Km de vias en el municipio de Puerto Rondon</t>
  </si>
  <si>
    <t>Pavimentacion de 4,2 kilometros</t>
  </si>
  <si>
    <t>Febrero 28 de 2014</t>
  </si>
  <si>
    <t>Suspendido para finalizar en 2015</t>
  </si>
  <si>
    <t>Mejoramiento y pavimentación de la via Panama de Arauca-Aguachica- La Esmeralda (Arauquita), Dpto de Arauca. Enmarcado en el contrato plan Arauca. (Proceso en Curso)</t>
  </si>
  <si>
    <t>Pavimentar 7 Km de vias en el sector Panama de Arauca-La esmeralda en el municipio de Arauquita</t>
  </si>
  <si>
    <t>Pavimentacon de 7 km de vias</t>
  </si>
  <si>
    <t>Noviembe 5 de 2014</t>
  </si>
  <si>
    <t>Julio 4 de 2015</t>
  </si>
  <si>
    <t>VF: Valor $9.920.559.990</t>
  </si>
  <si>
    <t>Mejoramiento y mantenimiento via Cravo Norte Sector Agua Linda - Botijon Municipio de Cravo Norte Departamento de Arauca</t>
  </si>
  <si>
    <t>Levantar 11 Km de terraplen en el municipio de Cravo Norte</t>
  </si>
  <si>
    <t xml:space="preserve">Obra ($1.071.900.000) e interventoria ($53.900.000); Levatamiento de 11 Km de terraplen </t>
  </si>
  <si>
    <t>Km de terraplen construidos</t>
  </si>
  <si>
    <t>Octubre 31 de 2014</t>
  </si>
  <si>
    <t>Junio 29 de 2015</t>
  </si>
  <si>
    <t>Convenio conel Municipio de Cravo Norte por$ 7.505.000.000. VF</t>
  </si>
  <si>
    <t>Construcción, mejoramiento, rehabilitación y/o mantenimiento de la red vial urbana en el municipio de fortul.</t>
  </si>
  <si>
    <t>Pavimentar 660,78 ml  de vias urbanas en el municipio de Fortul</t>
  </si>
  <si>
    <t>Pavimentacion de 660, 78 ml de vias</t>
  </si>
  <si>
    <t>Diciembre 31 de 2014</t>
  </si>
  <si>
    <t>Abril 29 de 2015</t>
  </si>
  <si>
    <t>Mejoramiento y mantenimiento de la carretera Cravo Norte  - Corocoro, Sector Agua Linda - La Antena, en el departamento de Arauca</t>
  </si>
  <si>
    <t>Mejorar la movilidad vial del munipio de Cravo Norte</t>
  </si>
  <si>
    <t>Pavimentar 8,5 Km de vias</t>
  </si>
  <si>
    <t>Pavimentacion de 8,5 km de via</t>
  </si>
  <si>
    <t>Km de via erminado</t>
  </si>
  <si>
    <t>Diciembe 31 de 2014</t>
  </si>
  <si>
    <t>Agosto 30 de 2015</t>
  </si>
  <si>
    <t>Acuerdo 03 de 2014</t>
  </si>
  <si>
    <t>SECRETARIA DE INFRAESTRUCTURA FISICA</t>
  </si>
  <si>
    <t>Construcción del pavimento de la calle 20 entre la carrera 23 y calle 11, Carrera 26 entre calle 20 y la avenida Incora del municipio de Saravena, Departamento de Arauca</t>
  </si>
  <si>
    <t>Mejorar la movilidad vial del munipio de Saravena</t>
  </si>
  <si>
    <t>Pavimentar vias urbanas del municipio de Saravena</t>
  </si>
  <si>
    <t>Ml de pavimento urbano</t>
  </si>
  <si>
    <t>Marzo de 2015</t>
  </si>
  <si>
    <t>Acuerdo 04 de 2014</t>
  </si>
  <si>
    <t>Mejoramiento y mantenimiento de la carretera Cravo Norte - Corocoro, Sector Agua Linda - La antena, en el departamento de Arauca.</t>
  </si>
  <si>
    <t>Mantenimiento a 11 Km de vias rurales</t>
  </si>
  <si>
    <t>Vias con mantenimiento realizado</t>
  </si>
  <si>
    <t>Gestionar ante el gobierno nacional  asignación de recursos para la cosntrucciòn de  tres (3) corredores viales nacionales que cumplan las normas tècnicas</t>
  </si>
  <si>
    <t>No. de proyectos de corredores viales nacionales en desarrollo</t>
  </si>
  <si>
    <t>Gestionar tres (3) proyectos de conectividad vial en el marco de la iniciativa IIRSA</t>
  </si>
  <si>
    <t>No. de proyectos de conectividad vial IIRSA</t>
  </si>
  <si>
    <t>Realizar mantenimiento a 200 kilómetros de vías principales por año</t>
  </si>
  <si>
    <t>No. de Km. de vía mantenida por año</t>
  </si>
  <si>
    <t>Construcción y mejoramiento de puentes que mejoren la integración regional en el Departamento de Arauca</t>
  </si>
  <si>
    <t xml:space="preserve">Contruir un puente que mejore la conectividad </t>
  </si>
  <si>
    <t>Construir  y/o terminar como  minimo cinco (5) puentes que mejoren la integración</t>
  </si>
  <si>
    <t xml:space="preserve">No. de puentes construidos y/o terminados </t>
  </si>
  <si>
    <t xml:space="preserve">Contruir un puente </t>
  </si>
  <si>
    <t>Puente Construido</t>
  </si>
  <si>
    <t>Construcción Puente Rio Tame sobre la vía Tame- San Salvador, Municipio de Tame, Departamento de Arauca</t>
  </si>
  <si>
    <t>Contruir un puente</t>
  </si>
  <si>
    <t xml:space="preserve">Construccion de un puente de 150 Ml sobre el rio Tame </t>
  </si>
  <si>
    <t>Abril 25 d 2013</t>
  </si>
  <si>
    <t>Junio 17 de 2015</t>
  </si>
  <si>
    <t>Tuvo adicional de valor $6.323.163.882,62 y plazo de 131 dias</t>
  </si>
  <si>
    <t>Construción, mejoramiento, rehabilitación y/o mantenimiento de la red vial urbana contemplada en el Plan Vial Regional</t>
  </si>
  <si>
    <t>Pavimentacion 4,5km de vias urbanas</t>
  </si>
  <si>
    <t>Pavimentar y/o mejorar diez (10) kilómetros de vías urbanas</t>
  </si>
  <si>
    <t>No. Km. de vías urbanas pavimentadas y/o mejoradas</t>
  </si>
  <si>
    <t>Enero de2014</t>
  </si>
  <si>
    <t>Junio de 2014</t>
  </si>
  <si>
    <t>Construción, mejoramiento, rehabilitación y/o mantenimiento de la red vial urbana del Municipio de Cravo Norte  del Departamento de Arauca</t>
  </si>
  <si>
    <t>Pavimentacion 1,5km de vias urbanas</t>
  </si>
  <si>
    <t>Mayo 27 de 2015</t>
  </si>
  <si>
    <t>Convenio con el municipio de Cravo Norte ($4.005.000.000), Tuvo adicion de plazo de 3 meses</t>
  </si>
  <si>
    <t xml:space="preserve">Construccion mejoramiento, rehabilitacion y/o mantenimiento de la red vial urbanade los municipios de Puerto Rondon y Saravena </t>
  </si>
  <si>
    <t>Pavimentacion 1,3km de vias urbanas</t>
  </si>
  <si>
    <t>Diciemrbre de 2014</t>
  </si>
  <si>
    <t>Contrato formado inicia actividades en 2015</t>
  </si>
  <si>
    <t>Mejoramiento y  rehabilitacion de vias urbanas mediante pavimento rigido en el Barrio Union del Municipio de Arauca, Departamento de Arauca</t>
  </si>
  <si>
    <t>NO SE LLEVO A PROCESO CONTRACTUAL</t>
  </si>
  <si>
    <t>Mejoramiento de la via monumento al coleo aeropuerto Santiago Perez Quiroz en el Municipio de Arauca, Departamento de Arauca</t>
  </si>
  <si>
    <t>Pavimentacion de un (1) Km en via doble calzada</t>
  </si>
  <si>
    <t>septiembre 30 de 2013</t>
  </si>
  <si>
    <t>Octubre 7 de 2014</t>
  </si>
  <si>
    <t>Contrato 380 de 2013</t>
  </si>
  <si>
    <t>Construcción de la via doble calzada desde la calle 13 con cra 16 a la calle  1A Rompoint del monumento el coleo brigada  18 municipio de  Arauca, Departamento de  Arauca</t>
  </si>
  <si>
    <t>Pavimentacion de 1,31 km en via doble calzada</t>
  </si>
  <si>
    <t>Septiembre 29 de 2015</t>
  </si>
  <si>
    <t>VF</t>
  </si>
  <si>
    <t>Pavimentación de vías urbanas, Municipio de Arauquita, Departamento de Arauca.</t>
  </si>
  <si>
    <t xml:space="preserve">Pavimentacion de 327 ML en via </t>
  </si>
  <si>
    <t>Construcción del pavimento de la Cra  3 entre  CLL 3 Y 4, CLL 4  entre  CRA 3 Y 5  Y CRA 5 entre CLL 4 Y 5 del Barrio el Centro Y CLL 4 entre CRA 8 Y 9  Y CRA 9 entre CLL 3 Y 4 del  Barrio el Estero del Municipio de Cravo Norte, Dpto de Arauca.</t>
  </si>
  <si>
    <t>Pavimentar vias urbanas del municipio de Cravo Norte</t>
  </si>
  <si>
    <t>Julio de 2015</t>
  </si>
  <si>
    <t>Acuerdo  05 de 2014</t>
  </si>
  <si>
    <t>MUNICIPIO DE CRAVO NORTE</t>
  </si>
  <si>
    <t>Adquisicion de un  predio para la construccion del terminal de transporte terrestre en el municipio de Saravena, Departamento de Arauca</t>
  </si>
  <si>
    <t>Adquirir un terreno</t>
  </si>
  <si>
    <t>Construir un (1) terminal de transporte</t>
  </si>
  <si>
    <t>No. de terminales construidos</t>
  </si>
  <si>
    <t>Compra de un terreno</t>
  </si>
  <si>
    <t>Terreno adquirido</t>
  </si>
  <si>
    <t>Andrea (FORNTERAS)</t>
  </si>
  <si>
    <t>Apoyar la construcción de un (1) terminal de carga y/o transporte intermodal</t>
  </si>
  <si>
    <t>No. de terminales de carga construidos</t>
  </si>
  <si>
    <t>Mejorar la capacidad operativa de un (1) aeropuerto</t>
  </si>
  <si>
    <t xml:space="preserve">No. de aeropuertos con capacidad operativo mejorados </t>
  </si>
  <si>
    <t>Desarrollo energético y  minero</t>
  </si>
  <si>
    <t>Adecuación y amplliación de la subestación electrica del Municipio de Fortul en el Departamento  de Arauca</t>
  </si>
  <si>
    <t>Contracreditado</t>
  </si>
  <si>
    <t>Aumentar en 6 MVA la carga instalada del sistema</t>
  </si>
  <si>
    <t>Potencia aumentada en MVA</t>
  </si>
  <si>
    <t>contracreditado por la asamblea departametntal</t>
  </si>
  <si>
    <t>Servicios Públicos Diferentes A Acueducto Alcantarillado Y Aseo (Sin Incluir Proyectos De Vivienda De Interés Social)</t>
  </si>
  <si>
    <t>Identificar la factibilidad de mìnimo  1 (un) proyecto de generación de energía en el departamento de Arauca</t>
  </si>
  <si>
    <t>Proyecto de generación de energía identificado</t>
  </si>
  <si>
    <t>Implementar 3 proyectos para el fortalecimiento del sistema de distribución local en condiciones de contingencia</t>
  </si>
  <si>
    <t>Proyectos implementados en el sistema de distribución local</t>
  </si>
  <si>
    <t>Construcción alimentador 34.5 KV Subestación playitas-Hospital  San Vicente Municipio de Arauca, Departamento de Arauca</t>
  </si>
  <si>
    <t>Proveeer de manera eficiente un nivel de tension de 34,5  KV la energia demandada por la nueva torres del hospital San Vicente de Arauca</t>
  </si>
  <si>
    <t>Contruir alimentador de la subestacion Playitas Hospital San Vicente de Arauca</t>
  </si>
  <si>
    <t>Construir y/o mantener 150 km de líneas de transmisión y subtransmision de energía</t>
  </si>
  <si>
    <t>Km. de líneas de subtransmisión construidas y/o mantenidas</t>
  </si>
  <si>
    <t xml:space="preserve">Contruir 3,94 Km  de linea de subtransmision </t>
  </si>
  <si>
    <t>Kilomeetros de linea de subtransmision construidas</t>
  </si>
  <si>
    <t>Enero de 2015</t>
  </si>
  <si>
    <t>Leonardo Cespedes</t>
  </si>
  <si>
    <t>Acuerdo 05 de 2014, se ejecutara en 2015</t>
  </si>
  <si>
    <t>ENELAR</t>
  </si>
  <si>
    <t>Cofinanciar la construcción como mìnimo de  35 km de redes de sistemas de transporte y/o distribución de gas</t>
  </si>
  <si>
    <t xml:space="preserve">Kilómetros de gasoducto construidos </t>
  </si>
  <si>
    <t>Terminar los diseños y la etapa de pre inversión del plan de masificación del gas natural domiciliario del Departamento</t>
  </si>
  <si>
    <t>Porcentaje del plan de gas formulado en su etapa de pre inversión</t>
  </si>
  <si>
    <t>Estudios y Diseños de estrategias para el control de la  mineria ilegal en los municipios del Departamento de Arauca</t>
  </si>
  <si>
    <t>Apoyar el control de   la minería ilegal en el 100% de los municipios del Departamento de Arauca</t>
  </si>
  <si>
    <t xml:space="preserve">Porcentaje de municipios con control de minería ilegal </t>
  </si>
  <si>
    <t>Total Dimensión</t>
  </si>
  <si>
    <t>SOCIO CULTURAL</t>
  </si>
  <si>
    <t>Creación de Condiciones de Igualdad de Oportunidades, Identidad e inclusión social Para La Prosperidad Social</t>
  </si>
  <si>
    <t>Salud con Igualdad</t>
  </si>
  <si>
    <t>Aseguramiento</t>
  </si>
  <si>
    <t xml:space="preserve">Afiliar al 100% (19.021) de las personas de la población no asegurada del departamento </t>
  </si>
  <si>
    <t>Porcentaje de personas de la población no asegurada afiliada al SGSSS</t>
  </si>
  <si>
    <t>Salud</t>
  </si>
  <si>
    <t>UAESA</t>
  </si>
  <si>
    <t>Garantizar la continuidad del 93.86% de la cobertura (176.355 afiliados)</t>
  </si>
  <si>
    <t>Porcentaje de cobertura de continuidad de régimen subsidiado</t>
  </si>
  <si>
    <t>Prestación y desarrollo de servicios de salud</t>
  </si>
  <si>
    <t xml:space="preserve">Garantizar la atención de los servicios de salud al 100% de la población elegible </t>
  </si>
  <si>
    <t>Porcentaje población elegible atendida</t>
  </si>
  <si>
    <t>Apoyo a la prestacion de los servicios de salud en lo no cubierto por el poss a la poblacion pobre afiliada al regimen subsidiado del departamento de Arauca.</t>
  </si>
  <si>
    <t xml:space="preserve">Garantizar el servicio de salud en lo no cubierto a la poblacion pobre </t>
  </si>
  <si>
    <t>Atender ei 100% de los eventos de salud</t>
  </si>
  <si>
    <t>Atender el 100% de los eventos de salud en la población pobre en lo no cubiertos con subsidio a la demanda</t>
  </si>
  <si>
    <t>Porcentaje de población pobre no cubierta con subsidio a la demanda atendida</t>
  </si>
  <si>
    <t>Prestcion de servicio de salud al 100% en lo no cubierto para la poblacion pobre afiliada</t>
  </si>
  <si>
    <t>Servicio prestado</t>
  </si>
  <si>
    <t>Enero de 2014</t>
  </si>
  <si>
    <t>Diciembe de 2014</t>
  </si>
  <si>
    <t>Apoyo a las acciones operativas del sistema general de seguridad social en salud de la red prestadora de servicios en el Departamento de Arauca</t>
  </si>
  <si>
    <t>Gestionar el 100% de las solicitudes de atención médica de la prestación de los servicios de salud en todos los niveles de complejidad a la población elegible  incluyendo  todos los grupos poblacionales con con enfoque diferencial.</t>
  </si>
  <si>
    <t xml:space="preserve">Porcentaje de solicitudes de atención medica de la prestación de servicios de salud a población elegible gestionadas </t>
  </si>
  <si>
    <t xml:space="preserve">Gestionar el 100% de las solicitudes de atención médica de la prestación de los servicios de salud en todos los niveles de complejidad en lo no cubierto con subsidio a la demanda,incluyendo  todos los grupos poblacionales con enfoque diferencial </t>
  </si>
  <si>
    <t>Porcentaje de solicitudes de la atención medica de la prestación de servicios de salud en lo no cubierto con subsidio a la demanda gestionadas</t>
  </si>
  <si>
    <t xml:space="preserve">Fortalecer en un 100% las atenciones de salud de alta complejidad con  especialistas </t>
  </si>
  <si>
    <t>Porcentaje de atenciones en salud por especialistas de alta complejidad</t>
  </si>
  <si>
    <t>Fortalecimiento para la prestación de servicios de mediana y alta complejidad de la red pública mediante la adecución y dotación de la central de mezclas de la .E.S.E  Hospital San Vicente de Arauca</t>
  </si>
  <si>
    <t>Mejorar la infraestructuar de una central del mezlcas del hospital San viente de Arauca</t>
  </si>
  <si>
    <t xml:space="preserve">Implementar en 100% el servicio de alta complejidad mediante  </t>
  </si>
  <si>
    <t>Implementar en 100% el servicio de alta complejidad mediante la terminación y dotación de la infraestructura física, científica, tecnológica y operativa del Hospital San Vicente de Arauca</t>
  </si>
  <si>
    <t>Porcentaje de servicio de Alta complejidad implementado</t>
  </si>
  <si>
    <t>Construccion de infraestructura para el funcionamiento de la central de mezclas y farmacia del hospital San Vicente de Arauca</t>
  </si>
  <si>
    <t>Infraestructura construida</t>
  </si>
  <si>
    <t>junio de 2015</t>
  </si>
  <si>
    <t>Stella Acevedo Camacho</t>
  </si>
  <si>
    <t>Se ejecutara en 2015</t>
  </si>
  <si>
    <t>Construcción de un puesto de salud para el fortalecimiento de la prestación de servicios de baja complejidad en el Municipio de Arauca, Depto de Arauca.</t>
  </si>
  <si>
    <t>Ampliacion de la insfraestructura de baja complejidad de la ese Jaime Alvarado y castilla para la ampliacion de la oportunidad y el acceso a los servicios de salud de su area de influencia</t>
  </si>
  <si>
    <t>Mejorar en un 80% la infraestructura de baja complejidad (hospitales de primer nivel, puestos y centros de salud)</t>
  </si>
  <si>
    <t xml:space="preserve">Mejorar en un 80% la infraestructura hospitalaria de baja complejidad (hospitales de I nivel y puestos-centros de salud) </t>
  </si>
  <si>
    <t>Porcentaje de infraestructura hospitalaria de baja complejidad</t>
  </si>
  <si>
    <t>Constrcuciion de unainfraestructura fisica de baja complejidad (consultorios medicos, de enfermeria y odontologia, auditorio, salas de espera, etc)</t>
  </si>
  <si>
    <t>Stella Acevedo</t>
  </si>
  <si>
    <t>Fortalecimiento tecnologico de la red publica de baja complejidad mediante la dotación de dispositivos médicos y una unidad medico-odontologica para la ESE Jaime Alvarado y Castilla del municpio de Arauca, Departamento de Arauca.</t>
  </si>
  <si>
    <t>Dotacion de la nueva infraestructura de baja compeljidad de la ese alvarado y castillo</t>
  </si>
  <si>
    <t>Mejorar en un 80% la infarestructura de baja complejidad</t>
  </si>
  <si>
    <t>Adquisicion de una unidad medico odotologica y mobiliario para la infraestructura</t>
  </si>
  <si>
    <t>Unidad medico odontológico adquirido</t>
  </si>
  <si>
    <t>Stella Acevedo camacho</t>
  </si>
  <si>
    <t>Mejoramiento de la infraestructura física de la red pública hospitalaria y salud pública del Departamento de Arauca.</t>
  </si>
  <si>
    <t xml:space="preserve">Mejorar la insfraestructura de laboratorio de salud publica </t>
  </si>
  <si>
    <t>Adecuacion de laboratorio de salud publica firnterizo,(cielorasos y luminarias)</t>
  </si>
  <si>
    <t>Laboratorio de salud adecuado</t>
  </si>
  <si>
    <t>Construcción y mejoramiento centros de salud área rural del municipio de Saravena departamento de Arauca</t>
  </si>
  <si>
    <t>Mejorar la infraestructura hospitalaria del departamento de Arauca</t>
  </si>
  <si>
    <t>Contruir centros de salud en la zona rural del municipio de Saravena</t>
  </si>
  <si>
    <t xml:space="preserve">Contrduccion de un puesto de salud rural </t>
  </si>
  <si>
    <t>Puesto de salud construido</t>
  </si>
  <si>
    <t>Acuerdo 05 de 2014</t>
  </si>
  <si>
    <t>HOSPITAL DEL SARARE ESE</t>
  </si>
  <si>
    <t>Gestionar amte el Gobierno nacional la construcciòn y/o adecuaciòn de un (1) centro de rehabilitaciòn de consumidores de sustancias psicoactivas  en el Departamento de Arauca</t>
  </si>
  <si>
    <t>Centro de rehabilitaciòn  gestionado y construido</t>
  </si>
  <si>
    <t>Adquisicion de equipos médicos para el mejoramiento de la prestación del servicio de salud en el Hospital San Vicente del Departamento de Arauca</t>
  </si>
  <si>
    <t>Mejorar la prestacion del servicio de salud en el Hospital San Vicente de Arauca</t>
  </si>
  <si>
    <t>Adquirir equipos medicos para el hospital san Vicente de Arauca</t>
  </si>
  <si>
    <t xml:space="preserve">Mejorar en un 45% la prestación del servicio hospitalario mediante la dotación de equipos y mobiliario de la red pública Hospitalaria  del Departamento </t>
  </si>
  <si>
    <t>Porcentaje de prestación del servicio hospitalario mejorado</t>
  </si>
  <si>
    <t>Equipos adquiridos</t>
  </si>
  <si>
    <t>Promover los servicios de telemedicina en dos (2) prestadores de servicios de la red publica</t>
  </si>
  <si>
    <t>No. De prestadores con servicios de telemedicina</t>
  </si>
  <si>
    <t>Fortalecimiento de la accesibilidad a los servicios de salud de mayor complejidad a través de la adquisición de ambulancias para la red pública hospitalaria</t>
  </si>
  <si>
    <t>Mejorar la accesibilidad a los servicios de salud de mayor compeljidad</t>
  </si>
  <si>
    <t>Adquirir una ambulancia</t>
  </si>
  <si>
    <t>Mejorar en 50% la prestación de los servicios con la adquisición de transporte medicalizado para la red prestadora de servicios</t>
  </si>
  <si>
    <t>Porcentaje de unidades de transporte medicalizado para la red prestadora de servicios del departamento</t>
  </si>
  <si>
    <t xml:space="preserve">Adquisicion de una (1) ambulancia </t>
  </si>
  <si>
    <t>No. De ambulancias adquiridas</t>
  </si>
  <si>
    <t>Apoyar el tribunal de etica medica del departamento de Arauca</t>
  </si>
  <si>
    <t xml:space="preserve">Apoyar el tribunal de etica medica del departamento de Arauca con recursos </t>
  </si>
  <si>
    <t>Fortalecimiento de las acciones de inspección, vigilancia y control para garantizar la habilitación de servicios de la red prestadora de salud en el Departamento de Arauca</t>
  </si>
  <si>
    <t>Realizar ispeccion vigilacioy contrl y visitas de verificacion a los prestadores del servicio de salud de departamento</t>
  </si>
  <si>
    <t xml:space="preserve">Realizar 60 visitas </t>
  </si>
  <si>
    <t>Realizar visitas de verificación  al 50% (81/162) de los prestadores de servicios de salud habilitados en el primer año de la vigencia y en un 75% anualmente</t>
  </si>
  <si>
    <t>Porcentaje de prestadores de servicios de salud con visitas de verificación realizadas</t>
  </si>
  <si>
    <t>Contratacion de personal (10)</t>
  </si>
  <si>
    <t>Enero 24 de 2014</t>
  </si>
  <si>
    <t>Andrea Paola Perea</t>
  </si>
  <si>
    <t>75% (121)</t>
  </si>
  <si>
    <t>Fortalecimiento de las acciones de IVC para garantizar la verificacion de los servicios de salud de la red prestadora  de servicios en el Departamento de Arauca.</t>
  </si>
  <si>
    <t xml:space="preserve">Realizar 114 visitas </t>
  </si>
  <si>
    <t>Contratacion de personal (10) y servicio de transporte (camioneta) utilies de oficina y papeleria</t>
  </si>
  <si>
    <t>Personal contrataado</t>
  </si>
  <si>
    <t>Junio 24 de 2014</t>
  </si>
  <si>
    <t>Marzo 23 de 2015</t>
  </si>
  <si>
    <t xml:space="preserve">Actualizar el documento de redes integrales de prestación de servicios de salud del departamento de Arauca </t>
  </si>
  <si>
    <t>Documento actualizado de las redes integrales de prestación de servicios de salud</t>
  </si>
  <si>
    <t>Salud pública, atención primaria en salud y promoción y prevención</t>
  </si>
  <si>
    <t>Fortalecimiento a las acciones del PAI  para la prevencion de enfermedades inmunoprevenibles en el Departamento de Arauca</t>
  </si>
  <si>
    <t>Logro de las caobertura utiles en vacunacion y disminuri las enfermedades inmunoprevalentes en el  departamento de arauca</t>
  </si>
  <si>
    <t xml:space="preserve">Lograr el 95% de coberturas de vacunación en los menores de 1 año con todos los biológicos del Programa Ampliado de Inmunizaciones del Departamento de Arauca. </t>
  </si>
  <si>
    <t>Lograr cobertura de vacunación (esquema regular) del 95% de los niñ@s menores de un año del departamento de Arauca</t>
  </si>
  <si>
    <t>Porcentaje de cobertura de vacunación menor de un año</t>
  </si>
  <si>
    <t>Adquisicion de cinco equipos de computo, 2 discos duros, y 4 usb</t>
  </si>
  <si>
    <t>Febrero de 2015</t>
  </si>
  <si>
    <t>Yunived Castro Henao</t>
  </si>
  <si>
    <t>Proyecto con Vigencia futura Ordenanza 006E de 2014</t>
  </si>
  <si>
    <t xml:space="preserve">Lograr cobertura de vacunación (FA y TV) del 95% de los niñ@s de un año </t>
  </si>
  <si>
    <t>Porcentaje de cobertura de vacunación de un año</t>
  </si>
  <si>
    <t>Adquisicion de dos refrigeradores para conservacion de vacunas, un traje para ingreso al cuarto frio, termometros digitales hospitalarios</t>
  </si>
  <si>
    <t>Eementos adquiridos</t>
  </si>
  <si>
    <t>Lograr cobertura de vacunación del 95% de los niñ@s de cinco años con todos los biológicos de refuerzo (VOP, DPT, TV)</t>
  </si>
  <si>
    <t>Porcentaje de cobertura de vacunación de cinco años</t>
  </si>
  <si>
    <t>Contratacion de un profesional y siete auxiliares de enfermeria (vacunadores)</t>
  </si>
  <si>
    <t>Transporte de biologicos a seis municipios del departamento de arauca</t>
  </si>
  <si>
    <t>Transporte realizado</t>
  </si>
  <si>
    <t>Contratacion de dos profesionales de enfermeria,un tecnico de sistemas y un auxiliar de enfermeria para el manejo de la red de frio</t>
  </si>
  <si>
    <t>Implementación de acciones de mediana y alta complejidad en salud para la reducción de la morbilidad y la mortalidad en la población del Departamento de Arauca</t>
  </si>
  <si>
    <t>Reducir los indicadores de morbilidad y mortalidad por IRA Y EDA  en el departamento de Arauca</t>
  </si>
  <si>
    <t>Fortalecer en un 100% la Estrategia AIEPI en el Departamento de Arauca.</t>
  </si>
  <si>
    <t>Reducir o mantener en no mas de (2) casos la mortalidad por EDA en menores de 5 años</t>
  </si>
  <si>
    <t>Tasa de mortalidad por EDA en &lt;5 años</t>
  </si>
  <si>
    <t>Asistencia tecnica a los siete municipios en el cumplimiento del POAI de las actividaes de salud infantil, AIEPI; IAMI y Estrtegia de Cero a siempre (contratacion de un profesional)</t>
  </si>
  <si>
    <t>Asistencia técnica prestada</t>
  </si>
  <si>
    <t>Febrero 13 de 2014</t>
  </si>
  <si>
    <t>Aldrin Heli Rodriguez Luna</t>
  </si>
  <si>
    <t>Mantener o reducir al 5% los casos la mortalidad por IRA en menores de 5 años</t>
  </si>
  <si>
    <t>Tasa de mortalidad por IRA en &lt; 5 años</t>
  </si>
  <si>
    <t>Mantener o disminuir la morbilidad de casos de EDA en menores de 5 años</t>
  </si>
  <si>
    <t>Tasa de morbilidad por EDA en &lt; 5 años</t>
  </si>
  <si>
    <t>94,7 X X 1000 &lt; 5  años ( 3136 casos)</t>
  </si>
  <si>
    <t>Mantener o disminuir en 5% la tasa de morbilidad por ERA en menores de 5</t>
  </si>
  <si>
    <t>Tasa de morbilidad por ERA en &lt; 5 años</t>
  </si>
  <si>
    <t>367.7 X 1000 &lt; 5  años ( 12178 casos)</t>
  </si>
  <si>
    <t xml:space="preserve">Apoyo a las acciones de promoción y prevencion de Salud Sexual y Reproductiva de Hombres y Mujeres en Edad Fertil en el Departamento de Arauca. </t>
  </si>
  <si>
    <t>Apoyar las acciones de promocion y prevencion de salud sexual y reproductiva</t>
  </si>
  <si>
    <t>Realizar acciones de prevencion de enfermedades de ransmision sexual</t>
  </si>
  <si>
    <t>Implementar la estrategia de cero a siempre en salud y nutricion en los 7 municipios del departamento de Arauca</t>
  </si>
  <si>
    <t xml:space="preserve">No. de municipios que implementan la estrategia de cero a siempre en salud y nutricion </t>
  </si>
  <si>
    <t>Acciones realizadas</t>
  </si>
  <si>
    <t>enero de 2014</t>
  </si>
  <si>
    <t>Rosalba Bastos</t>
  </si>
  <si>
    <t xml:space="preserve">Reducir en un 5% los casos de sífilis gestacional por año </t>
  </si>
  <si>
    <t>Tasa de sífilis gestacional</t>
  </si>
  <si>
    <t>7,3 x 1000 Gestantes</t>
  </si>
  <si>
    <t>Desarrollo de acciones en promoción de la salud y prevención de la enfermedad, para disminuir los indices de morbimortalidad en la población vulnerable ( Puerperas, madres gestantes, población infantil, adolescentes y adulto mayor) del departamento de Arauca</t>
  </si>
  <si>
    <t>Disminuir la tasade morbimorbilidad materno perinatal y la morbilidad infantil en el departamentl de Arauca</t>
  </si>
  <si>
    <t>Disminuir o mantener la mortaliad materna en no mas de tres (3) casos por año</t>
  </si>
  <si>
    <t xml:space="preserve">Lograr que el 70% (3.080) de las mujeres gestantes asistan mínimo a 4 controles prenatales </t>
  </si>
  <si>
    <t>Porcentaje de gestantes que asisten a controles prenatales</t>
  </si>
  <si>
    <t>Realizacion de actividades extramurales a  5971 personas  del departamento</t>
  </si>
  <si>
    <t>Actividades extramurales realizadas</t>
  </si>
  <si>
    <t>Implementacion de la estrategia disminucion del embarazo en adolescentes a traves de la estrategia bebé piensalo bien y acciones de fortalecimiento en salud sexual y reproductiva</t>
  </si>
  <si>
    <t>Reducir el numero de embarazo en adolescentes</t>
  </si>
  <si>
    <t xml:space="preserve">Realizacion de  7 talleres en educacion en salud para dolescentes </t>
  </si>
  <si>
    <t>Garantizar la dotación y operatividad del 100% (7) de los centros de servicios amigables con la estrategia "Bebe Piénsalo Bien" del departamento de Arauca</t>
  </si>
  <si>
    <t xml:space="preserve">Porcentaje de centros de servicios amigables dotados para adolescentes y jóvenes con la estrategia "Bebe piénsalo bien" </t>
  </si>
  <si>
    <t>Mayo de 2015</t>
  </si>
  <si>
    <t>Sandra Bestene</t>
  </si>
  <si>
    <t>Supsendido, continua su ejecuion en 2015</t>
  </si>
  <si>
    <t>Garantizar el cumplimiento en los 7 municipios de las líneas de acción de maternidad segura, fomento de planificación familiar, fomento de salud sexual y reproductiva para adolescentes jóvenes, prevención de ITS/VIH, detección de casos de cáncer de cuello uterino, cáncer mama y prevención de violencia doméstica sexual en la red prestadora de servicios de salud en el departamento de Arauca</t>
  </si>
  <si>
    <t>Número de municipios en los que se garantiza el cumplimiento de las líneas de acción</t>
  </si>
  <si>
    <t>actividaes de recuperacion nutricional para madres gestantes</t>
  </si>
  <si>
    <t>Realizar asistencia técnica en políticas de salud oral al 100% de las IPS y profesionales independientes del departamento de Arauca</t>
  </si>
  <si>
    <t>Porcentaje asistencia técnica para el cumplimiento de la política de salud bucal</t>
  </si>
  <si>
    <t>Implementacion de programas de prevencion y promocion de habitos de salud oral enel departamento de Arauca</t>
  </si>
  <si>
    <t>Mejorar las condiciones de salud oral de la poblacion Araucana</t>
  </si>
  <si>
    <t>Benefeciar a 253 personas con perdida de piezas dentales</t>
  </si>
  <si>
    <t>Lograr que el 80% de IPS centinelas reporten las variables para el cálculo del índice de COP</t>
  </si>
  <si>
    <t>Participación centinela índice COP</t>
  </si>
  <si>
    <t>Entrega de 253 protesis parciale</t>
  </si>
  <si>
    <t>Protesis parciaes entregadas</t>
  </si>
  <si>
    <t>Febrero12 de 2014</t>
  </si>
  <si>
    <t>Mayo 11 de 2014</t>
  </si>
  <si>
    <t>Andrea Eslava</t>
  </si>
  <si>
    <t>Campaña IEC (32 cuñas radiales,una  edicion y 33 emision de  comercial de TV)</t>
  </si>
  <si>
    <t>Campaña IEC desarrollada</t>
  </si>
  <si>
    <t>Entrega de 3600 kits de higiene oral</t>
  </si>
  <si>
    <t>Kits esntregados</t>
  </si>
  <si>
    <t>Inclusión de las líneas de salud mental y reducción del consumo de sustancias psicoactivas en el 100% de los PIC de los planes locales de salud y en la red pública del departamento</t>
  </si>
  <si>
    <t>Porcentaje de redes comunitarias de apoyo en salud mental operando</t>
  </si>
  <si>
    <t>Promoción de la salud mental y estilos de vida saludable en los 7 municipios del departamento</t>
  </si>
  <si>
    <t>Porcentaje de municipio con accion de promoción de la salud mental</t>
  </si>
  <si>
    <t>Implementaciòn del Sistema de Vigilancia y Atenciòn de la conducta suicida en el departamento de Arauca.</t>
  </si>
  <si>
    <t>Implementar el sistema de vigilancia y atencion de la conducta suicida</t>
  </si>
  <si>
    <t>Beneficiar 2052 personas con el sistema impelemntado</t>
  </si>
  <si>
    <t>Prevención de los factores de riesgo asociados con la morbilidad y mortalidad (suicidio) por alteraciones psiquiatricas y del comportamiento en los 7 municipios del departamento</t>
  </si>
  <si>
    <t xml:space="preserve">Porcentaje municipio con accion de prevención de los factores de riesgo para la morbilidad y mortalidad (suicidio) por alteraciones psiquiatricas y del comportamiento </t>
  </si>
  <si>
    <t>Personas beneficiadas</t>
  </si>
  <si>
    <t>Diciembre 28 de 2012</t>
  </si>
  <si>
    <t>Abril 28 de 2015</t>
  </si>
  <si>
    <t>Nahaliet Bestene</t>
  </si>
  <si>
    <t>Proyecto que viene desde 2012. en ejecucion del 72%</t>
  </si>
  <si>
    <t>Interventoria al proyecto Implementaciòn del Sistema de Vigilancia y Atenciòn de la conducta suicida en el departamento de Arauca.</t>
  </si>
  <si>
    <t>Interventoria</t>
  </si>
  <si>
    <t>Interventoria realizada</t>
  </si>
  <si>
    <t>Fortalecimiento de las acciones  de salud mental para la disminucion  de la violencia de genero y prevencion del suicidio  en el Departamento de Arauca</t>
  </si>
  <si>
    <t>Fortalecere las acciones de  salud mental en el departamento de Arauca</t>
  </si>
  <si>
    <t xml:space="preserve">Reducir los niveles de suicidio y violencia de genero </t>
  </si>
  <si>
    <t>Rehabilitación y mitigación para la superación de los daños (trastornos mentales y del comportamiento) en los 7 municipios del departamento</t>
  </si>
  <si>
    <t>Porcentaje superación de los daños "mentales"</t>
  </si>
  <si>
    <t>Realizar talleres de capacitacio en violencia de genero y prevencion de suicidios</t>
  </si>
  <si>
    <t>Septiembre de 2014</t>
  </si>
  <si>
    <t>Nahalieth Bestene</t>
  </si>
  <si>
    <t>Realizar seguimiento a la implementación de las 5 estrategias: sensibilización, prevención, detección temprana, tratamiento y rehabilitación para el control y manejo de las enfermedades crónicas no transmisibles en el 100% de los municipio del departamento de Arauca.</t>
  </si>
  <si>
    <t>Porcentaje de municipios que implementan las 5 estrategias para el control y manejo de las enfermedades crónicas no transmisibles</t>
  </si>
  <si>
    <t>Implementar un programa de promoción de los estilos de vida saludable (espacios libres de humo- actividad física- dieta saludable- campañas de diagnóstico temprano) en los 7 municipios del departamento de Arauca.</t>
  </si>
  <si>
    <t>Numero de municipios con programas implementados de promoción de los estilos de vida saludable</t>
  </si>
  <si>
    <t>Identificar el estado nutricional del 100%  de la población de niños, niñas 0 - 5 años captados por el sisvan (de acuerdo a los indicadores p/e, t/e, p/t)</t>
  </si>
  <si>
    <t xml:space="preserve">Porcentaje de niñ@s de 0-5 años con desnutrición crónica-aguda-global </t>
  </si>
  <si>
    <t>Realizar recuperación nutricional del 60% de los casos de desnutrición crónica captados por el sistema de vigilancia alimentaria y nutricional en el departamento de Arauca.</t>
  </si>
  <si>
    <t>Porcentaje de niñ@s de 0-5 años con desnutrición crónica en recuperación y seguimiento</t>
  </si>
  <si>
    <t>Garantizar el proceso de inspección, vigilancia, control y asistencia técnicas al 100% de los actores del SGSSS para detección temprana de alteraciones del crecimiento y desarrollo preconcepcional asociadas al estado nutricional</t>
  </si>
  <si>
    <t>Porcentaje de procesos de IVC de nutrición fortalecidos</t>
  </si>
  <si>
    <t xml:space="preserve">Fortalecer la implementación de los planes de seguridad y soberanía alimentaria y nutricional en los 7 municipios </t>
  </si>
  <si>
    <t>No. de planes de seguridad alimentaria fortalecidos</t>
  </si>
  <si>
    <t>Fortalecer las acciones de prevencion y control de  los facores de riesgos en procesos que afecten la seguridad sanitaria y ambietnal del departamento de Arauca</t>
  </si>
  <si>
    <t xml:space="preserve">Realziar visitas a los establecimientos de expendio de bebidas alcoholicas y alimentos </t>
  </si>
  <si>
    <t>Vistar el 100% de los establecimientos de expendio de alimentos y bebidas alcoholicas</t>
  </si>
  <si>
    <t>Realizar acciones de IVC al 100% (4260) de los establecimientos de expendio de alimentos y bebidas alcohólicas, sector informal, establecimientos y espacios públicos generadores de riesgos sanitarios y ambientales</t>
  </si>
  <si>
    <t>Porcentaje de establecimientos generadores de riesgos sanitarios y ambientales con IVC</t>
  </si>
  <si>
    <t>Contratacion de 12 personas para realizaciion de visitas de isnpeccion, vigilancia y control</t>
  </si>
  <si>
    <t>Enero 2 de 2014</t>
  </si>
  <si>
    <t>Orlando De Jesus Ochoa Holguin</t>
  </si>
  <si>
    <t>Fortalecimiento de las acciones en la seguridad sanitaria y ambiental con énfasis en saneamiento básico y residuos hospitalarios,  plaguicidas  y radiaciones ionizantes del departamento de Arauca.</t>
  </si>
  <si>
    <t>Fortalecer las acciones en seguridad sanitaria y ambiental en el departamento de Arauca</t>
  </si>
  <si>
    <t>Ampliar la cobertura de vigilancia de la calidad de agua al 100% de los municipios del departamento de Arauca. 2, Ampliar al 100% la cobertura de las visitas de inspección sanitaria a los sistemas de suministro de agua para consumo humano en las áreas rurales y urbanas de los municipios del departamento de Arauca con base a la normativa sanitaria y ambiental vigente. 3,Ampliar la cobertura al 100% de las acciones de IVC de los alcantarillados sanitarios, planes de gestión integral de residuos sólidos domiciliarios y residuos hospitalarios en las áreas urbanas y rurales de los municipios del departamento de Arauca. 4, Implemetar  y evaluar la estrategia de entornos saludables en el  50% de  espacios educativos y viviendas en las areas urbanas del departamento de Arauca . 7, Implementar al 100% las visitas de IVC a establecimientos públicos y privados relacionados con el tema de plaguicidas y radiaciones ionizantes en los municipios del departamento de Arauca. 6, Fortalecer los mecanismos de capacitación y actualización del 100% del talento humano que labora en saneamiento básico y ambiental en el departamento de Arauca.</t>
  </si>
  <si>
    <t>Realizar acciones de IVC al 100% (586) de los establecimientos generadores de riesgos sanitarios y ambientales (saneamiento básico y residuos hospitalarios) que afectan la salud de la población en el departamento de Arauca</t>
  </si>
  <si>
    <t>Porcentaje de establecimientos generadores de riesgos sanitarios y ambientales (saneamiento básico y residuos hospitalarios) con IVC</t>
  </si>
  <si>
    <t>Contratacion de 9 personas para realizaciion de visitas de isnpeccion, vigilancia y control</t>
  </si>
  <si>
    <t>Robinson Barragan</t>
  </si>
  <si>
    <t>Promover acciones  de control de los factores de riesgos sanitarios,  ambientales de consumo de Medicamentos y Sustancias Tóxicas  en procesos que afecten la  seguridad sanitaria y ambiental del departamento de Arauca</t>
  </si>
  <si>
    <t>Visitar el 100% de los establceimientos farmaceuticos del departamento de Arauca</t>
  </si>
  <si>
    <t>Realizar acciones de asistencias tecnicas, capacitaciones y actualizaciones de las normas farmaceuticas vigentes a los diferentes Entes de Control, Hospitales, IPS, Establecimientos y Servicios farmaceuticos del Departamento</t>
  </si>
  <si>
    <t>Realizar acciones vigilancia de la calidad del agua para consumo humano al 100% de puntos concertados de agua (87) en los municipios del departamento de Arauca</t>
  </si>
  <si>
    <t>Porcentaje de muestras procesadas como IVC del agua para consumo humano</t>
  </si>
  <si>
    <t>Realizar acciones de IVC al 100% (500) de los establecimientos farmacéuticos generadores de riesgos sanitarios y ambientales que afectan la salud de la población en el departamento de Arauca.</t>
  </si>
  <si>
    <t xml:space="preserve">Porcentaje de establecimientos farmacéuticos con acciones de IVC </t>
  </si>
  <si>
    <t xml:space="preserve">Control del 100% (60) de IPS autorizadas para manejo de medicamentos franja violeta </t>
  </si>
  <si>
    <t>Porcentaje de IPS  con disponibilidad de medicamentos franja violeta</t>
  </si>
  <si>
    <t>Programa de promocion, prevencion y control de las enfermedades transmitidas por vectores</t>
  </si>
  <si>
    <t>Reducir la carga de las enfermedades transmitidas por vectores</t>
  </si>
  <si>
    <t>Reducir en un 5% lamorbilidad de las enfermedades transmitidas por vectores año a año</t>
  </si>
  <si>
    <t>Identificar y controlar oportunamente como mínimo el 90% de los brotes de dengue</t>
  </si>
  <si>
    <t>Porcentaje de brotes de dengue identificados y controlados</t>
  </si>
  <si>
    <t>adquisición de equipos e insumos para el fortalecimiento del programa de ETV.(Toldillos impregnados de larga duración, piretroide de acción residual, biolarvicida) proyecto corte de nacidos vivos, hospitalizados y comunidades priorizadas. (programa regular y contingencias</t>
  </si>
  <si>
    <t>Andres Cuervo</t>
  </si>
  <si>
    <t>Identificar, Intervenir Y Controlar El 100% De Los casos de malaria en el departamento de Arauca</t>
  </si>
  <si>
    <t>Porcentaje de casos identificados, intervenidos y controlados</t>
  </si>
  <si>
    <t>Realizar actividades de promocion, prevencion y control de las ETV en el departamento de Arauca (30 personas)</t>
  </si>
  <si>
    <t>Identificar, Intervenir Y Controlar El 100% De Los Focos De Leishmaniasis</t>
  </si>
  <si>
    <t>Acciones de inspeccion, vigilancia y control para la reduccion de la letalidad por dengue (un profesional)</t>
  </si>
  <si>
    <t>Identificar, intervenir y tratar el 100% de los brotes de Chagas agudo.</t>
  </si>
  <si>
    <t xml:space="preserve">Ejecucion del Plan de Interrrupcion de la transmision de la enfermedad de chagas por rhodnius prolixus intredomiciliarios </t>
  </si>
  <si>
    <t>Plan ejecutado</t>
  </si>
  <si>
    <t>Fortalecimiento de la Red de laboratorios en el Departamento de Arauca, para el cumplimiento de sus funciones de acuerdo a la normatividad.</t>
  </si>
  <si>
    <t>Realizacion de examenes en el abpratorio de salud publica como apoyoal diagnsotico, prevencip, bvigilancia y contro de enfermedades de infpiortancia en salud publica, fotosanitariay factores de riesgo del ambiente</t>
  </si>
  <si>
    <t>Procesar el 100% de las muestras de interés en salud pública recibidas en el laboratorio de salud pública fronterizo anualmente</t>
  </si>
  <si>
    <t>Realizacion de examenes en el abpratorio de salud publica como apoyoal diagnsotico, prevencip, bvigilancia y contro de enfermedades de infpiortancia en salud publica, fotosanitariay factores de riesgo del ambiente (contratacion de recurso humano 13; adquision de reactivos, insumos, y elementos de apoyo logistico para el funcionamiento del laboratorio; control de calidad, actualizacion y capacitacion del talento humano, transporte de muestras biologicas)</t>
  </si>
  <si>
    <t>Examenes realizados</t>
  </si>
  <si>
    <t xml:space="preserve">Enero de 2014 </t>
  </si>
  <si>
    <t>Diciebre de 2014</t>
  </si>
  <si>
    <t>Alix Robinson</t>
  </si>
  <si>
    <t>contracion de recurso humano (1) dotacion de equipós (un equipo) adquisicion de insumos; capacitacion del tallento humano; asistencia tecnica a la red de laboratorios (1) mantenimiento de equipos y aduisicion de reactivos</t>
  </si>
  <si>
    <t>Fortalecimiento del laboratorio de Salud Pública del departamento de Arauca</t>
  </si>
  <si>
    <t>Porcentaje de muestra para vigilancia por laboratorio eventos de interés en salud publica</t>
  </si>
  <si>
    <t>Contratacion de un profesional como apoyo  la realizacion de actividades de bacereologia en el area de calikdad</t>
  </si>
  <si>
    <t>Dicmebre de 2014</t>
  </si>
  <si>
    <t>Pendiente por ejecutar la contratacion del profesional por dos meses</t>
  </si>
  <si>
    <t>Adquisicio de 8 equipos para el fortalecimiento de las areas tecnicas del laboratoriia de salud publica fronterizxa</t>
  </si>
  <si>
    <t xml:space="preserve">Procesar el 100% de las muestras de alimentos recibidas en el laboratorio de salud pública fronterizo anualmente </t>
  </si>
  <si>
    <t>Porcentaje de vigilancia por laboratorio inocuidad de los alimentos</t>
  </si>
  <si>
    <t>Adquisicion de  129 reactivos para el diagnostico, confirmacon y vigilancia de eventos de importancia en salud publica</t>
  </si>
  <si>
    <t>Reactivos adquiridos</t>
  </si>
  <si>
    <t>Apoyar a los 36 laboratorios del departamento de Arauca, para garantizar el cumplimiento de las funciones de la red de laboratorios anualmente</t>
  </si>
  <si>
    <t>Numero de laboratorios del departamento apoyados por la red de laboratorios</t>
  </si>
  <si>
    <t>Adquisicion de equipos de apoyo logistico (dos computadores de escritorio con ups y licencias)</t>
  </si>
  <si>
    <t>Garantizar en el 100% de los municipios del departamento de Arauca, el cumplimiento de la política nacional de sangre anualmente durante la vigencia 2012 - 2015</t>
  </si>
  <si>
    <t>Porcentaje de municipios con política nacional de sangre fortalecida</t>
  </si>
  <si>
    <t>Adquisicion de un (1) equipo espectofotometro</t>
  </si>
  <si>
    <t>Fortalecimiento de la politica nacional de sangre en el departamento de Arauca</t>
  </si>
  <si>
    <t>garantizar en el 100% de los municipios el fortaleicmiento de la politica nacioanl de sangre</t>
  </si>
  <si>
    <t>Prestar asistencic tecnica y adquirir elementos para el fortalecimiento de la politia de sangre</t>
  </si>
  <si>
    <t>Contratacion de un profesional, adquisicion de eleemntos de apoyo logistico para la PNS; fortalecimineto de insumos y equipa,iento para la captacion de donates de sangre; capacitaciones; estrategia IEC y garantia de calidad y seguimiento a la dispnibolida y sufuiciencia de sangre</t>
  </si>
  <si>
    <t>Alix Rovbinson</t>
  </si>
  <si>
    <t>Verificar en el 100% de las IPS-EPS el cumplimiento de los estándares de calidad para la realización de las acciones de PyP</t>
  </si>
  <si>
    <t>Porcentaje de IPS-EPS con procesos de verificación cumplimiento lineamientos PyP</t>
  </si>
  <si>
    <t>Operativizar y fortalecer el 90% de los espacios de participación social en salud en el departamento de Arauca</t>
  </si>
  <si>
    <t>Porcentaje de espacios participación social en salud</t>
  </si>
  <si>
    <t>Fortalecimiento de la gestión institucional para el desarrollo operativo y funcional de los Planes de Salud Territoriales del Departamento de Arauca.</t>
  </si>
  <si>
    <t>Garantizar el 100% del seguimiento a los planes de intevenciones colectivas</t>
  </si>
  <si>
    <t>Garantizar en un 100% las actividades de planeación,  Gestión, asistencia técnica, monitoreo,  evaluacion  y control social al cumplimiento de las acciones de Salud Pública individuales y colectivas a cargo de los actores del Sistema General de Seguridad Social en el Departamento de Arauca.</t>
  </si>
  <si>
    <t>Garantizar el seguimiento, evaluación y asistencia técnica al 100% de los planes de intervenciones colectivas de los 7 municipios del departamento de Arauca.</t>
  </si>
  <si>
    <t>Porcentaje de municipio con seguimiento a PIC</t>
  </si>
  <si>
    <t>Seguimiento a los siete planes de salud territoriales</t>
  </si>
  <si>
    <t>Seguimiento realizado</t>
  </si>
  <si>
    <t>enero de 2015</t>
  </si>
  <si>
    <t>Tatiana Ramirez</t>
  </si>
  <si>
    <t>Implementacion de una estrategia IEC</t>
  </si>
  <si>
    <t>Estrategia IEC desarrollada</t>
  </si>
  <si>
    <t>Asistencia tecnica para Monitoreo y seguimiento a las EAPB (dos profesionales)</t>
  </si>
  <si>
    <t>Arauca libre de tuberculosis 2010-2015/ control lepra</t>
  </si>
  <si>
    <t>Implementar el plan estrattegico Colombia Libre de Tuberculosis 2010-2015 edn el departametno</t>
  </si>
  <si>
    <t>Identificar los sintomaticos respiratorios, de piel y sistema nervisoso</t>
  </si>
  <si>
    <t>Detectar mínimo el 70 % de los casos nuevos de bk+ en el departamento de Arauca</t>
  </si>
  <si>
    <t>Porcentaje de detección tuberculosis (tb)</t>
  </si>
  <si>
    <t>Busqueda activa de sintomaticos respiratoria, de piel y sistema nervioso  (contratacion de 11 tecnicos)</t>
  </si>
  <si>
    <t>Busqueda realizada</t>
  </si>
  <si>
    <t>Jahir Mora</t>
  </si>
  <si>
    <t>Captar el 80% de sintomatico respiratorio de la población araucana</t>
  </si>
  <si>
    <t>Porcentaje de captación tb</t>
  </si>
  <si>
    <t>Arauca libre de tuberculosis 2010-2015para la expansion y el fortalecimiento de la estrategia alto a la tubercilosis</t>
  </si>
  <si>
    <t xml:space="preserve">Tratamiento exitoso del 85% de los casos de tuberculosis pulmonar baciloscopia positiva. </t>
  </si>
  <si>
    <t>Porcentaje de curación tb</t>
  </si>
  <si>
    <t xml:space="preserve">Dearrollar estrattegia IEC </t>
  </si>
  <si>
    <t>Asesori, fortalecimiento y asistencia tencia a la implementacion  del plan estrategico (1 profesional)</t>
  </si>
  <si>
    <t>Estrategia para aliviar la caragade la enfermedad y sostener las actividades de control de lepra</t>
  </si>
  <si>
    <t>Implementar el plan estrategico para aliviar la carga de la enfermedad y sostenar las acitiviades del control de lepra en el departamento de Arauca</t>
  </si>
  <si>
    <t>Realizar búsqueda activa de sintomáticos de piel y de sistema nervioso periférico en el 100% de los municipios del departamento</t>
  </si>
  <si>
    <t>Porcentaje de municipios con actividades de búsqueda activa para lepra</t>
  </si>
  <si>
    <t>Implementar en el 100% de los municipios del departamento de Arauca la estrategia IEC en prevención de VIH/SIDA</t>
  </si>
  <si>
    <t>Porcentaje de Municipios con la estrategia  IEC implementada</t>
  </si>
  <si>
    <t>Garantizar la Implementación del modelo de gestión programática en VIH/SIDA y la guía de atención en VIH/SIDA en el 100% de las IPS del departamento de Arauca</t>
  </si>
  <si>
    <t>Porcentaje de IPS implementando el modelo de gestión y guía de atención en VIH/SIDA</t>
  </si>
  <si>
    <t>Garantizar la realización de la prueba de Elisa (VIH) y Hepatitis B al 100% de las gestantes del departamento</t>
  </si>
  <si>
    <t>Porcentaje de gestantes con prueba de ELISA (VIH) y Hepatitis B</t>
  </si>
  <si>
    <t>Garantizar al 100% de gestantes con diagnostico de VIH positivo el tratamiento oportuno</t>
  </si>
  <si>
    <t>Porcentaje de gestantes con VIH positivo con tratamiento oportuno</t>
  </si>
  <si>
    <t>Apoyo a las acciones de vigilancia de las enfermedades zoonóticas en el Dpto de Arauca</t>
  </si>
  <si>
    <t>Evitar morir o enferemar por rabio y/u otras zoonosis en el departamento de Arauca</t>
  </si>
  <si>
    <t>Vacunar, sensar y esterilizar a  perros y gatos del departamento</t>
  </si>
  <si>
    <t>Acciones de vigilancia y seguimiento al 100% de accidentes rábicos</t>
  </si>
  <si>
    <t xml:space="preserve">Porcentaje de accidentes rábicos con acciones de vigilancia y seguimiento </t>
  </si>
  <si>
    <t>Hacer vigilancia y seguimiento al 100% de exposiciones rabicas</t>
  </si>
  <si>
    <t>Vigilancia realizads</t>
  </si>
  <si>
    <t>Noviembre 11 de 2014</t>
  </si>
  <si>
    <t>Dicimbre 31 de 2014</t>
  </si>
  <si>
    <t>Vacunar el 80 % (29882) de perros y gatos contra la rabia cada año</t>
  </si>
  <si>
    <t xml:space="preserve">Numero de vacunas aplicadas en animales (perros y gatos) </t>
  </si>
  <si>
    <t>Vacunar y sensar perros y gatos del area urbana y rural de los siete municipios del departamento</t>
  </si>
  <si>
    <t>Animales vacunados</t>
  </si>
  <si>
    <t>Apoyo al programada de control de natalidad de la poblacion canina y felina del municipio de Arauca.</t>
  </si>
  <si>
    <t>Disminuir la poblacion de perros y gatos en el municipio de Arauca</t>
  </si>
  <si>
    <t>Esterilizar los perrro y gatos del departamento de Arauca</t>
  </si>
  <si>
    <t>Esterilizar 100% de los animales (perros y gatos) programados cada año</t>
  </si>
  <si>
    <t>Porcentaje de procedimientos de esterilización (perros y gatos)</t>
  </si>
  <si>
    <t>Esterilizar animales hembras y machos perros y gatos programados para el año</t>
  </si>
  <si>
    <t>Animales esterilizados</t>
  </si>
  <si>
    <t>Agosto 20 de 2014</t>
  </si>
  <si>
    <t>Octubre 19 de 2014</t>
  </si>
  <si>
    <t>Continuar con el programa de control de roedores y plagas en el 80% de las viviendas del departamento de Arauca</t>
  </si>
  <si>
    <t>Numero de viviendas controladas</t>
  </si>
  <si>
    <t>Realizar control de roedores en el 80% de las viviendas area urbana en los siete municipios del deparamento</t>
  </si>
  <si>
    <t>Contro de roedores realizado</t>
  </si>
  <si>
    <t>Acciones de vigilancia y seguimiento al 100% de los casos encefalitis equina</t>
  </si>
  <si>
    <t xml:space="preserve">Porcentaje de casos de encefalitis equina con acciones de vigilancia y seguimiento </t>
  </si>
  <si>
    <t>Vacunas equidos contra la encefalitis equina en los siete municipios</t>
  </si>
  <si>
    <t>Equidos vacunados</t>
  </si>
  <si>
    <t>Fortalecimiento de la vigilancia en salud publica del  departametno de Arauca</t>
  </si>
  <si>
    <t>Garantizar la gestion del sistema de vigilancia en salud publcia y el desarrollo de acciones ed vigilancia y control dpidemiologico en el departamento de Arauca</t>
  </si>
  <si>
    <t>Prestar asistencia tecnica para realizar acciones de vigilancia y capacitacion en los municipios y UPGD</t>
  </si>
  <si>
    <t>Mantener como mínimo en un 95% la notificación oportuna del sistema de vigilancia en salud pública y el desarrollo de acciones de vigilancia y control epidemiológico en todo el departamento</t>
  </si>
  <si>
    <t>Porcentaje de notificación oportuna (SIVIGILA)</t>
  </si>
  <si>
    <t>Contratacion de 7 personas  para realizar acciones de vigilancia, cpacitacion y asistencia tecnica a los municipios y las UPGD</t>
  </si>
  <si>
    <t>Luz Osmany Nieves Peña</t>
  </si>
  <si>
    <t xml:space="preserve">95%
</t>
  </si>
  <si>
    <t>Garantizar la captación de información a través de los RIPS-RUAF del 100% de las IPS del departamento</t>
  </si>
  <si>
    <t>Porcentaje de IPS reportando al sistema de información de la UAESA (RIPS-RUAF)</t>
  </si>
  <si>
    <t>Atención primaria en salud (ley 1438 de 2011) a 6.000 familias en población del nivel I y II del SISBEN del departamento de Arauca</t>
  </si>
  <si>
    <t>No. de familias del nivel I y II del SISBEN con APS</t>
  </si>
  <si>
    <t>Promoción social</t>
  </si>
  <si>
    <t>Garantizar la afiliación al SGSSS del 100% de la población en situación de desplazamiento y otros hechos victimizantes</t>
  </si>
  <si>
    <t>Porcentaje de población en situación de desplazamiento y otros hechos victimizantes afiliados al SGSSS</t>
  </si>
  <si>
    <t>30%
(pob:6900)</t>
  </si>
  <si>
    <t>Fortalecimiento de acciones de promoción social en salud para la atención a población en situación de desplazamiento en el Depto de Arauca</t>
  </si>
  <si>
    <t>Lograr el beneficio social de la poblacion vicitma del desplazamiento</t>
  </si>
  <si>
    <t>Beneficiar a 114 personas de los municipiosde Arauqiuta, Saravena y Tame</t>
  </si>
  <si>
    <t>Garantizar la atención psicosocial  y atenciòn en salud del 100% de solicitudes de la población en situación de desplazamiento y otros hechos victimizantes</t>
  </si>
  <si>
    <t>Porcentaje de atención psicosocial a población en situación de desplazamiento y otros hechos victimizantes</t>
  </si>
  <si>
    <t>Entrega de 114 protesis dentales</t>
  </si>
  <si>
    <t>Protesis entregadas</t>
  </si>
  <si>
    <t>Julio 22 de 2014</t>
  </si>
  <si>
    <t>x</t>
  </si>
  <si>
    <t>Mariluz Cabrera</t>
  </si>
  <si>
    <t>Beneficiar a 33 personas de los municipios de Arauca</t>
  </si>
  <si>
    <t>Garantizar la atenciòn en salud  a la mujer en situaciòn de desplazamiento y otros hechos victimizantes</t>
  </si>
  <si>
    <t>Porcentaje de atenciòn a mujeres en situaiòn de despazamiento y victimas</t>
  </si>
  <si>
    <t>Entrega de 33 protesis dentales</t>
  </si>
  <si>
    <t>Noviembre 19 de 2014</t>
  </si>
  <si>
    <t>25% (2.152)</t>
  </si>
  <si>
    <t>Fortalecimiento de las acciones y actividades de l programa de atencion psicosocial y salud integral a las voctimasen el departamento de arauca</t>
  </si>
  <si>
    <t>mejorar la atencion integral en salud que responda al daño fisico, mental y psicosocial de las victimas del conflicto armado a traves del fortalecimiento insttitcuoin y comunitario en cumplimiento a la ley 1448 de 2011</t>
  </si>
  <si>
    <t xml:space="preserve">benefiar a 933 personas en las fases individual, falmiliar y comunitaria </t>
  </si>
  <si>
    <t>Atencion psicosocial de 933 personas en las fases individual , familiar y comunitaria</t>
  </si>
  <si>
    <t>Atencion prestada</t>
  </si>
  <si>
    <t>septiembre 23 de 2014</t>
  </si>
  <si>
    <t>Luz Fidelina Cristiano</t>
  </si>
  <si>
    <t>Apoyo para las acciones de promoción social en Salud dirigido a población afrodescendiente del Dpto de Arauca</t>
  </si>
  <si>
    <t>Promocion de acciones de salud en la poblacion afrodescendiente del departamento de arauca</t>
  </si>
  <si>
    <t>beneficiar a afrodescendientes con ayudas medicas</t>
  </si>
  <si>
    <t xml:space="preserve">Garantizar la atención en salud al 100% de población afrodescendientes a través de modelos de atención primaria en salud </t>
  </si>
  <si>
    <t>Porcentaje de atención afrodescendiente</t>
  </si>
  <si>
    <t>Construccion de espacios apropiados para realizar acciones integrales en salud para comunidades afordescendientes</t>
  </si>
  <si>
    <t>Centros de salud dotados</t>
  </si>
  <si>
    <t>septiembre 27 de 2014</t>
  </si>
  <si>
    <t>Maria Elvira Rodriguez</t>
  </si>
  <si>
    <t>Suspendido</t>
  </si>
  <si>
    <t>Apoyo para las acciones de promoción social en Salud dirigido a población indigena del Dpto de Arauca</t>
  </si>
  <si>
    <t>Promocion de acciones de salud en la poblacion indigena del departamento de arauca</t>
  </si>
  <si>
    <t>Beneficiar a 945 indigenas con acciones de pormocion social en salud</t>
  </si>
  <si>
    <t xml:space="preserve">Garantizar la atención en salud al 100% de población indígena a través de modelos de atención primaria en salud </t>
  </si>
  <si>
    <t xml:space="preserve">Porcentaje de atención indígenas </t>
  </si>
  <si>
    <t>Construccion de espacios apropiados para realizar acciones integrales en salud para comunidades indigenas</t>
  </si>
  <si>
    <t>Espacios construidos</t>
  </si>
  <si>
    <t>Agosto 22 de 2014</t>
  </si>
  <si>
    <t>Enero de 2215</t>
  </si>
  <si>
    <t>30% (1.650)</t>
  </si>
  <si>
    <t>Dotacion (16 elementos) y 22 medicamentos</t>
  </si>
  <si>
    <t>Dotacion entregada</t>
  </si>
  <si>
    <t>Implementación de acciones de promoción social en Salud para prevenir enfermedades en adultos mayores del Dpto de Arauca</t>
  </si>
  <si>
    <t>Promocion del envejecimiento activo en el departamento de Arauca</t>
  </si>
  <si>
    <t>benefiar 405 adultos mayores con acciones de envejecimiento activo</t>
  </si>
  <si>
    <t>Implementar la política de envejecimiento y vejez con enfoque diferencial en los siete municipios del departamento de Arauca</t>
  </si>
  <si>
    <t>No. de municipios que implementan la política de envejecimiento y vejez</t>
  </si>
  <si>
    <t>Realizacion de una actividad de acciones de promocion del envejecimiento activo</t>
  </si>
  <si>
    <t>Actividad realizada</t>
  </si>
  <si>
    <t xml:space="preserve">
Realizar acciones de promoción del trato digno y prevención de violencias de género en los siete municipios del departamento de Arauca.
</t>
  </si>
  <si>
    <t>No. de municipios  con acciones de promoción del trato digno</t>
  </si>
  <si>
    <t>Fortalecimiento de acciones de promoción social en salud para la atención a la población en proceso de reintegración y desmovilizada en el Dpto de Arauca</t>
  </si>
  <si>
    <t>Fortalecer las aciciones de promocion social en salud en la poblacion en proceso de reintegracion y desmovilizada</t>
  </si>
  <si>
    <t xml:space="preserve">Benefiar a 83 personas en proceso de desmovilizacion y reintegracion </t>
  </si>
  <si>
    <t xml:space="preserve">Garantizar la atención en salud al 100% de población en proceso de reintegración  y desmovilizada a través de modelos de atención primaria en salud </t>
  </si>
  <si>
    <t>Porcentaje de población reinsertada y desmovilizada atendidos</t>
  </si>
  <si>
    <t>Adquisicion de 200 kit s de higiene personal</t>
  </si>
  <si>
    <t>Kits de higiene personal entregados</t>
  </si>
  <si>
    <t>noviembre de 2014</t>
  </si>
  <si>
    <t>diciembre de 2014</t>
  </si>
  <si>
    <t>realizacion de dos talleres para la poblacion desmovilizada y en proceso de reintegracion del departamentl de Aruca</t>
  </si>
  <si>
    <t>Apoyo a la realización de acciones  e implementación de estrategias  de promoción  de la salud  y prevención de la enfermedad en personas con situación con discapacidad en el Municipio de Arauca</t>
  </si>
  <si>
    <t>Promocion de la salud y prevencion de enfermadades en personas con discapacidad</t>
  </si>
  <si>
    <t>Implementar acciones de prevencion social en el municipio de arauca</t>
  </si>
  <si>
    <t>Realizar acciones de rehabilitación basada en comunidad al 50% (4.996) de la población con discapacidad</t>
  </si>
  <si>
    <t>Porcentaje de personas con discapacidad beneficiadas</t>
  </si>
  <si>
    <t>Implementacion de una estrategia RBC (rehabilitacion basada en la comunidad) para 150 personas</t>
  </si>
  <si>
    <t>Estrategia RBC implementada</t>
  </si>
  <si>
    <t>30%
(pob: 497)</t>
  </si>
  <si>
    <t>Entrega de 24 sillas de ruedas</t>
  </si>
  <si>
    <t>Sillas de ruedas entregadas</t>
  </si>
  <si>
    <t>Realizacion de un curso de lengua de señas</t>
  </si>
  <si>
    <t>Curso realizado</t>
  </si>
  <si>
    <t>Apoyo a las capacidades por un Arauca sin barreras, en el Departamento de Arauca.</t>
  </si>
  <si>
    <t>Entrega de ayudas tecnicas a 500 beneficiarios</t>
  </si>
  <si>
    <t>Ayudas tecnicas entrefgadas</t>
  </si>
  <si>
    <t>Proyecto suspendido, se ejecutara en 2015</t>
  </si>
  <si>
    <t xml:space="preserve">Entrega de 200 kits para el cuiadado de las personas con discapacidad </t>
  </si>
  <si>
    <t>Desarrollo de la estrategia EIC (200 cuña radiales y 100 televisivas),  diseño de link, un dumi del programa, elaboracion de un logo institucional</t>
  </si>
  <si>
    <t>Estrategia Desarrola</t>
  </si>
  <si>
    <t>Implementación de acciones de promoción social en salud para mejorar la calidad de vida de las personas con discapacidad en el Dpto de Arauca</t>
  </si>
  <si>
    <t>Promover la inclusion social de las personas con discapacidad</t>
  </si>
  <si>
    <t>Beneficiar a 72 personas en condicion de discapacidad con ayudas tecnicas</t>
  </si>
  <si>
    <t>Entrega de 47 sillas de ruedas</t>
  </si>
  <si>
    <t xml:space="preserve">Sillas entregadas </t>
  </si>
  <si>
    <t>Septeimreb 4 de 2014</t>
  </si>
  <si>
    <t>Noviembre 3 de 2014</t>
  </si>
  <si>
    <t>Maria Elvira Rodruiguez</t>
  </si>
  <si>
    <t>Dearrolo de un curso de Brilet para beneficiar a 25 personas con discapacidad visual</t>
  </si>
  <si>
    <t>Implementar un (1) programa para la prevenciòn y atenciòn  integral de enfermedades auditivas y visuales en la poblaciòn del Departamento de Arauca</t>
  </si>
  <si>
    <t>No. De  programa de prevenciòn y atenciòn integral implementado</t>
  </si>
  <si>
    <t>Prevención, vigilancia y control de riesgos profesionales</t>
  </si>
  <si>
    <t>Fortalecimienro de las acciones de la salud iocupacional y ambiental en los sieye municipios del departametno de Arauca</t>
  </si>
  <si>
    <t>Fortalecer en un 100% la pevencion y vigilancia de los riesgos laborales en el departamento de Arauca</t>
  </si>
  <si>
    <t>Realizar asistencia tecnica a los siete (7) municipios del departamento para el fortalecimiento de la politica de salud ocupacional</t>
  </si>
  <si>
    <t xml:space="preserve">Realizar un estudio piloto para caracterizar los trabajadores informales en el municipio de Arauca. </t>
  </si>
  <si>
    <t>No de estudio realizado</t>
  </si>
  <si>
    <t>Contratacion de un profesional para la ejecucion del programa del salud y ambito laboral</t>
  </si>
  <si>
    <t>Enero 16 de 2014</t>
  </si>
  <si>
    <t>diciembre 31 de 2014</t>
  </si>
  <si>
    <t>Alexander Valcarcel</t>
  </si>
  <si>
    <t>Verificar en el 100% (7) de los municipios la implementación de la política de riesgos profesionales (salud ocupacional y seguridad industrial)</t>
  </si>
  <si>
    <t>No. de municipios con verificación de la implementación de política de riesgos profesionales</t>
  </si>
  <si>
    <t>Emergencias y desastres</t>
  </si>
  <si>
    <t>Implementar en el 100% el centro regulador de urgencias, emergencias y desastres en el departamento de Arauca</t>
  </si>
  <si>
    <t>Centro regulador de urgencias, emergencias y desastres implementado</t>
  </si>
  <si>
    <t>Fortalecimiento del sistema de referencia y contrareferencia y fortalecimiento tecnológico  para el Departamento de Arauca</t>
  </si>
  <si>
    <t>Mejorar el traslado de ususarios a los servicios de mediano y alta complejidad fuera y dentro del departamento de Arauca</t>
  </si>
  <si>
    <t>Mejorar en un 50% la prestacion de los servicios con adquisicio de trasnporte medicalizado para la red prestadora de servicios</t>
  </si>
  <si>
    <t>Fortalecer la red de urgencias en los siete municipios del departamento de Arauca</t>
  </si>
  <si>
    <t>No. de municipios fortalecidos con red de urgencias, emergencias y desastres</t>
  </si>
  <si>
    <t>Adquisicion de un avion ambulancia</t>
  </si>
  <si>
    <t>Un avion ambulancia adquisicionulancia</t>
  </si>
  <si>
    <t>Edgar Contreras</t>
  </si>
  <si>
    <t xml:space="preserve">Fortalecimiento del sistema de referencia y contra referencia en las áreas de urgencias, hospitalización y quirofanos de la red pública del departamento, E.S.E Hospital San Vicente  Y E.S.E Hospital del Sarare Y E.S.E  de baja complejidad del departamento de Arauca </t>
  </si>
  <si>
    <t>Mejorar el sistema de referrencia y contrareferencia del departamento de Arauca</t>
  </si>
  <si>
    <t>Fortalecer las areas de urgencias, hospitalizacion y quirofanos de las ESE San Vicente, del Sarare y Moreno</t>
  </si>
  <si>
    <t>Dotacion de 33 centros de salud</t>
  </si>
  <si>
    <t>Marzode 2014</t>
  </si>
  <si>
    <t>Fortalecimiento de la red de urgencias  mediante el mejoramiento de la infraestructura física del Hospital san Vicente en el Municipio de arauca, Depto de Arauca</t>
  </si>
  <si>
    <t>Fortalecer la red de urgencias del departamento de Arauca</t>
  </si>
  <si>
    <t>Implemetar en un 100% el servicio de alta complejidad mediante la terminaciion y dotacion de la infraestructura fisic, cientifica y tecnologica y operativia del Hospital San Vicente de Araica</t>
  </si>
  <si>
    <t>Remodelacion del area de urgencias del Hospital San Vicente de Arauca</t>
  </si>
  <si>
    <t>De remodelur</t>
  </si>
  <si>
    <t>Fortalecimiento de la operatividad del centro regulador de urgencias y emergencias del Departamento de Arauca.</t>
  </si>
  <si>
    <t>Fortalecer la operatividad del centro regulador de urgencias y emergencias del Departamento de Arauca.</t>
  </si>
  <si>
    <t>Garantizar la operatividad del CRUE</t>
  </si>
  <si>
    <t>Contratacion de 20 personas entre  tecnicos y profesionales para el funcionario del CRUE</t>
  </si>
  <si>
    <t>Personas contratiosonas</t>
  </si>
  <si>
    <t>Junio 21 de 2014</t>
  </si>
  <si>
    <t>Septiembre de 214</t>
  </si>
  <si>
    <t>Total Subprogrma</t>
  </si>
  <si>
    <t>Educación, Factor de Conocimiento, Progreso y Ascenso Social</t>
  </si>
  <si>
    <t>Educación inicial</t>
  </si>
  <si>
    <t xml:space="preserve">Beneficiar el 15.3% (6.066) de niños de 0 a 5 años con educación inicial </t>
  </si>
  <si>
    <t>Porcentaje de niños, niñas vinculados a programas de educación inicial</t>
  </si>
  <si>
    <t>Educación</t>
  </si>
  <si>
    <t>Secretaria de Educación Departamental</t>
  </si>
  <si>
    <t>Ampliacion y adecuación de las instalaciones de Centros de Desarrollo Infantil en el Departamento de Arauca. (Proceso en Curso)</t>
  </si>
  <si>
    <t>Mejorar las condiciones de los centro de desrrollo infantil del departamento de Arauca</t>
  </si>
  <si>
    <t>Ampliar y adecuar 3 centros de desarrollo Infantil</t>
  </si>
  <si>
    <t xml:space="preserve">Construir, ampliar, terminar y/o mejorar cuatro (04) centros de Desarrollo Integral </t>
  </si>
  <si>
    <t xml:space="preserve">No. De Centros de Atención Integral Construidos </t>
  </si>
  <si>
    <t>Ampliacion y adecuacion de las instalaciones de 3 centros de desarroolo inffntil en los muniicpio de Arauca, Arauquita  y fortul</t>
  </si>
  <si>
    <t>Instalacioes adecuadas</t>
  </si>
  <si>
    <t>Oscar Diaz</t>
  </si>
  <si>
    <t>Contrato 123 de 2014</t>
  </si>
  <si>
    <t>Construcción de Centros de Desarrollo infantil para atención integral a la primera infancia - Estrategia de Cero a Siempre en el Departamento de Arauca</t>
  </si>
  <si>
    <t>Proyecto de 2013</t>
  </si>
  <si>
    <t>Apoyo al fortalecimiento a dos (2) centros de desarrollo integral a la primera infancia semillas de paz y caritas felices, Arauca, Orinoquia</t>
  </si>
  <si>
    <t>Apoyar dos centros de desarrollo integral en el municipio de Arauca</t>
  </si>
  <si>
    <t>Dotacion de menaje, elecrrodomensticos, mobiliarios de ofifina ,a dos centros de desarrollo integral</t>
  </si>
  <si>
    <t xml:space="preserve">Dotar tres centros de Desarrollo para la atención Integral en el Departamento de Arauca </t>
  </si>
  <si>
    <t>No. de Centros de Atención Integral dotados</t>
  </si>
  <si>
    <t>ND</t>
  </si>
  <si>
    <t>Ruben Lara</t>
  </si>
  <si>
    <t>Acuerdo 05 de 2014.Proceso en curso para 2015.</t>
  </si>
  <si>
    <t>SECRETARIA DE EDUCACION</t>
  </si>
  <si>
    <t xml:space="preserve">Acceso y permanencia para la educación </t>
  </si>
  <si>
    <t>Mejoramiento, construcción y adecuación  de la Infraestructura física de las instituciones educativas del Departamento de Arauca</t>
  </si>
  <si>
    <t>mejoar la insfraestructura de las IE y Centro Educativos (CE)del departamento de Arauca</t>
  </si>
  <si>
    <t>Mejorar la insfraestructura de 11 IE del departamento</t>
  </si>
  <si>
    <t xml:space="preserve">Diseñar, construir y/o adecuar la infraestructura física de 54 Establecimientos Educativos de la zona Urbana y Rural </t>
  </si>
  <si>
    <t>No. De Establecimientos Educativos construidos y/o adecuados</t>
  </si>
  <si>
    <t>Mejoramiento construcion y adecuacion de la infraesrutrua fisica de la sede de las americas de la IE cristo rey (1) (Instalaciones electricas, rellenos, estructuras en concretos, etc)</t>
  </si>
  <si>
    <t>Infraestructura mejorada y construida</t>
  </si>
  <si>
    <t>Contrato 292 de 2014. Avance del 60% a 31 de dicembre</t>
  </si>
  <si>
    <t>Adecuacion de la inafraestrucuta fisica de los CE del municipio de Saravena (Escuelaisco, magdalena ortega, la floridad, antonio ricaurte, atanasio giradto alfonso lopez, dividno niño y bello horizonte (10)</t>
  </si>
  <si>
    <t>Contrato 231 de 2014.</t>
  </si>
  <si>
    <t>Mejoramiento, construcción y adecuación  de la Institución Educativa Juan Jacobo Roseau del Municipio de Arauquita, Departamento de Arauca</t>
  </si>
  <si>
    <t>Mejorar la insfraestructura de las IE del departamento de Arauca</t>
  </si>
  <si>
    <t>Mejorar la insfraestructura de 1una IE del departamento</t>
  </si>
  <si>
    <t>Adecuacion de una infraesructura de la IE Juan Jacobo Ruseau</t>
  </si>
  <si>
    <t>Contrato 482 Suspendido</t>
  </si>
  <si>
    <t>Mejoramiento, construcción y adecuación  de la Institución Educativa Alejandro Humboldt del Municipio de Fortul,  departamento de Arauca</t>
  </si>
  <si>
    <t>Construccion de eccenarios deportivos y adecuaciones varias</t>
  </si>
  <si>
    <t xml:space="preserve">Eccenarios deportivos contruidos </t>
  </si>
  <si>
    <t>Contrato 537</t>
  </si>
  <si>
    <t>Mejoramiento, construcción y adecuación  de la Institución Educativa Rafael Pombo  del Municipio de Saravena, departamento de Arauca</t>
  </si>
  <si>
    <t>Construccion de la primera etapa del auditoriode la IE</t>
  </si>
  <si>
    <t>Contrato 500. Inicia actividades en 2015</t>
  </si>
  <si>
    <t>Mejoramiento, construcción y adecuación  de la Institución Educativa Simon Bolivar del Municipio de Arauca, departamento de Arauca</t>
  </si>
  <si>
    <t>Construccion de un bloque de aulas, bateriars sanitaria y biblioteca (3)</t>
  </si>
  <si>
    <t>Contrto 601.Suspendido</t>
  </si>
  <si>
    <t>Mejoramiento, construcción y adecuación  de la Institución Educativa Concentración de Desarrollo Rural del Municipio de Saravena del departamento de Arauca</t>
  </si>
  <si>
    <t>Se contracredito</t>
  </si>
  <si>
    <t>Mejoramiento, construcción y adecuación  de la Institución Educativa  Liceo Tame en el Municipio de Tame, Departamento de Arauca</t>
  </si>
  <si>
    <t xml:space="preserve">Construccion y/o adecuacion de obras en la Unidad Educativa Cristo Rey, municipio de Arauca, Departamento </t>
  </si>
  <si>
    <t xml:space="preserve">Demoliciones, obras preliminares, estructuras en concreto, manposteria </t>
  </si>
  <si>
    <t>Contrato 553. En ejecucion</t>
  </si>
  <si>
    <t>Adecuacion y mejoramiento de las instalaciones agropecuarias de la sede Granja Vocacional de la Institucion Educativa Liceo Tame en el municipio de Tame, dpto de Arauca</t>
  </si>
  <si>
    <t>Localizacion, replanteo, desmonte de corrales, rellenos, excavacion , etc</t>
  </si>
  <si>
    <t>Proceso en curso ´para 2015</t>
  </si>
  <si>
    <t>Adecuacion de las instalaciones del Centro del niño especial "Alegre Despertar" en el municipio de Tame</t>
  </si>
  <si>
    <t>Mejorar las instalaciones de centro del nilño especial de Tame</t>
  </si>
  <si>
    <t>Adecuar un centro de desarrollo especial</t>
  </si>
  <si>
    <t>Adecuar las isntalciondes de un centro de desarrollo de niños especiales</t>
  </si>
  <si>
    <t>septiembre de 2014</t>
  </si>
  <si>
    <t>Contrato 100 de 2014. ejecutado</t>
  </si>
  <si>
    <t>Mejoramiento y adecuacion de la infraestructura de la Unidad Educativa Simon Bolivar Sede Escuela Cabañas del Rio, Municipio de Arauca, Departamento de Arauca</t>
  </si>
  <si>
    <t>Instalaciones electricac, excavaciones, rellenos, cimentacion, etc</t>
  </si>
  <si>
    <t>Contrato 427, en ejecucion</t>
  </si>
  <si>
    <t>Construccion de las aulas de la sede olimpica de la institucion educativa Normal Maria Inmaculada segunda etapa del municipio de Arauca, Departamento de Arauca</t>
  </si>
  <si>
    <t>contrato 497. Suspendido</t>
  </si>
  <si>
    <t>Construccion, adecuacion de la infraestructura fisica del centro educativo Brisas del Cusai, vereda el Paraiso, Municipio de Arauquita, Departamento de Arauca. (Proceso en Curso)</t>
  </si>
  <si>
    <t>coNTRAUCION DE DOS Aulas escolares y el mejoramiento de las aulas existentes</t>
  </si>
  <si>
    <t>Contrato 104 de 2014. ejecuradp</t>
  </si>
  <si>
    <t xml:space="preserve">Construcción, adecuación de la infraestructura fisica de la institución educativa Liceo del Llano, Sede Padre Carlos Eduardo Gómez, municipio de Arauquita, Departamento de Arauca. (Proceso en Curso) </t>
  </si>
  <si>
    <t>Constrcuion y adecuacion del restaruante escoalr y dotacion del mismo</t>
  </si>
  <si>
    <t>Contrato 117 de 2014. ejecutado</t>
  </si>
  <si>
    <t>Construcción del laboratorio de física - quimica del colegio Joel Sierra, Municipio de Tame, Departamento de Arauca</t>
  </si>
  <si>
    <t>Construcion de un laboratorio de fisica quimica</t>
  </si>
  <si>
    <t>Adecuación de las instalaciones físicas de la Institución Educativa La Inmaculada del Municipio de Puerto Rondón, Dpto de Arauca</t>
  </si>
  <si>
    <t>Por definir</t>
  </si>
  <si>
    <t>Convenio con el municipio de Puerto rondon</t>
  </si>
  <si>
    <t>Construcción de la infraestructura fisica Institución Floiran Farias,   del Municipio de Tame, Departamento de Arauca</t>
  </si>
  <si>
    <t>Desmonte, cimentacion, pisos , mamposteria, cubierta, etc</t>
  </si>
  <si>
    <t>Contrato 584 de 2014, en ejecucion</t>
  </si>
  <si>
    <t>Legalización de predios de las sedes de los Establecimientos educativos de la zona urbana y rural en el Dpto de Arauca</t>
  </si>
  <si>
    <t>Legalizar predios de las sedes de las IE de  dpto de Arauca</t>
  </si>
  <si>
    <t>Legalizar 50 predios del area urbana y rural del departamento de Arauca</t>
  </si>
  <si>
    <t xml:space="preserve">Adquirir y/o legalizar los predios de 282 sedes de Establecimientos Educativos de la zona Urbana y Rural  </t>
  </si>
  <si>
    <t>No. Establecimientos Educativos con predios legalizados</t>
  </si>
  <si>
    <t>Legalizacion de 50 predios</t>
  </si>
  <si>
    <t>Predios legalizados</t>
  </si>
  <si>
    <t>Contrato 565 de 2014</t>
  </si>
  <si>
    <t>Dotación de menaje para la operación de restaurantes escolares de los centros educativos e instituciones educativas del departamento</t>
  </si>
  <si>
    <t>Fortalecer los restaurantes escolares de la IE del departamento de Arauca</t>
  </si>
  <si>
    <t>Dotar de menaje a los restaurantes escolares de las IE del departamento</t>
  </si>
  <si>
    <t>Dotar 60 Establecimientos Educativos de la zona Urbana y Rural con los insumos necesarios para desarrollar el proceso Educativo</t>
  </si>
  <si>
    <t>Entrega de menaje a 13646 estudianets de 124 EE del departamento de Arauca</t>
  </si>
  <si>
    <t>No, de niños beneficiasdos con menaje</t>
  </si>
  <si>
    <t>Acuerdo 04 de 2014. Contrato 398 de 2014.</t>
  </si>
  <si>
    <t>educacion</t>
  </si>
  <si>
    <t>Adquisición de implementos deportivos para las instituciones y centros educativos del departamento de Arauca</t>
  </si>
  <si>
    <t>Mejoar las condiciones deportivas de lE y centro educativos</t>
  </si>
  <si>
    <t>Adquirir elementos deportvos</t>
  </si>
  <si>
    <t>No. Establecimientos Educativos dotados</t>
  </si>
  <si>
    <t>Adqusicion de implementos deportivos para 19 IE del departamento de Arauca</t>
  </si>
  <si>
    <t>Implementos deportivos adquiridos</t>
  </si>
  <si>
    <t>Contrato 606 de 2014</t>
  </si>
  <si>
    <t>Mejoramiento y dotación a traves del suministro de agua potable en las instituciones y centros educativos del Departamento de Arauca.Mejoramiento y dotación a traves del suministro de agua potable en las instituciones y centros educativos del Departamento de Arauca.</t>
  </si>
  <si>
    <t>Mejorar la calidad del agua potable de los IE</t>
  </si>
  <si>
    <t>Adquirir dispensadores de agua</t>
  </si>
  <si>
    <t>entrega de 103 dispensadores para beneficar 42 Establecimientos educativos del departamento de Arauca</t>
  </si>
  <si>
    <t>Dispensadores entregados</t>
  </si>
  <si>
    <t>Dicmebre 2014</t>
  </si>
  <si>
    <t>Octubre de 2015</t>
  </si>
  <si>
    <t>Contrato 575 de 2014, en ejecucion CON Vigencia futura</t>
  </si>
  <si>
    <t>Beneficiar a 2,000 estudiantes de educación preescolar, básica y media con modelos educativos flexibles, mediante el proyecto PER II</t>
  </si>
  <si>
    <t>No. De estudiantes beneficiados</t>
  </si>
  <si>
    <t>Formar a 2,000 estudiantes en competencias laborales o para el trabajo.</t>
  </si>
  <si>
    <t>No. De Estudiantes Formados</t>
  </si>
  <si>
    <t>Implementación del programa de alimentación escolar con enfoque diferencial en las instituciones y centros educativos del Departamento de Arauca</t>
  </si>
  <si>
    <t>Implementar el programa de alimentacion escolar</t>
  </si>
  <si>
    <t>Suministrar raciones servidas a los estudiantes del departamento</t>
  </si>
  <si>
    <t>Beneficiar a 40.000 Estudiantes con alimentación escolar</t>
  </si>
  <si>
    <t>Suministro de raciones para 36284 estudiantes del departamento de Arauca</t>
  </si>
  <si>
    <t>Raciones suministradas</t>
  </si>
  <si>
    <t>mayo de 2015</t>
  </si>
  <si>
    <t>contrato 260 de 2014 y 573 de 2014 (ultimo suspoendido)</t>
  </si>
  <si>
    <t>Implementación del programa de alimentación escolar con enfoque diferencial en las instituciones y centros educativos del departamento de Arauca. (Proceso en Curso)</t>
  </si>
  <si>
    <t>Suministro de raciones para 42454 estudiantes del departamento de Arauca</t>
  </si>
  <si>
    <t>febrero de 2014</t>
  </si>
  <si>
    <t>Contrato 084</t>
  </si>
  <si>
    <t>Servicio de transporte escolar en las Instituciones y Centros educativos del departamento de Arauca</t>
  </si>
  <si>
    <t>Prestar el servicionde transporte escolar a los niñ@s del departamento de Arauca</t>
  </si>
  <si>
    <t>beneficiar a 6627 niñ@s con transporte escolar</t>
  </si>
  <si>
    <t xml:space="preserve">Beneficiar a 6,000 estudiantes con transporte escolar del área rural </t>
  </si>
  <si>
    <t>No. Estudiantes beneficiados</t>
  </si>
  <si>
    <t>Trasnportar a 6627niñ@s de los establecimientos educativos del area urbana y rural</t>
  </si>
  <si>
    <t xml:space="preserve">Niñ@s con servicio de trasporte escolar </t>
  </si>
  <si>
    <t>febrero de 2015</t>
  </si>
  <si>
    <t>Marceliano Guerrero Alvarado</t>
  </si>
  <si>
    <t>Contrato 121 de 214.</t>
  </si>
  <si>
    <t xml:space="preserve">Educación </t>
  </si>
  <si>
    <t xml:space="preserve">Secretario de educación </t>
  </si>
  <si>
    <t>Beneficiar a 3000 personas con programas de Alfabetización mediante el modelo A CRECER</t>
  </si>
  <si>
    <t>No. De personas alfabetizadas</t>
  </si>
  <si>
    <t>Mejor Desempeño, mejor Resultado</t>
  </si>
  <si>
    <t xml:space="preserve">Formar a 1200 docentes en la estrategia de aplicación de las pruebas SABER </t>
  </si>
  <si>
    <t>No. de docentes capacitados</t>
  </si>
  <si>
    <t>Apoyo a la implementación  del Plan de educación Rural en el Departamento de Arauca.(Proceso en Curso)</t>
  </si>
  <si>
    <t>Formular, aprobar e implementar el Plan de Educación Rural Departamental</t>
  </si>
  <si>
    <t>Plan de Educación Departamental implementado</t>
  </si>
  <si>
    <t>Aisstencia tecnica para la impmementacion de un proyecto pedagogico productivo PPP en los EE</t>
  </si>
  <si>
    <t>Contrato 092 de 2014. ejecutado</t>
  </si>
  <si>
    <t>Apoyo a la inclusión educativa mediante la implementación de estrategias para atender a la población con NEE. (Proceso en Curso)</t>
  </si>
  <si>
    <t>Apoyar a 300 niños y jóvenes con el programa de Atención a Población con Necesidades Educativas Especiales en el departamento</t>
  </si>
  <si>
    <t>Contratcion de personal y dotacion de material pedgogico para beneficar a 252 niñ@s discapacitados</t>
  </si>
  <si>
    <t>julio de 2014</t>
  </si>
  <si>
    <t>Contrato 138 de 2014. liquidado</t>
  </si>
  <si>
    <t>Implementar las redes de conocimiento para el mejoramiento de las practicas pedagogicas de las diferentes areas del conocimiento mediante el uso de contenidos, metodologias y MTICs,</t>
  </si>
  <si>
    <t>No. de red del conocimiento Implementada</t>
  </si>
  <si>
    <t>Adoptar e implementar una política de estímulos para premiar los buenos resultados académicos de los estudiantes</t>
  </si>
  <si>
    <t>No. de política de estímulos adoptadas e implementadas</t>
  </si>
  <si>
    <t>Fortalecer 14 instituciones educativas del departamento para que  articulen la Educación media con la Educación superior</t>
  </si>
  <si>
    <t>No. instituciones educativas beneficiadas</t>
  </si>
  <si>
    <t>Implementación de programas  y proyectos transversales en las instituciones educativas del Departamento de Arauca</t>
  </si>
  <si>
    <t xml:space="preserve">Articular en las 66 Instituciones y Centro Educativos  la implementación de los programas (áreas disciplinarias, proyectos obligatorios, Jornadas escolares complementarias y especiales) del MEN en el Departamento.
</t>
  </si>
  <si>
    <t xml:space="preserve">No. de Instituciones y Centros Educativas en las que se articularon los programas </t>
  </si>
  <si>
    <t>Avance del 30%</t>
  </si>
  <si>
    <t xml:space="preserve">Realizacion de 36 talleres de capacitacion </t>
  </si>
  <si>
    <t>Constanza Morales</t>
  </si>
  <si>
    <t xml:space="preserve">Apoyo y fomento a la educación Superior a jovenes del departamento de Arauca </t>
  </si>
  <si>
    <t xml:space="preserve">Apoyar y fomentar el acceso a la educación superior como mìnimo de  284 estudiantes </t>
  </si>
  <si>
    <t>No. de estudiantes beneficiados con educación superior</t>
  </si>
  <si>
    <t>Otorgar 12 becas a igual numero de jovenes  para edujcacion superior</t>
  </si>
  <si>
    <t>Becas otorgadas</t>
  </si>
  <si>
    <t>Traferencia al IDEAR</t>
  </si>
  <si>
    <t>Apoyo a  la educación superior mediante el mejoramiento de la  infraestructura física en Universidades Públicas en el Dpto de Arauca.</t>
  </si>
  <si>
    <t>Mejoramieno de baterias sanitarias y auditorio de la ESAP</t>
  </si>
  <si>
    <t>Baterias y audiorio mejorados</t>
  </si>
  <si>
    <t>Proceso en curso</t>
  </si>
  <si>
    <t>Gestionar la construcciòn ante el gobierno nacional la construcciòn de los laboratorios de la UN sede Orinoquia</t>
  </si>
  <si>
    <t>Construcciòn de Laboratorios de UN sede Orinoquia Gestionadas</t>
  </si>
  <si>
    <t>Gestionar la Construccciòn ante el Gobierno Nacional de la sede de la Universidad Nacional Abierta y a Distancia en el Municipio de Arauquita</t>
  </si>
  <si>
    <t>Construcciòn d el asede de la Universidad Nacional Abierta y a distancia gestionada</t>
  </si>
  <si>
    <t>Gestionar la categorizaciòn para que la sede de la ESAP Arauca se convierta en una territorial</t>
  </si>
  <si>
    <t>Categorizaciòn de la sede ESAP gestionada</t>
  </si>
  <si>
    <t>Educación con pertinencia</t>
  </si>
  <si>
    <t>Apoyar  la formulación de un (1) currículo binacional Arauca-Apure</t>
  </si>
  <si>
    <t>Un (1) currículo binacional Arauca-Apure formulado</t>
  </si>
  <si>
    <t>Implementar la cátedra de emprendimiento y crear e implementar la de Investigación en las 43 instituciones educativas del departamento.</t>
  </si>
  <si>
    <t>Cátedra de Investigación y de emprendimiento implementadas en todas las I.E</t>
  </si>
  <si>
    <t>Implementar en 22 Sedes Educativas el nuevo diseño de conectividad del departamento de Arauca (conexión Total MEN)</t>
  </si>
  <si>
    <t>No. de instituciones y centros educativos con servicios de conectividad en el programa de conexión total del MEN</t>
  </si>
  <si>
    <t>Ampliar la cobertura de la conectividad  a través del Programa Red Arauca en  11  Instituciones Educativas y 9 CEAR del Departamento</t>
  </si>
  <si>
    <t>No. de instituciones y centros educativos con servicios de conectividad en la RED ARAUCA</t>
  </si>
  <si>
    <t>Crear, dotar e implementar un centro de desarrollo tecnológico en una institución educativa</t>
  </si>
  <si>
    <t xml:space="preserve">Centro de Desarrollo tecnológico creado en la Institución educativa </t>
  </si>
  <si>
    <t>Dotación de tecnologías que desarrollen capacidades  y habilidades comunicativas en la Institución Educativa Normal Superior Maria Inmaculada del Municipio de Arauca</t>
  </si>
  <si>
    <t>Dotar a los 19 CEAR y 10 Instituciones Educativas con materiales audio visuales y nuevas tecnologías</t>
  </si>
  <si>
    <t>No. De CEAR e Instituciones Educativas dotadas.</t>
  </si>
  <si>
    <t>Entrega de una consola de aire de 12 canales y un hibrido telefonico, un precesador digital.</t>
  </si>
  <si>
    <t>Elementos adquiridos</t>
  </si>
  <si>
    <t>Emilio  Sanchez</t>
  </si>
  <si>
    <t>Contrato 469 de 2014. Suspendido</t>
  </si>
  <si>
    <t>Implementar una (1) estrategia que fomente y desarrolle la capacidad de adopción de otro idioma en las instituciones educativas</t>
  </si>
  <si>
    <t>No de estrategia implementada</t>
  </si>
  <si>
    <t>Eficiencia y modernización del sector educativo</t>
  </si>
  <si>
    <t>Nomina de los funcionarios encargados de desarrollar labores administrativas necesarias para el funcionamiento de los establecimientos educativos oficiales del  departamento de Arauca (Sueldos de Personal de Nómina)</t>
  </si>
  <si>
    <t>Garantizar la  prestación del servicio educativo en el 100% de las instituciones y centros educativos del Departamento de Arauca</t>
  </si>
  <si>
    <t xml:space="preserve">Cancelar el servicio de educacion </t>
  </si>
  <si>
    <t>Garantizar la eficiencia, operación y prestación del servicio educativo en el 100% de las instituciones y centros educativos del Departamento de Arauca</t>
  </si>
  <si>
    <t>Porcentaje de instituciones y centros educativos que prestan eficientemente el servicio educativo</t>
  </si>
  <si>
    <t>Pago de Nomina de los funcionarios encargados de desarrollar labores administrativas</t>
  </si>
  <si>
    <t>Nomina pagada</t>
  </si>
  <si>
    <t>Nómina de los funcionarios encargados de desarrollar labores administrativas necesarias para el funcionamiento de los establecimientos educativos especiales del Departamento de Arauca  (Horas Extras y días festivos - Recargo por jornada ordinaria Nocturna - personal de vigilancia)</t>
  </si>
  <si>
    <t>Nómina de los funcionarios encargados de desarrollar labores administrativas necesarias para el funcionamiento de los establecimientos educativos oficiales del departamento de Arauca  (Indemnización por vacaciones)</t>
  </si>
  <si>
    <t>Nómina de los funcionarios encargados de desarrollar labores administrativas necesarias para el funcionamiento de los establecimientos educativos especiales del departamento de Arauca  (Prima técnica)</t>
  </si>
  <si>
    <t>Nómina de los funcionarios encargados de desarrollar labores administrativas necesarias para el funcionamiento de los establecimientos educativos oficiales del departamento de Arauca (Otros Gastos por Servicios Personales)</t>
  </si>
  <si>
    <t>Aporte parafiscal destinado por la ley 21 de 1982 para  proveer el pago del subsidio familiar, liquidación sobre nómina de  administrativos de los establecimientos educativos oficiales del departamento de arauca</t>
  </si>
  <si>
    <t>Aporte de previsión social cesantías, liquidación sobre nómina de administrativos  de los establecimientos educativos oficiales del departamento de arauca (incluye provisión para pago de los intereses sobre cesantias de los empleados del regimen anualizado)</t>
  </si>
  <si>
    <t xml:space="preserve">Aporte de previsión social salud,  liquidación sobre nómina de administrativos  de los establecimientos educativos oficiales del departamento de arauca </t>
  </si>
  <si>
    <t>Aporte de previsión social pensión,  liquidación sobre nómina de administrativos  de los establecimientos educativos oficiales del departamento de arauca</t>
  </si>
  <si>
    <t>Aporte parafiscal  destinado por la ley 21 de 1982  al servicio naciónal de aprendizaje sena, liquidación sobre la nómina de administrativos de los establecimientos educativos oficiales del departamento de arauca</t>
  </si>
  <si>
    <t>Aporte parafiscal destinado por la ley 89 de 1988 al instituto colombiano de bienestar familiar i.c.b.f., liquidación sobre nómina de administrativos de los establecimientos educativos oficiales del departamento de arauca</t>
  </si>
  <si>
    <t>Aporte parafiscal  destinado por la ley 21 de 1982 para las escuelas industriales e institutos técnicos,  liquidación sobre nómina de administrativos de los establecimientos educativos oficiales del departamento de arauca</t>
  </si>
  <si>
    <t xml:space="preserve">Aporte parafiscal destinado por la ley 21 de 1982 para la escuela superior de administración pública  ESAP,  liquidación sobre nómina de administrativos de los establecimientos educativos oficiales del departamento de arauca </t>
  </si>
  <si>
    <t xml:space="preserve">Aporte previsión social administradora de riesgos profesionales, liquidación sobre nómina de administrativos de los establecimientos educativos oficiales del departamento de Arauca </t>
  </si>
  <si>
    <t>Apoyo con personal ocasional para el desarrollo de actividades netamente transitorias diferentes a docencia en las  I.E. públicas del departamento de Arauca ( Incluye los pagos a la Comisión Nacional del Servicio Civil - CNSC,  por convocatoria de concursos públicos para proveer cargos de Administrativos, en cumplimiento del artículo 9º del Dec. 3982/2006)</t>
  </si>
  <si>
    <t xml:space="preserve">Apoyo con personal ocasional para el desarrollo de actividades netamente transitorias diferentes a docencia en las  I.E. </t>
  </si>
  <si>
    <t>Apoyo brindado</t>
  </si>
  <si>
    <t>Adquisición de calzado y vestido de labor para el personal administrativo de los establecimientos educativos oficiales del departamento de Arauca. (Ley 70/88 y Decreto Reglamentario N°1978/89)</t>
  </si>
  <si>
    <t>Viáticos y gastos de viaje para el  personal administrativo de los establecimientos educativos oficiales del departamento de Arauca</t>
  </si>
  <si>
    <t xml:space="preserve">Pago de Viáticos y gastos de viaje para el  personal administrativo </t>
  </si>
  <si>
    <t>Viaticos y gastos pagados</t>
  </si>
  <si>
    <t>Capacitación, bienestar social y estimulos para el personal administrativo de los establecimientos educativos oficiales del departamento de Arauca</t>
  </si>
  <si>
    <t xml:space="preserve">Capacitación, bienestar social y estimulos para el personal administrativo </t>
  </si>
  <si>
    <t>Personal capacitado</t>
  </si>
  <si>
    <t>Pago sentencias y conciliaciones resultante de procesos conciliatorios o fallos proferidos mediante sentencia judicial en favor de administrativos de los establecimientos educativos oficiales del departamento de Arauca</t>
  </si>
  <si>
    <t>Provisión retroactivida cesantias aplicable a servidores vinculados antes del  30 de diciembre de  1996</t>
  </si>
  <si>
    <t>Contratación del servicio de aseo para las instituciones y centros educativos públicos del departamento de Arauca</t>
  </si>
  <si>
    <t>Contratación del servicio de vigilancia para las instituciones y centros educativos  publicos del departamento de Arauca</t>
  </si>
  <si>
    <t>Compensación a entidades financieras por los costos en que estas incurren por la  prestación del servicio de pago de las nóminas de educadores y administrativos a cargo del  EL SGP-Educación en el departamento de Arauca</t>
  </si>
  <si>
    <t>Pago mesada pensional al personal administrativo nacionalizado causadas antes del  1° De Enero De 1996 (antes de entrar en vigencia la ley 100 de 1993 en las entidades territoriales), reconocidas por las cajas o fondos de previsión social o en su defecto por el fondo territorial de pensiones públicas y que se pagan con cargo a los recursos del SGP-CPSM.</t>
  </si>
  <si>
    <t>Nómina de docentes vinculados a la planta de personal certificada de la  E.T. dedicados a desarrollar los procesos de formación integral de los estudiantes matriculados en los  establecimientos educativos oficiales del departamento de Arauca (Sueldos de Personal de Nómina)</t>
  </si>
  <si>
    <t>Nómina de docentes vinculados a la planta de personal certificada de la  E.T. dedicados a desarrollar los procesos de formación integral de los estudiantes matriculados en los  establecimientos educativos oficiales del departamento de Arauca (Otros Gastos por Servicios Personales)</t>
  </si>
  <si>
    <t>Aporte parafiscal destinado por la Ley  21 DE 1982 para proveer el pago del subsidio familiar, liquidación sobre nómina del personal docente del departamento de AraucaEPARTAMENTO DE ARAUCA</t>
  </si>
  <si>
    <t>Aporte parafiscal destinado por la Ley  21 DE 1982 al servicio nacional de aprendizaje SENA, liquidación sobre nómina del personal  docente del departamento de Arauca.</t>
  </si>
  <si>
    <t>Aporte parafiscal destinado por la Ley 89 de 1988 al instituto Colombiano de Bienestar Familiar I.C.B.F. ,liquidación sobre nómina del personal docente departamento de Arauca</t>
  </si>
  <si>
    <t>Aporte parafiscal destinado por la Ley 21 DE 1982 para las escuelas industriales e Institutos técnicos, liquidación  sobre nómina del personal docente del  Departamento de Arauca</t>
  </si>
  <si>
    <t>Aporte parafiscal destinados por la Ley 21 DE 1982 para la escuela superior de Administración Pública  ESAP, liquidación sobre nómina del personal docente del  departamento de Arauca</t>
  </si>
  <si>
    <t>Aporte patronal de previsión social cesantias, liquidación sobre el valor de la nómina del personal docente del departamento de Arauca (Sin Situación de Fondos)</t>
  </si>
  <si>
    <t>Aportes patronal de previsión social por concepto de salud establecido de conformidad con la Ley  100 de 1993 del personal docente afiliado al Fondo de Prestaciones Sociales del Magisterio, que labora en el departamento de Arauca. (Sin Situación de Fondos)</t>
  </si>
  <si>
    <t>Adquisición de calzado y vestido de labor para el personal docente de los establecimientos educativos oficiales del departamento de Arauca. (Ley 70/88 y Decreto Reglamentario N°1978/89)</t>
  </si>
  <si>
    <t xml:space="preserve">Adquisición de calzado y vestido de labor para el personal docente </t>
  </si>
  <si>
    <t>Viaticos y gastos de viaje para el personal docente de los establecimientos educativos oficiales del departamento de Arauca</t>
  </si>
  <si>
    <t xml:space="preserve">Viaticos y gastos de viaje para el personal docente </t>
  </si>
  <si>
    <t xml:space="preserve">Capacitación, bienestar social y estimulos para el personal docente de los establecimientos educativos oficiales del departamento </t>
  </si>
  <si>
    <t xml:space="preserve">Capacitación, bienestar social y estimulos para el personal docente </t>
  </si>
  <si>
    <t>Pago sentencias y conciliaciones resultante de procesos conciliatorios o fallos proferidos mediante sentencia judicial en favor  de docentes de los establecimientos educativos oficiales del departamento de Arauca</t>
  </si>
  <si>
    <t xml:space="preserve">Pagos a la comisión nacional del servicio civil  - CNSC -, por convocatoria de concursos públicos para proveer cargos docentes, en cumplimiento del articulo  9° del decreto 3982 DE 2006.   </t>
  </si>
  <si>
    <t xml:space="preserve">Pago mesada pensional al personal docente nacionalizado  (Por la Ley 43 de 1975, que en virtud de la Ley 91 de 1989, no quedaron a cargo del Fondo Nacional de Prestaciones Sociales del Magisterio FNPSM) financiados con recursos  SGP- CPSM.  </t>
  </si>
  <si>
    <t>Nómina de los directivos docentes vinculados a la planta de personal certificada del departamento de Arauca (Supervisores, Rectores, Directores Rurales y Coordinadores)  (Sueldos de Personal de Nómina)</t>
  </si>
  <si>
    <t>Nómina de los directivos docentes vinculados a la planta de personal certificada del departamento de Arauca (Supervisores, Rectores, Directores Rurales y Coordinadores)  (Horas Extras y Días Festivos)</t>
  </si>
  <si>
    <t>Nómina de los directivos docentes vinculados a la planta de personal certificada del departamento de Arauca (Supervisores, Rectores, Directores Rurales y Coordinadores)  (Indemnización por vacaciones)</t>
  </si>
  <si>
    <t>Nómina de los directivos docentes vinculados a la planta de  personal certificada del departamento de Arauca (Supervisores, Rectores, Directores Rurales y Coordinadores)  (Otros Gastos por Servicios Personales)</t>
  </si>
  <si>
    <t>Aporte parafiscal destinado por la  Ley 21 DE 1982 para proveer el pago del subsidio familiar, liquidación sobre nómina de los directivos docentes del departamento de Arauca</t>
  </si>
  <si>
    <t>Aporte parafiscal destinado por la Ley 21 DE 1982 al servicio nacional de aprendizaje  SENA, liquidación sobre nómina de los directivos docentes del departamento EPARTAMENTO DE ARAUCA</t>
  </si>
  <si>
    <t>Aporte parafiscal destinado por la Ley 89 de 1988 al Instituto Colombiano de Bienestar Familiar I.C.B.F. , liquidación sobre nómina de los directivos docentes del departamento de Arauca</t>
  </si>
  <si>
    <t>Aporte parafiscal destinado por la  Ley 21 DE 1982 para las escuelas industriales e Institutos técnicos, liquidación  sobre nomina de los directivos  docentes del departamento de Arauca</t>
  </si>
  <si>
    <t>Aporte parafiscal destinados por la Ley  21 de 1982 para la Escuela Superior de Administración Pública - ESAP, Liquidación sobre nómina de los directivos docentes  del Departamento de Arauca</t>
  </si>
  <si>
    <t>Aporte patronal de previsión social, cesantias, liquidación sobre el valor de la nómina de los directivos docentes del departamento  (Sin Situación de Fondos)</t>
  </si>
  <si>
    <t>Aportes patronales de previsión social por concepto de salud establecido de conformidad con la Ley  100 DE 1993 de los directivos docentes afiliados al  Fondo de Prestaciones sociales del magisterio, que labora en el departamento de Arauca. (Sin Situación de Fondos)</t>
  </si>
  <si>
    <t>Adquisición de calzado y vestido de labor para el personal directivo docente de los establecimientos educativos oficiales del departamento de Arauca. (Ley 70/88 y Decreto Reglamentario N°1978/89)</t>
  </si>
  <si>
    <t>Calzado y vestido adquirido</t>
  </si>
  <si>
    <t>Viaticos y gastos de viaje para el personal directivo docente de los establecimientos educativos oficiales del departamento de Arauca</t>
  </si>
  <si>
    <t>Capacitación, Bienestar social y estimulos para el personal directivo docente de los establecimientos educativos oficiales del departamento de Arauca</t>
  </si>
  <si>
    <t>Capacitación, Bienestar social y estimulos para el personal directivo  departamento de Arauca</t>
  </si>
  <si>
    <t>Apoyo al funcionamiento y la adecuada atención de la población atendida bajo la  modalidad de internados para garantizar su acceso y permanencia en el departamento de Arauca</t>
  </si>
  <si>
    <t>Apoyo al funcionamiento y la adecuada atención de la población atendida bajo la  modalidad de internados</t>
  </si>
  <si>
    <t>Apoyo con enfoque diferencial a los establecimientos educativos oficiales del departamento de Arauca para garantizar la sostenibilidad de la conectividad a través del programa conexión total, implementado por el  MEN</t>
  </si>
  <si>
    <t>Apoyo con enfoque diferencial a los establecimientos educativos  a través del programa conexión total, implementado por el  MEN</t>
  </si>
  <si>
    <t>Mejoramiento de la atención a la población con necesidades educativas especiales "NEE" (excepto baja visión y baja audición) en establecimientos educativos oficiales del departamento de Arauca.</t>
  </si>
  <si>
    <t>Mejoramiento de la atención a la población con necesidades educativas especiales "NEE"</t>
  </si>
  <si>
    <t>Servicio de transporte escolar para garantizar el acceso y permanencia en el sistema educativo de los niños y niñas pertenecientes a los niveles 1 Y 2 Del Sisben en el departamento de Arauca.</t>
  </si>
  <si>
    <t xml:space="preserve">Servicio de transporte escolar para garantizar el acceso y permanencia en el sistema educativo </t>
  </si>
  <si>
    <t>Transporte escolar prestado</t>
  </si>
  <si>
    <t>Complemento de alimentación escolar a los estudiantes de las instituciones educativas públicas del departamento de Arauca</t>
  </si>
  <si>
    <t xml:space="preserve">Complemento de alimentación escolar a los estudiantes </t>
  </si>
  <si>
    <t>Alimentacion escolar entregada</t>
  </si>
  <si>
    <t xml:space="preserve">Pago mesada pensional al personal docente nacionalizado  (Por la Ley 43 de 1975, que en virtud de la Ley 91 de 1989, no quedaron a cargo del Fondo Nacional de Prestaciones Sociales del Magisterio FNPSM)  FINANCIADOS CON RECURSOS  SGP- CPSM.  </t>
  </si>
  <si>
    <t>Apoyo para pago de deudas laborales al personal docente y administrativo, como costos acumulados en el escalafón nacional docente, incentivos regulados en los decretos 1171/2004 y 521/2010, homologaciones de cargos administrativos, primas y otros derechos laborales.</t>
  </si>
  <si>
    <t xml:space="preserve">Apoyo para pago de deudas laborales al personal docente y administrativo, </t>
  </si>
  <si>
    <t>Apoyo con enfoque diferencial a los establecimientos educativos oficiales del  departamento de Arauca para garantizar para la sostenibilidad de la conectividad a través   del programa conexión total, implementado por el  MEN. (Proceso en Curso)</t>
  </si>
  <si>
    <t>Apoyo con enfoque diferencial a los establecimientos educativos  a través   del programa conexión total, implementado por el  MEN. (Proceso en Curso)</t>
  </si>
  <si>
    <t>Apoyo a población en condición de discapacidad con necesidades educativas especiales  (NEE) en establecimiento educativos oficiales del departamento de Arauca (Excepto baja visión y baja audición).(Proceso en Curso)</t>
  </si>
  <si>
    <t>Implantación de tablas de retención documental, diagnóstico y capacitación en los establecimientos educativos públicos del departamento de Arauca. (En cumplimiento de la Ley  594/2000 "Por medio de la cual se dicta la Ley General de Archivos y se dictan otras disposiciones").(Proceso en Curso)</t>
  </si>
  <si>
    <t xml:space="preserve">Implantación de tablas de retención documental, diagnóstico y capacitación en los establecimientos educativos </t>
  </si>
  <si>
    <t>Tablas de retencion implentadas</t>
  </si>
  <si>
    <t>Implantación de tablas de retención documental y otras acciones para el mejoramiento del servicio educativo en el  Departamento de Arauca</t>
  </si>
  <si>
    <t>Fortalecimiento de la eficiencia y calidad educativa a través de la realización del foro educativo departamental de Arauca</t>
  </si>
  <si>
    <t>Realización del foro educativo departamental de Arauca</t>
  </si>
  <si>
    <t>Foro educativo realizado</t>
  </si>
  <si>
    <t>Apoyo al funcionamiento básico de los establecimientos educativos estatales.</t>
  </si>
  <si>
    <t>Gestión deportiva</t>
  </si>
  <si>
    <t>Recreación y deporte formativo</t>
  </si>
  <si>
    <t>Desarrollo del programa de habitos de estilos de vida saludable  a moverse Camarita en el Departamento de Arauca</t>
  </si>
  <si>
    <t>Fomentar en cada uno de los municipiod el Depatamento, los hábitos y estilo s devida saludable, a través de la actividad física</t>
  </si>
  <si>
    <t>Beneficiar a 60.000 personas en el Departamento de Arauca.</t>
  </si>
  <si>
    <t>Realizar cuatro (4) programas integrales de formación deportiva y recreativa</t>
  </si>
  <si>
    <t>No. de programas realizados</t>
  </si>
  <si>
    <t>Aquisición de implementación deportiva, capacitación en encuentros nacionales , difusión y promosión del programa</t>
  </si>
  <si>
    <t>adquisición y capacitación</t>
  </si>
  <si>
    <t>Blanca Flor Alvares Walteros</t>
  </si>
  <si>
    <t>Otros</t>
  </si>
  <si>
    <t>Coldeportes Arauca</t>
  </si>
  <si>
    <t>Aportes para el desarrollo de los juegos supérate intercolegiados en el Departamento de Arauca</t>
  </si>
  <si>
    <t>Fomentar el deporte estudiantil en cada uno de los municipio del Departamneto de arauca, através de encuentros deportivos</t>
  </si>
  <si>
    <t>Beneficiar a 1250 niños, niñas y adolescentes de 5 a 17 años con programas de recreación y deporte</t>
  </si>
  <si>
    <t xml:space="preserve">Beneficiar a 5.000 niñas, niños y adolescentes de 5 a 17 años con actividades deportivas y recreativas </t>
  </si>
  <si>
    <t>No. de niños, niñas y adolescentes de 5 a 17 años con programas de recreación y deporte</t>
  </si>
  <si>
    <t>Realizacion de los juegos intercolegiados fase departamental, zonal y final nacional; asistencia tecnica a traves de monitores para las escuelas de formacion deportiva.</t>
  </si>
  <si>
    <t>Juegos Intercolegiados realizados</t>
  </si>
  <si>
    <t>Niñez, Infancia, Adolescencia</t>
  </si>
  <si>
    <t xml:space="preserve">Realizar cuatro (4) programas integrales lúdicos recreativos para la promoción del juego en la primera infancia, niñez, adolescencia y juventud </t>
  </si>
  <si>
    <t>Deporte asociado y competitivo</t>
  </si>
  <si>
    <t>Apoyo a Deportistas y Entrenadores con Incentivos y Estímulos Económicos que contribuyan a la realización de las metas contempladas en el Plan Nacional del Sector en representación del Dpto de Arauca (Ordenanza No. 015 de 2013)</t>
  </si>
  <si>
    <t>Incentivos a los deportistas, entrenadores y técnicos que obtengan medallas en eventos naciones e internacionales</t>
  </si>
  <si>
    <t>Apoyar 3 ligas de deporte asociado y competitivo</t>
  </si>
  <si>
    <t>Apoyar las once (11) ligas de deporte asociado y competitivo en el departamento de Arauca</t>
  </si>
  <si>
    <t>No. de ligas de deporte asociado y competitivo apoyadas</t>
  </si>
  <si>
    <t>Reconocimiento a través de incentivos económicos</t>
  </si>
  <si>
    <t>Icentivos</t>
  </si>
  <si>
    <t>Apoyo, Promoción y fomento del deporte en convenio con los Municipios del Departamento de Arauca (Conforme al decreto 4934/2009)</t>
  </si>
  <si>
    <t>Apoyar los municipios en el desarrollo del fomento del deporte</t>
  </si>
  <si>
    <t>Apoayar los siete municipios del departamento de Arauca</t>
  </si>
  <si>
    <t>Frima de convenio con los siete (7) para el desarrollo del fomento del deporte y recreacion</t>
  </si>
  <si>
    <t>Convenios firmados</t>
  </si>
  <si>
    <t>Fortalecimiento y asistencia técnica al Deporte asociado y competitivo a través del apoyo para la participación competitiva de las ligas deportivas del Departamento de Arauca</t>
  </si>
  <si>
    <t>Apoyo a las ligas deportivas, através de monitores, entrenadores y participaciones a eventos del orden dtal, nacional e internacional</t>
  </si>
  <si>
    <t>Apoyar 6 ligas de deporte asociado y competitivo</t>
  </si>
  <si>
    <t>Asistencia técnica a través de entranadores y monitores / apoyo con transporte, hospedaje y alimentación entre otros a eventos convocados por las respectivas federacines deportivas</t>
  </si>
  <si>
    <t>Asistencia técnica</t>
  </si>
  <si>
    <t>Deporte comunitario</t>
  </si>
  <si>
    <t>Apoyo a la realización de eventos Deportivos para el bienestar del adulto mayor en el Departamento de Arauca</t>
  </si>
  <si>
    <t>Fomentar bienestar a las personas mayores de cada uno de los municipios, através de encuentros municipales, departamental y participación en el encuentro nacional nuevo comienzo, otro motivo para vivir</t>
  </si>
  <si>
    <t>Beneficiar a 70 adultos mayores</t>
  </si>
  <si>
    <t>Realizar doce (12) programas integrales de deporte social y comunitario</t>
  </si>
  <si>
    <t>No. de programas integrales realizados</t>
  </si>
  <si>
    <t>Desarrollo del encuentro departamental del adulto mayor y participacion al encuentro nacional Nuevo Comienzo Otro motivo para vivir</t>
  </si>
  <si>
    <t>Encuentro departamental desarrollado</t>
  </si>
  <si>
    <t>Deporte Y Recreación</t>
  </si>
  <si>
    <t>Apoyo a la realización de las olimpiadas a los maestros de las instituciones educativas del Departamento de Arauca</t>
  </si>
  <si>
    <t>Realizar las olimpiadas a los maestros de las instituciones educativas del Departamento de arauca</t>
  </si>
  <si>
    <t>Beneficiar a 500 maestros</t>
  </si>
  <si>
    <t>Desarrollo de Olimpidas dirigidas al magisterio con la participacion de los siete municipio del departamento (apoyo logistico, encuentros deportivos y recreativos)</t>
  </si>
  <si>
    <t>Olimpiadas desarrolladas</t>
  </si>
  <si>
    <t>Apoyo a la realización de las olimpiadas comunales en el Departamento de Arauca</t>
  </si>
  <si>
    <t>Fomentar en la población comunal del Departamento el deporte, la recreación y encuentros culturales como aprovechamiento del tiempo libre.</t>
  </si>
  <si>
    <t>Relializar las olimpiadas con la participación de los siete municipios</t>
  </si>
  <si>
    <t>realización de olimpiadas comunales en el despartamento de Arauca a través de encuentros deportivos</t>
  </si>
  <si>
    <t>Apoyo a la realización de las olimpiadas de la salud en el Dpto de Arauca</t>
  </si>
  <si>
    <t>Apoyar el encuentro de la población del sector de la salud, a través de encuentros deportivos como aprovechamiento del tiempo libre</t>
  </si>
  <si>
    <t>Participación de los siete municipios del sector salud</t>
  </si>
  <si>
    <t>realización de las segundas olimpiadas del sector salud en el departamento de Arauca</t>
  </si>
  <si>
    <t>Apoyo a la realización de Juegos Departamentales y Participación en Juegos de la Orinoquia, Dpto de Arauca</t>
  </si>
  <si>
    <t>Realizar la fase departamental y participar en la fase nacional de los juegos de la orinoquía programada por coldeportes nacional</t>
  </si>
  <si>
    <t>Desarrollar la fase departamental con la participación de los siete municipios</t>
  </si>
  <si>
    <t>Seleccionar los participantes por el departamento  de Arauca a los juegos de la orinoquía 2014.</t>
  </si>
  <si>
    <t>Participación</t>
  </si>
  <si>
    <t>Creación e implementación de la Política Pública del Deporte, la Recreación, la Actividad Física en el Dpto de Arauca</t>
  </si>
  <si>
    <t>Implementar en el Departamento de Arauca, la polñitica pñublica del deporte, la recreación y la actividad física</t>
  </si>
  <si>
    <t>participación de todos lo municipios actores y direigencia deportiva y recreativa del Departamento de Arauca</t>
  </si>
  <si>
    <t>Diagnóstico, Convocatoria, mesas de trabajo y propuesta</t>
  </si>
  <si>
    <t>Política</t>
  </si>
  <si>
    <t xml:space="preserve">Se ejecutar en 2015. </t>
  </si>
  <si>
    <t>Apartes para el desarrollo de los juegos Superate-Intercolegiados en el departamento de Arauca</t>
  </si>
  <si>
    <t>Apoyar el desarrollo de los juegos superate</t>
  </si>
  <si>
    <t>Hacer tranferencia de recursos a Educacion para el desarrollo del programa</t>
  </si>
  <si>
    <t>Transferencia acoldeportes</t>
  </si>
  <si>
    <t>Infraestructura deportiva</t>
  </si>
  <si>
    <t>Adecuación, construcción y mejoramiento de la infraestructura deportiva del Departamento de Arauca</t>
  </si>
  <si>
    <t>Adecuación y/o construcción de escenatios deportivos</t>
  </si>
  <si>
    <t>Adecuar y/o construir dos escenatios deportivos</t>
  </si>
  <si>
    <t>Adecuar y/o construir 8 escenarios deportivos</t>
  </si>
  <si>
    <t>No. de escenarios deportivos adecuados y/o construidos</t>
  </si>
  <si>
    <t>Construir y/o mejorar dos escenarios deportivos (uno en Saravena y uno en cravo Norte)</t>
  </si>
  <si>
    <t>Escenarios deportivos construidos</t>
  </si>
  <si>
    <t>Construcción de un espacio deportivo y recreativo en el municipio de Saravena, Departamento de Arauca</t>
  </si>
  <si>
    <t>Construir de un colisieo cubierto en el municipio de saravena</t>
  </si>
  <si>
    <t>Deporte y recreación</t>
  </si>
  <si>
    <t>Construcción recuperación adecuación urbanistica e implementación de espacios biosaludables en parques,  zonas verdes y de esparcimiento en el municipio de Tame departamento de Arauca</t>
  </si>
  <si>
    <t>Mejorar los espacios biosaludables en parques en el municipio de Tame</t>
  </si>
  <si>
    <t>Adecuaciòn  zonas verdes y de esparcimiento en el municipio de Tame</t>
  </si>
  <si>
    <t>Espacios biosaludables recuperados</t>
  </si>
  <si>
    <t>Desarrollo cultural</t>
  </si>
  <si>
    <t>Formación cultural</t>
  </si>
  <si>
    <t>Fortalecimiento de  las bibliotecas que integran la red departamental de bibliotecas públicas en los municipios del departamento de Arauca.</t>
  </si>
  <si>
    <t>Promocionar y fortalecer la lectura a niños y adolescentes en las bibiliotecas de cada municipio del depertamento</t>
  </si>
  <si>
    <t>Fortelcer las bibliotecas de los siete municipios del departamento</t>
  </si>
  <si>
    <t>Fortalecer y operativizar la red de bibliotecas públicas del departamento de Arauca</t>
  </si>
  <si>
    <t>No. de bibliotecas publicas fortalecidas y operativizadas</t>
  </si>
  <si>
    <t xml:space="preserve">Promocion de lectura en las bibliotecas de los siete municipios que integran la red a traves de talleres literarios y musicales </t>
  </si>
  <si>
    <t>Omar Cisneros</t>
  </si>
  <si>
    <t>Oficina Asesora de Cultura y  Turismo</t>
  </si>
  <si>
    <t>Encuentro nacional de coordinadores de red de bibliotecqs publicas</t>
  </si>
  <si>
    <t>diciebre 1 de 2014</t>
  </si>
  <si>
    <t>Diciembre 16 d 2014</t>
  </si>
  <si>
    <t>Promocion de lectura en las bibliotecas de los siete municipios que integran la red a traves druante seis meses</t>
  </si>
  <si>
    <t>promocion realizada</t>
  </si>
  <si>
    <t>Diciembred 31 de2014</t>
  </si>
  <si>
    <t>Junio 30 de 2015</t>
  </si>
  <si>
    <t xml:space="preserve"> Apoyo a la realización de programas culturales y artísticos Centro del Conocimiento municipio de Tame, departamento de Arauca.</t>
  </si>
  <si>
    <t>Fortalecer y promocionar los programas articissco y culrurales en el centro del conocimineot Juan Galea en el municipio de Tame</t>
  </si>
  <si>
    <t xml:space="preserve">Promocionar en los niños y adolescentes del municipio de Tame la lectura y muestras artisticas </t>
  </si>
  <si>
    <t>Apoyar 04 actividades que promuevan la asistencia de 3.640 (5%) niños, niñas y adolescentes entre 5 a 17 años a las bibliotecas municipales</t>
  </si>
  <si>
    <t>No. de personas entre 5 a 17 años que asisten a bibliotecas</t>
  </si>
  <si>
    <t>Realizar talleres de pintura, tearo y lectura (3); /exposicion de muestras articiticas (3); /seminarios (4) Y un concurso de cuento Infantil; promocion de lectura en cinco (5) centros poblados</t>
  </si>
  <si>
    <t>Talleres realizados/exoposiciones realizadas/Seminarios realizados</t>
  </si>
  <si>
    <t>Diciembre 26 de 2014</t>
  </si>
  <si>
    <t>enero 30 de 2015</t>
  </si>
  <si>
    <t>Contrato No, 428 de 2014</t>
  </si>
  <si>
    <t>Apoyo y fortalecimiento a la literatura en el departamento de Arauca</t>
  </si>
  <si>
    <t>Promocionar la lectura a traves del programa FORTULEE en los municipios del departamento de Arauca</t>
  </si>
  <si>
    <t>Implmentar el programa FORTULEEen el departamento e Araica</t>
  </si>
  <si>
    <t>Promover 1 estrategia de lectura y escritura ciudadana</t>
  </si>
  <si>
    <t>No. de estrategias promovidas</t>
  </si>
  <si>
    <t>Promocion de literaratra a traves de talleres de lectura y cuentos infantiles;/ adquisicion de 300 libros infantiles;/ encuentros infantiles; 4 talleres (saravena 2; tame 2)</t>
  </si>
  <si>
    <t>Talleres reallizadso/libros adquiridos</t>
  </si>
  <si>
    <t>Diciembre 1 de 2014</t>
  </si>
  <si>
    <t>Contrato No.  291 De 2014</t>
  </si>
  <si>
    <t>Arte y cultura</t>
  </si>
  <si>
    <t>Apoyo al sistema nacional de cultura en el departamento de Arauca</t>
  </si>
  <si>
    <t>Logar las articulacion de lso Consejos de cultura de los muiniocpios co  el departametnal</t>
  </si>
  <si>
    <t>Desarrollar un programa de identificación y promoción de organizaciones culturales</t>
  </si>
  <si>
    <t>No. de programas desarrollados</t>
  </si>
  <si>
    <t>Encuentro de los consejeros de cultura de los municipios del departamneto de Arauca</t>
  </si>
  <si>
    <t>Encuentro Realizado</t>
  </si>
  <si>
    <t>Diciembre 31de 2014</t>
  </si>
  <si>
    <t>Contrato 552 de 2014</t>
  </si>
  <si>
    <t>Apoyo a la formacion artistica cultural en el municipio de Arauca, departamento de Arauca</t>
  </si>
  <si>
    <t>Trasmitir la enseñanza a niños y jovenes en el manejo de voz y coros en el municipio de Arauca</t>
  </si>
  <si>
    <t>Apoyar la formacion artistica y cultural en el municipio de Arauca</t>
  </si>
  <si>
    <t>Formar a cuatro mil (4000) personas en procesos de capacitación cultural</t>
  </si>
  <si>
    <t>No. de personas formadas</t>
  </si>
  <si>
    <t xml:space="preserve">Capacitacion en foros polifonicos a traves de talleres (1) de 400 horas </t>
  </si>
  <si>
    <t>No. De Talleres realizados</t>
  </si>
  <si>
    <t>Octubre 1 d 2014</t>
  </si>
  <si>
    <t>CONTRATO 340 DE 2014</t>
  </si>
  <si>
    <t>Realizar dos talleres de baile de joropo en la comuna tres del muncipii de Arauca</t>
  </si>
  <si>
    <t>talleres realizados</t>
  </si>
  <si>
    <t>diciembre 15 de 2014</t>
  </si>
  <si>
    <t>Contrato No. 491 d 2014</t>
  </si>
  <si>
    <t>Capacitación en artes plásticas y dibujo en el departamento de Arauca.(Proceso en Curso)</t>
  </si>
  <si>
    <t>Capacitar en dibujo y pintura a niños y adolescentes del  departamento de Arauca</t>
  </si>
  <si>
    <t>Capacitar 80 niños y adolescentes del departamento de Arauca</t>
  </si>
  <si>
    <t xml:space="preserve">Capacitación mediante talleres  en artes plásticas y dibujo </t>
  </si>
  <si>
    <t>Contrato 346 de 2014</t>
  </si>
  <si>
    <t xml:space="preserve"> Apoyo a creadores y gestores culturales mediante la implementación estímulos en el departamento de Arauca.</t>
  </si>
  <si>
    <t>Estimular a creador y gestores culturales del departamento de Arauca</t>
  </si>
  <si>
    <t>Desarrollar seis (6) programas para proporcionar estímulos a creadores, artesanos y gestores (adquisición de bienes y servicios culturales)</t>
  </si>
  <si>
    <t>Se crearon 20 estimulos a cantantes de musica llanera</t>
  </si>
  <si>
    <t>Octibre 1 de 20'14</t>
  </si>
  <si>
    <t>Contrato No. 296 de 2014</t>
  </si>
  <si>
    <t>Realizacion de cinco (5) trabajo discogracos de musica llanera</t>
  </si>
  <si>
    <t>Realizar cuatro (4) convocatorias de estímulos a creadores culturales</t>
  </si>
  <si>
    <t>No. de convocatorias realizadas</t>
  </si>
  <si>
    <t xml:space="preserve">Realizacion de un taller de tecnica vocal de120 horas Y un taller en manerjo de eccenario y expresion corporal </t>
  </si>
  <si>
    <t xml:space="preserve"> Apoyo a la realización de los eventos en las instituciones educativas del departamento de Arauca.</t>
  </si>
  <si>
    <t>recatar y promocionr la cultura llanera dentro de las IE del departamento de Arauca</t>
  </si>
  <si>
    <t xml:space="preserve">Realizar treinta (30) iniciativas y/o actividades que promoción de la identidad y las tradiciones  culturales  del departamento </t>
  </si>
  <si>
    <t>No. iniciativas y/o actividades realizadas</t>
  </si>
  <si>
    <t>se realizaron tranferencia a las instituciones educativas (18) de apoyo a 18 eventos culturales escolares</t>
  </si>
  <si>
    <t>Omar cisneros</t>
  </si>
  <si>
    <t>Tranferencia a las IE del deprtamento</t>
  </si>
  <si>
    <t xml:space="preserve"> Capacitación en danzas nacionales en el municipio de Arauca.</t>
  </si>
  <si>
    <t>Fortalecer las diferentes expresiones culturale dentro de las IE del depoartamento</t>
  </si>
  <si>
    <t xml:space="preserve">Beneficiar a 25.000 niños, niñas y adolescentes entre 0 a 17 años con programas artísticos y culturales </t>
  </si>
  <si>
    <t>No. de personas beneficiadas de con programas artísticos o culturales de 0 a 17 años</t>
  </si>
  <si>
    <t>Realizacion de cuatro (4) talleres de danzas nacionales (region andina; pacifica, llanera) ; montajes coreograficos</t>
  </si>
  <si>
    <t>Contrato 342 de 2014</t>
  </si>
  <si>
    <t xml:space="preserve"> Apoyo y fortalecimiento las artes escenicas en el departamento de Arauca</t>
  </si>
  <si>
    <t>Fomentar el arte de la cinematografia y montaje de obras en las IE del departamento</t>
  </si>
  <si>
    <t>Capacitar en artes ecce</t>
  </si>
  <si>
    <t>Un taller formativo en artes eccenicas de 240 horas; monteje y presentacion de dos (2) obras de teatro</t>
  </si>
  <si>
    <t>Agosto 13 de 2014</t>
  </si>
  <si>
    <t>Noviembre 13 de 2014</t>
  </si>
  <si>
    <t>Contrato 203 de 2014</t>
  </si>
  <si>
    <t xml:space="preserve"> Apoyo y fortalecimiento de cinematografía en el departamento de Arauca</t>
  </si>
  <si>
    <t>Promocionar la cinematografia en el muncipio de Arauca</t>
  </si>
  <si>
    <t>benefiicar a la comiunoidad con proyecciion de peliculas en las diferenets comunas del muncipio de Arauca</t>
  </si>
  <si>
    <t>Realizacion de un encuentro y festival de cine en el municipio de Arauca; proyeccion de peliculas</t>
  </si>
  <si>
    <t>diciembre 30 de 2014</t>
  </si>
  <si>
    <t>Contrato 543 de 2014</t>
  </si>
  <si>
    <t xml:space="preserve"> Capacitación en artes plásticas y dibujo en el departamento de Arauca.</t>
  </si>
  <si>
    <t>Un taller de dibujo y pintura de 180 jhoras; aduquisiocn de 80 kits de dibujo y pintura</t>
  </si>
  <si>
    <t>Octubre 2 de 2014</t>
  </si>
  <si>
    <t>Contrato No, 346 de 2014</t>
  </si>
  <si>
    <t xml:space="preserve"> Difusión, promoción y posicionamiento de la imagen cultural del departamento de Arauca.</t>
  </si>
  <si>
    <t>Promociona y difundir la cultura regional a nivel nacional</t>
  </si>
  <si>
    <t>Promocionar la cultura llanera mediante la participacion en eventos del nivel regional y nacional</t>
  </si>
  <si>
    <t>Promocion, difusión y posicionamiento de la imagen cultural y turistica del Departamento a través de la implementación de un programa de marketing territorial que fomente el desarrollo integral con oferta de bienes y servicios</t>
  </si>
  <si>
    <t>No. Programa implementado</t>
  </si>
  <si>
    <t xml:space="preserve">Muestras de bailes coreograficos (10); presentaciones articisticas (10) y trasnporte de 35 personas </t>
  </si>
  <si>
    <t>Noviembre 10 de 2014</t>
  </si>
  <si>
    <t>Diciembre 10 de 2014</t>
  </si>
  <si>
    <t>contrato 418 de 2014</t>
  </si>
  <si>
    <t>Participacion de los grupos coreograicos de danza llanera en el joropodrimo de villavicencio (15 grupos)</t>
  </si>
  <si>
    <t>Junio 26 de 2014</t>
  </si>
  <si>
    <t>Julio 18 de 2014</t>
  </si>
  <si>
    <t>Contrato 178 de 2014</t>
  </si>
  <si>
    <t xml:space="preserve">Participacion en la feria de las colonia en la ciudad de bogota (muestra artesanal, muetsra artisitica y cultural) </t>
  </si>
  <si>
    <t>Julio 8 de 2014</t>
  </si>
  <si>
    <t>Agosto 8 de 2014</t>
  </si>
  <si>
    <t>Contrato 187 de 2014</t>
  </si>
  <si>
    <t>Partiicpacion  en el torneo del corrido llanero en el Deparametno de Vichada</t>
  </si>
  <si>
    <t>Marzo 28 de 2014</t>
  </si>
  <si>
    <t>Abril 11 de 2014</t>
  </si>
  <si>
    <t>contrato 157 de 2014</t>
  </si>
  <si>
    <t>Paticipacion en el festival de villavicencio de una delegacion artisirica y cultual</t>
  </si>
  <si>
    <t>Julio 19 de 2914</t>
  </si>
  <si>
    <t>Contrato 179 de 2014</t>
  </si>
  <si>
    <t>Partcipacion de una delegacion artistica en la ciudad de Bogota (grupo de danza, conjunto musical y voz)</t>
  </si>
  <si>
    <t>Diciembre 15 de 2014</t>
  </si>
  <si>
    <t>Contrato 483 de 2014</t>
  </si>
  <si>
    <t xml:space="preserve"> Apoyo a la realización de eventos culturales en los municipios del departamento de Arauca.</t>
  </si>
  <si>
    <t>Promover, preservar y divulgar las manifestaciones artisticas y culturales, impulsando el conocimiento, la crreacion, investigacion y produccion cultural en el departamento de Arauca</t>
  </si>
  <si>
    <t>Apoyar la realizacion de 19 eventos culturales en el departamento de Arauca</t>
  </si>
  <si>
    <t xml:space="preserve">Realizar cuatro (4) programas para el apoyo y desarrollo de eventos y manifestaciones culturales y/o fiestas patronales, folclor llanero y demás manifestaciones multiculturales y artísticas de la región. </t>
  </si>
  <si>
    <t>No. de programas y/o manifestaciones realizadas</t>
  </si>
  <si>
    <t xml:space="preserve">Realizacion de 19 eventos culturales (canto sabanero; tameño nato; fiestas de caracol; eventos cultural en los barrios del muncipio de arauca; dia departamental del llanero; vereda el botalon Tame; el girara de Oro; Arauquita; tame y saravena; arpa de oro saravena; reyes del joropo Arauca; metale la pata al barrio Arauca; veredas del municipio de arauca; Fiestas de Arauca; Biblia de Oro tame; Dia del comunal; el Aruco de oro Puerto rondon;  Araucanito de Oro Arauca; Muestras culturales Arauca; </t>
  </si>
  <si>
    <t>No. De eventos culturales realizados</t>
  </si>
  <si>
    <t>Contrato 755; 154; 159; 224: 179; 181;245; 202; 423; 453; 547; 510; 542;447; 512; 511; 452;516;481</t>
  </si>
  <si>
    <t>Apoyo a la realizacion de eventos culturales para poblacion de la tercera edad en el Departamento de Arauca</t>
  </si>
  <si>
    <t>Apoyo a la realizacion de un encuentro de la tercera edad en el municipio de ortul en el departamento de Arauca</t>
  </si>
  <si>
    <t>Participar en un evento cultural regional y uno nacional de la comunidad de la tercera edad</t>
  </si>
  <si>
    <t>Encuentro de la tercera edad  en el muncipio de Fortul/ Encuentro a nivel nacional</t>
  </si>
  <si>
    <t>Diciembre 7 de 2014</t>
  </si>
  <si>
    <t>Contrato 297 de 2014</t>
  </si>
  <si>
    <t xml:space="preserve"> Apoyo a las actividades ludicas en los municipios del departamento de Arauca.</t>
  </si>
  <si>
    <t xml:space="preserve">Apoyar a las comuinidades para realizacion de espoectaculos culturales </t>
  </si>
  <si>
    <t xml:space="preserve">Presentacion de 13 conjuntos y de 13 cantantes </t>
  </si>
  <si>
    <t>Agosto 15 de 2014</t>
  </si>
  <si>
    <t>Noviembre 14 de 2014</t>
  </si>
  <si>
    <t>cContrato 243 dde 2014</t>
  </si>
  <si>
    <t>Patrimonio cultural</t>
  </si>
  <si>
    <t xml:space="preserve"> Investigación e identificación del patrimonio cultural en los municipios del departamento de Arauca.</t>
  </si>
  <si>
    <t>Realizar la investigacion del patrimonio cultural del deartamento de Arauca</t>
  </si>
  <si>
    <t>Realizacion de un estudio de la cultura del municpio de Arauca</t>
  </si>
  <si>
    <t>Realizar cuatro (4) iniciativas para fortalecer el patrimonio cultural material e inmaterial del departamento de Arauca</t>
  </si>
  <si>
    <t>No. de iniciativas realizadas</t>
  </si>
  <si>
    <t>Dciiembre de 2014</t>
  </si>
  <si>
    <t>NO SE EJECUTOPROBLEMAS CON EL MINISTERIO</t>
  </si>
  <si>
    <t>Infraestructura cultural</t>
  </si>
  <si>
    <t xml:space="preserve"> Adecuación, mantenimiento e implementación de la infraestructura cultural en el departamento de Arauca.</t>
  </si>
  <si>
    <t>Mejoar las condiciones fisicas de la isnfaesturcura culturales del deparamento</t>
  </si>
  <si>
    <t>Remodelar y adecuar el auditorio de la casa de la cultura del muncipio de Arauca</t>
  </si>
  <si>
    <t>Mejorar siete (7) infraestructura, escenarios  culturales y/o bibliotecas</t>
  </si>
  <si>
    <t>No. de infraestructuras mejoradas</t>
  </si>
  <si>
    <t>Contrato 515 de 2014. VF se ejecutara en 2015, lNterventoira SASM.06.28 -2014 $28.571.429</t>
  </si>
  <si>
    <t>Ciudades Amables con Resultados</t>
  </si>
  <si>
    <t xml:space="preserve">Vivienda </t>
  </si>
  <si>
    <t xml:space="preserve">Construcción de soluciones de vivienda nueva nucleada en los municipios de Arauca, Saravena y  Fortul del departamento de Arauca - ETAPA I </t>
  </si>
  <si>
    <t>Reducir el deficit de vivienda existente en el departamento de Arauca</t>
  </si>
  <si>
    <t>Beneficiar a xx familias con subsidios de vivienda</t>
  </si>
  <si>
    <t>Diseñar de manera articulada con los municipios 1700 soluciones de vivienda de interés prioritaria nueva en el Departamento de Arauca</t>
  </si>
  <si>
    <t>No. De viviendas diseñadas</t>
  </si>
  <si>
    <t>Entregar subsidios para los programas de vivienda del departamento de Arauca</t>
  </si>
  <si>
    <t>Subsidios entregados</t>
  </si>
  <si>
    <t>Marleny Manosalva</t>
  </si>
  <si>
    <t>Acuerdo 04 de 2014, se tranfirieron los recursos a COMFIAR</t>
  </si>
  <si>
    <t>SECRETARIA DE PLANEACION</t>
  </si>
  <si>
    <t>Construcción de soluciones de vivienda  nueva nucleada  en los Municipios de Arauca, Saravena y Fortul del Departamento de Arauca- Etapa 1.</t>
  </si>
  <si>
    <t>Reducir el deficit de vvienda en el depatamento de Arauca</t>
  </si>
  <si>
    <t>Entregar subsidios de vivienda</t>
  </si>
  <si>
    <t>Entrega de subsidios para los programas de vivienda del departamento de Arauca</t>
  </si>
  <si>
    <t>Subsudios entregados</t>
  </si>
  <si>
    <t>Se tranfirieon los recurso a COMFIAR</t>
  </si>
  <si>
    <t>Apoyo a la legalización de predios para el acceso a vivienda propia de las familias del Departamento de Arauca</t>
  </si>
  <si>
    <t>Legalización de predios para acceder a subsidios de vivienda de interés prioritario</t>
  </si>
  <si>
    <t>Legalización de 500 predios para acceder a subsidios de vivienda de interés prioritario</t>
  </si>
  <si>
    <t>Permitir a 2400 familias del Departamento acceder a soluciones de vivienda propia (Vivienda Urbana 400, Casa en sitio propio 500, 1500 predios legalizados)</t>
  </si>
  <si>
    <t>No. de Familias  beneficiarias que acceden a vivienda digna</t>
  </si>
  <si>
    <t>Apoyo a la legalizacion de predios en el deparamento de Arauca (500 familias)</t>
  </si>
  <si>
    <t>Septiembre de2014</t>
  </si>
  <si>
    <t>Vivienda</t>
  </si>
  <si>
    <t>320  Viviendas Urbana ,</t>
  </si>
  <si>
    <t>Construcion de vivienda nueva dispersa en el area rural de los municipios del  departamento de Arauca</t>
  </si>
  <si>
    <t>Dismininuer deficit de vivienda en el area rural del departamento de Arauca</t>
  </si>
  <si>
    <t>Constuir 950 viviendas en el area rural del departamento de Arauca</t>
  </si>
  <si>
    <t>Asignacion de 341 subsidios de vivienda rural</t>
  </si>
  <si>
    <t>Subsidios asignados</t>
  </si>
  <si>
    <t>No se ejecutaron, pasaron a supierhabit 2015, por falta e beneficiario</t>
  </si>
  <si>
    <t>Apoyo y asistencia tecnica para la promocion  y gestion del acceso a vivienda digna en el Departamento en el departamento de Arauca</t>
  </si>
  <si>
    <t>Realizar viistar social y tecnica a los postulantes de mejoramiento de vivienda; proporcionar asistencia tencia a los proyectos que se viene realizando</t>
  </si>
  <si>
    <t>Realizar 1000 visitas y prestar asistencia tecnica a los proyecto de vivienda del municipio</t>
  </si>
  <si>
    <t>Gestionar y promover el acceso a vivienda digna a 3500 familias</t>
  </si>
  <si>
    <t>No. De familias beneficiadas que acceden a vivienda digna</t>
  </si>
  <si>
    <t>Realizar 1000 visitas social y tecnica a los postulantes de mejoramiento de vivienda; proporcionar asistencia tencia a los proyectos que se viene realizando (34 proyectos generados de 3 convenios)</t>
  </si>
  <si>
    <t>Visitas realizadas</t>
  </si>
  <si>
    <t>noviembre de 2015</t>
  </si>
  <si>
    <t>Construccion de soluciones de vivienda nueva nucleada en los Municipios de Arauca, Saravena y Fortul del Departamento de Arauca Etapa 1</t>
  </si>
  <si>
    <t>Dismininuer deficit de vivienda en el area urbana de los municipio de Arauca, Saravena y fortul del  departamento de Arauca</t>
  </si>
  <si>
    <t>Asignar 101 subsidios de vivienda</t>
  </si>
  <si>
    <t>Permitir a 1900 familias victimas del desplazamiento forzado y otros hechos victimizantes  en el Departamento acceder soluciones de vivienda propia (Vivienda nueva 1200, Vivienda Usada 700)</t>
  </si>
  <si>
    <t>No. de Familias victimas del desplazamiento forzado y otros hechos victimizantes beneficiarias de recursos complementarios para adquisición de vivienda asignados por el Departamento.</t>
  </si>
  <si>
    <t>Asigancion de 101 subsidios de vivienda nueva (Convenioc con COMFIAR No,313 de 2013)</t>
  </si>
  <si>
    <t>Junio de 2013</t>
  </si>
  <si>
    <t>Se tranfeirieron los ecursos a COMFIAR</t>
  </si>
  <si>
    <t>200 Vivienda Nuevas, 320 vivienda Usada</t>
  </si>
  <si>
    <t>Construcción de vivienda en la modalidad de sitio Propio y nueva en los Municipios de Cravo Norte y Puerto Rondon del Departamento de Arauca.</t>
  </si>
  <si>
    <t>Asignar 120 subsidios de vivienda</t>
  </si>
  <si>
    <t>Permitir a 1200 familias del Departamento acceder soluciones de mejoramiento de vivienda</t>
  </si>
  <si>
    <t>No. de Familias beneficiarias que acceden a proyectos de mejoramiento de vivienda</t>
  </si>
  <si>
    <t>Asigancion de 120 subsidios de vivienda nueva (Convenioc con COMFIAR No,313 de 2013)</t>
  </si>
  <si>
    <t>Febrero de 2014</t>
  </si>
  <si>
    <t>Quedo en reserva presupuestal. Para ejecucion 2015 para girar los recursos a COMFIAR</t>
  </si>
  <si>
    <t>Adquirir 35 Hectáreas para el desarrollo de proyectos de vivienda de interés prioritario nuevas</t>
  </si>
  <si>
    <t>No. de Hectáreas adquiridas para el desarrollo de proyectos de vivienda</t>
  </si>
  <si>
    <t>Adecuar 35 Hectáreas para el desarrollo de proyectos de vivienda de interés prioritario nuevas</t>
  </si>
  <si>
    <t>No. de Hectáreas adecuadas para el desarrollo de proyectos de vivienda</t>
  </si>
  <si>
    <t>Agua, para una mejor calidad de vida</t>
  </si>
  <si>
    <t>Apoyo a la prestación del servicio de agua potable  en el marco del Plan Departamental de Aguas (Contrato de fiducia Mercantil Irrevocable  de recaudo, administración, garantía y pagos  para el manejo de los recursos de los planes departamentales de agua)</t>
  </si>
  <si>
    <t xml:space="preserve">Apoyar la prestacion del servicio de agua potable </t>
  </si>
  <si>
    <t>Apoyar la emprsa CUMARE (plan departamental de Aguas)</t>
  </si>
  <si>
    <t xml:space="preserve">Apoyar la optimización de siete (7) sistemas de acueducto en el área urbana de los municipios del departamento </t>
  </si>
  <si>
    <t>No.  sistemas de acueductos apoyados</t>
  </si>
  <si>
    <t>Transferencia para la conformcion de la empresas CUMARE</t>
  </si>
  <si>
    <t>Transferencia realizada</t>
  </si>
  <si>
    <t>Convenio con la empresa CUMARE</t>
  </si>
  <si>
    <t>Agua Potable Y Saneamiento Básico  (Sin Incluir Proyectos De Vis)</t>
  </si>
  <si>
    <t>Diseñar e implementar un (1) plan estratégico para el fortalecimiento de la capacidad administrativa y operativa de los prestadores de servicios de los siete (7) Municipios</t>
  </si>
  <si>
    <t xml:space="preserve">Plan estratégico implementado </t>
  </si>
  <si>
    <t>Gestión de los residuos líquidos</t>
  </si>
  <si>
    <t>Ampliación y optimización de los sistemas de acueducto en el área urbana del municipio de Tame, departamento de Arauca. (Proceso en Curso)</t>
  </si>
  <si>
    <t>Mejorar la cobertura del servicio de acueducto en eldepartameno de Arauca</t>
  </si>
  <si>
    <t>beneficiar a 146 nuevos ususaios con el servicios de acueducto</t>
  </si>
  <si>
    <t xml:space="preserve">Apoyar la ampliación y optimización siete (7) sistemas de tratamiento de las aguas residuales en el área urbana de los municipios del departamento </t>
  </si>
  <si>
    <t>No. de sistemas de alcantarillado sanitario optimizados</t>
  </si>
  <si>
    <t>Instalacion de Tuberia de 2" (2380 mt); acometidas domiciliarias 146</t>
  </si>
  <si>
    <t>Mt de tuberia isntalados</t>
  </si>
  <si>
    <t>26 de marzo de 2014</t>
  </si>
  <si>
    <t>agosto 15 de 2014</t>
  </si>
  <si>
    <t>Contrato 110 de 2014</t>
  </si>
  <si>
    <t>Apoyo a la prestación del servicio de saneamiento básico en el marco del plan departamental de aguas (contrato de fiducia mercantil irrevocable de recaudo, administración, garantía y pagos para el manejo de los recursos de los planes departamentales de agua)</t>
  </si>
  <si>
    <t>Apoyar la empresa CUMARE (plan departamental de Aguas)</t>
  </si>
  <si>
    <t>firma de convenio con la empresa CUMARE para la implementacion del Plan departamental de Aguas</t>
  </si>
  <si>
    <t>Convenio firmado</t>
  </si>
  <si>
    <t>Convenio con la Empresa CUMARE</t>
  </si>
  <si>
    <t>Construcción de Alcantarillado pluvial para el manejo de aguas lluvias de las manzanas M,N y P del Barrio Villa María, del Municipio de Arauca, Departamento de Arauca.</t>
  </si>
  <si>
    <t>Ampliar la cobertura del servicio de alcantarillado pluvial de Arauca</t>
  </si>
  <si>
    <t>Contruir 78 mts de alcantarillado pluvial</t>
  </si>
  <si>
    <t xml:space="preserve">Construir, ampliar y optimizar 20.000 metros lineales de red de alcantarillado pluvial </t>
  </si>
  <si>
    <t xml:space="preserve">No. de metros de red de alcantarillado pluvial </t>
  </si>
  <si>
    <t>Construccion de un alcantarilla pluvial en el municipio de Arauca (tuberia pvc 24" 426 metros; tuberia pvc de 450 mm 230 mt; tuberia pvc e 400 mm 170 mt; tuberia pvc de 315mm 107 metros ytuberia povc de 250 mm 78 mt)</t>
  </si>
  <si>
    <t>Alcantarillado pluvial</t>
  </si>
  <si>
    <t>30 de abril de2015</t>
  </si>
  <si>
    <t>Jorge duardo Gonzalez Paez</t>
  </si>
  <si>
    <t>Contrato 535 de 2'014. VF ordenanzar 010E de 2014</t>
  </si>
  <si>
    <t>Reposición alcantarillado sanitario barrio las flores calle 30 entre carrera  2 Y 7, municipio de Saravena, Departamento de Arauca</t>
  </si>
  <si>
    <t>Reponer alcantarillado sanitario en 83 usuarios</t>
  </si>
  <si>
    <t>Reposicion de tuberias (tuberia de 8" 775 metros; acometida domicialiaria para 83 ususarios)</t>
  </si>
  <si>
    <t>Mts de tuberia en reposicion</t>
  </si>
  <si>
    <t>Contrato 393 de 2014; terminado</t>
  </si>
  <si>
    <t>Manejo integral de los residuos sólidos</t>
  </si>
  <si>
    <t>Construcción del relleno sanitario regional del piedemonte araucano, departamento de arauca.(Proceso en Curso)</t>
  </si>
  <si>
    <t xml:space="preserve">Apoyar la ampliación y  optimización de  tres (3) rellenos regionales para el tratamiento y disposición final de los residuos sólidos </t>
  </si>
  <si>
    <t>No. de rellenos ampliados y optimizados</t>
  </si>
  <si>
    <t>Obras preliminares; obras generales, acceso interno a celda; estacion elevadora y efluente; desarenador UASB; lecho de secedo;laguna de maduracion y humedad artificial; adecuacion lote para area de parqueo y talleres de maquinaria</t>
  </si>
  <si>
    <t>Obras realizadas</t>
  </si>
  <si>
    <t>Abril 10 de 2014</t>
  </si>
  <si>
    <t>Suspendido con avance del 40%</t>
  </si>
  <si>
    <t xml:space="preserve">Optimizar el sistema de tratamiento y disposición final de residuos sólidos existente en los municipios de Cavo norte y Puerto Rondón </t>
  </si>
  <si>
    <t xml:space="preserve">No. de sistemas de tratamiento y disposición final de residuos sólidos optimizados </t>
  </si>
  <si>
    <t>Tránsito</t>
  </si>
  <si>
    <t>Implementación de acciones y estrategias que mejoren la seguridad vial del Departamento de Arauca</t>
  </si>
  <si>
    <t>Disminuir el índice de accidentalidad en los municipios del Departamento de Arauca</t>
  </si>
  <si>
    <t>Instalar 30 semaforos</t>
  </si>
  <si>
    <t>Semaforizar 20 intersecciones/instalar 2200 señales de tránsito/demarcar 350000 ML de vías</t>
  </si>
  <si>
    <t xml:space="preserve">No. de Intersecciones semaforizadas/ No. de señales instaladas/ML de vías demarcadas </t>
  </si>
  <si>
    <t>adquisición de 30 semáforos en policarbonato de alta resistencia en tres luces tipo led con anclajes para postes tipo T1 mástil/ adquisición de 30 semáforos en policarbonato de alta resistencia en tres luces tipo led con anclajes para postes tipo T2 ménsula / adquisición de 2 comparenderas electrónicas con dispositivo de captura, con display y cámara  para toma fotográfica para medio de prueba, con impresore de conparendo, aplicativo de datos para registro de comparendo y migración de datos / adquisición de 20 kits de comunicación y pedagogía en seguridad vial para los colegios de los municipios del Departamento de Arauca / adquisición de 1 radar para detección de velocidad con cámara fotográfica de vista fija.</t>
  </si>
  <si>
    <t>elementos adquiridos</t>
  </si>
  <si>
    <t>James Ramos</t>
  </si>
  <si>
    <t>Proyecto tuvo cofinacniacion de 52.550.000de parte del Isntituto de trasnsito de Arauca valor del priecyto 552.000.000. Avance del 90% Pendiente las campañas de capacitacion</t>
  </si>
  <si>
    <t>Instituto De Tránsito Y Transporte De Arauca</t>
  </si>
  <si>
    <t>7 intersecciones semaforizadas/ 973 señales instaladas/ 140.000 ML demarcados</t>
  </si>
  <si>
    <t>Capacitar a la ciudadania en la prevencion de accidentes de transito y las normas de transito</t>
  </si>
  <si>
    <t>Prevenir la accidentalidad mediante la implementación de 05 estrategias integrales accidentalidad vial</t>
  </si>
  <si>
    <t>No. de estrategias integrales implementadas</t>
  </si>
  <si>
    <t>Capacitación a funcionarios de la gobernación en normas de tránsito y seguridad vial / Capacitación a estudiantes del colegio Alejandro Humbolt del Municipio de Fortúl en en normas de tránsito y seguridad vial/adquisicion de material educativo (2500 )Plegables (7000)/Videos alusivos a la prevencion de accidentes (10)</t>
  </si>
  <si>
    <t>Capacitaciones</t>
  </si>
  <si>
    <t>enero</t>
  </si>
  <si>
    <t>marzo</t>
  </si>
  <si>
    <t>Mejorar en un 30% la infraestructura física, tecnológica y equipos requeridos para la prevención y atención de la accidentalidad</t>
  </si>
  <si>
    <t>Porcentaje de infraestructura mejorada</t>
  </si>
  <si>
    <t>Desarrollo Urbano (Equipamientos y espacio público)</t>
  </si>
  <si>
    <t>Construcción del parque infantil, Barrio Villa Llano del municipio de Cravo Norte, Departamento de Arauca</t>
  </si>
  <si>
    <t>Mejorar el escenario deparitivo mediante la contrauccion de areas de libre circulación, areasempradizadas, juegos infantiles, canecas y contenedores de raices</t>
  </si>
  <si>
    <t xml:space="preserve">Mejorar las condiciones fisicas </t>
  </si>
  <si>
    <t>Apoyar la construcción, adecuación y/o terminación de la infraestructura física de 3 equipamientos colectivos</t>
  </si>
  <si>
    <t>No. Equipamientos colectivos  construidos y/o adecuados</t>
  </si>
  <si>
    <t>Construccion de un parque infantil en el municipio de Cravo Norte (nivelacion del terreno, dismposicion de material de relleno, demolicion de placas de concreto, consruccion de sardinelescon malla electrosoldada, plazuelas en adoquin de arcilla, areas verdes empradizadas con grama, juegos infantiles</t>
  </si>
  <si>
    <t>Parque construido</t>
  </si>
  <si>
    <t>Ana Lida Mendez</t>
  </si>
  <si>
    <t>Proceso en curso, se ejecutara en 2015</t>
  </si>
  <si>
    <t xml:space="preserve">Equipamiento </t>
  </si>
  <si>
    <t>Construcción vía peatonal y cicloruta Colegio Floiran Farias, Ciudadela Universitaria, Municipio de Tame, Departamento de Arauca</t>
  </si>
  <si>
    <t>Mejorar la movilidad y el paisajismo en el muncipio de Tame</t>
  </si>
  <si>
    <t>Via peatonal y cicloruta construida</t>
  </si>
  <si>
    <t>Construcción tercera etapa de la plaza de mercado de Tame en el municipio de Tame, Departamento de Arauca</t>
  </si>
  <si>
    <t>Mejorar la infraestructura de los equipamientos del muncipio de tame</t>
  </si>
  <si>
    <t>Contruir la plaza de mercado de tame</t>
  </si>
  <si>
    <t>Apoyar la construcciòn, adecuaciòn y/o mejoramiento de 3 espacios públicos en el departamento de Arauca</t>
  </si>
  <si>
    <t>No. de espacios públicos adecuados, mejorados y/ocosntruidos</t>
  </si>
  <si>
    <t>Contrauccion de la tercera etapa de la plaza de mercado del muncipio de tame( obreas preliminares, cimentacion, estructuras en concreto, estructuras metalicas, cubiertas, manposteria, pañetes, estuco y pintura, pisos y enchapes, isntaklaciones hidrahulicas y sanitarias, sistema contra incendio, aparatos sanitarios</t>
  </si>
  <si>
    <t>Plaza de mercado construido</t>
  </si>
  <si>
    <t>Ocubre de 2015</t>
  </si>
  <si>
    <t>Contrato 432 de 2014. Proceso en curso, se ejecutar en 2015</t>
  </si>
  <si>
    <t>Construcción de circulaciones peatonales y ciclovia en el municipio de Fortul en el departamento de Arauca.(Proceso en Curso)</t>
  </si>
  <si>
    <t>Mejorar la movilidad y el paisajismo en el muncipio de Fortul</t>
  </si>
  <si>
    <t>Contruir una ciclovia y circulantes peatonales</t>
  </si>
  <si>
    <t>Construcion de una ciclovia y circulaciones peatonales en el muncipio de Fortul (Actividades premilinares, concretos, rellenos, refuerzos, obras de urbanismo, sistema de iluminacion, sistema de puesta a tierra, ductos y cajas de inspeccion)</t>
  </si>
  <si>
    <t>Ciclovia y circulaciones peatonales construidos</t>
  </si>
  <si>
    <t>JULIO 27 DE 2014</t>
  </si>
  <si>
    <t xml:space="preserve">Ejecutado </t>
  </si>
  <si>
    <t>Construcción, mejoramiento y adecuación de parques en el municipio de Saravena, Departamento de Arauca.(Proceso en Curso)</t>
  </si>
  <si>
    <t>Mejorar la infraestructura existente de los parques recreativos del muncii´pio deTame</t>
  </si>
  <si>
    <t>Mejoar la infraestructura de tres campos eportivos del municipio de Saravena</t>
  </si>
  <si>
    <t>Construcion del campo deportivos del barriio la esperanza; Barrio jose vicente 2° etapa; Barrio el prado(total 3)</t>
  </si>
  <si>
    <t>Campo deportivo construido</t>
  </si>
  <si>
    <t>Abril  2 de 2014</t>
  </si>
  <si>
    <t>Contrato 143 de 2014</t>
  </si>
  <si>
    <t>Finalizado</t>
  </si>
  <si>
    <t>Construcción Cuarta etapa de la plaza de mercado de Tame en el municipio de Tame, Departamento de Arauca</t>
  </si>
  <si>
    <t>Insltacion de vidrios s, puertas, ventanas , instalaciones electricas, arborizacion, obras exteriores, instalacion de equi´pos complementarios de la plaza de mercada del muncipio de Tame</t>
  </si>
  <si>
    <t>Elementos instalados</t>
  </si>
  <si>
    <t>Proceso en curso, iniciara una vez culmine la tercera etapa</t>
  </si>
  <si>
    <t>Construccion obras de urbanismo y señalizacion horizontal y vertical de la via de la Calle 1 entre el Coliseo Cubierto y el Velodromo, Municipio de Arauca, Departamento de Arauca</t>
  </si>
  <si>
    <t>Señalizacion vertical y horizontal de las vias del municipio de Arauca</t>
  </si>
  <si>
    <t>Demarcacion de 15660 ml de via; 21 señalizaciones verticales; y 842 tachas reflectivas; suministro e instaacion de loiseta prefabricada en conreto (1259 m2); 837 ml de bordillo prefabricado para confinamiento</t>
  </si>
  <si>
    <t>Demarcación realizada</t>
  </si>
  <si>
    <t>Martha Gabi Obando</t>
  </si>
  <si>
    <t>Proceso en curso para 2015</t>
  </si>
  <si>
    <t>Recuperación y adecuación de espacios públicos mediante la construcción de cancha  sintetica en el municipio de Cravo Norte, Departamento de Arauca</t>
  </si>
  <si>
    <t>Mejorar los espacios publicos del municipio de Cravo Norte</t>
  </si>
  <si>
    <t>Construir una cancha sistetica en el municipio de Cravo Norte</t>
  </si>
  <si>
    <t>Construccion de una cancha sistetica</t>
  </si>
  <si>
    <t>Cancha sintetica construida</t>
  </si>
  <si>
    <t>Acuerdo 01  de 2014</t>
  </si>
  <si>
    <t>Gestionar la construcciòn de mìnimo tres (3) puentes peatonales</t>
  </si>
  <si>
    <t>No. De puentes gestionados y construidos</t>
  </si>
  <si>
    <t>Energía</t>
  </si>
  <si>
    <t>Electrificar 8 nuevos proyectos de vivienda de interés social en el departamento</t>
  </si>
  <si>
    <t xml:space="preserve">No. de nuevos proyectos V.I.S electrificados </t>
  </si>
  <si>
    <t>Incrementar en 1500 el número de usuarios atendidos con el servicio de energía en el área urbana</t>
  </si>
  <si>
    <t>No. de usuarios nuevos con el servicio de energía eléctrica en el área urbana</t>
  </si>
  <si>
    <t>Desarrollar 3 campañas de ahorro y uso eficiente de la energía eléctrica anuales</t>
  </si>
  <si>
    <t>No. de campañas realizadas</t>
  </si>
  <si>
    <t>Apoyar el cumplimiento anualmente del  80% del plan de mantenimiento del sistema Eléctrico Departamental</t>
  </si>
  <si>
    <t>Porcentaje de cumplimiento del plan de mantenimiento del sistema eléctrico departamental</t>
  </si>
  <si>
    <t xml:space="preserve">Legalizar 1000 usuarios </t>
  </si>
  <si>
    <t>No. de usuarios legalizados</t>
  </si>
  <si>
    <t>Normalizar 18 km de redes de distribución en el sistema de distribución local</t>
  </si>
  <si>
    <t>No. de km de redes de distribución normalizadas</t>
  </si>
  <si>
    <t>Reducir un 10 %  de los costos de operación</t>
  </si>
  <si>
    <t>Costos de operación y mantenimiento ENELAR E.S.P</t>
  </si>
  <si>
    <t>Recuperar el 30% de la cartera</t>
  </si>
  <si>
    <t>Valor cartera ENELAR E.S.P</t>
  </si>
  <si>
    <t>Mejorar en un 30% la capacidad institucional y mejor gestión de la empresa ENELAR</t>
  </si>
  <si>
    <t>Porcentaje de la capacidad operativa y administrativa</t>
  </si>
  <si>
    <t>Protección a la infancia, adolescencia y juventud</t>
  </si>
  <si>
    <t>Atención integral de la primera infancia</t>
  </si>
  <si>
    <t>Apoyo en la implementacion de estrategias de atencion integral de la primera infancia en el departamento de Arauca.(Proceso en Curso)</t>
  </si>
  <si>
    <t>Desarrollo de estrategias para la atencion integral de la primera infancia</t>
  </si>
  <si>
    <t>Desarrollar acciones psicosociales para la prevención en nñ@s el abuso sexual y el maltrato intrafamiliar y pormocion del denuncio }</t>
  </si>
  <si>
    <t>Apoyar la implementación del 50% de la política pública de Atención a la primera infancia</t>
  </si>
  <si>
    <t>Porcentaje de la política publica implementada</t>
  </si>
  <si>
    <t>Realizacion de 14 actividades psicopedagocgicas para contribuir al manejo de situacionesstresantes de niñ@s, padres y maestros</t>
  </si>
  <si>
    <t>Mayo 5 de 2014</t>
  </si>
  <si>
    <t>Nelsy Gelves Laguado</t>
  </si>
  <si>
    <t>Entregado pero no,liquidado</t>
  </si>
  <si>
    <t>Atención A Grupos Vulnerables - Promoción Social</t>
  </si>
  <si>
    <t>Cofinanciar la implementación del programa de atención integral de la primera infancia - De cero a siempre</t>
  </si>
  <si>
    <t>Programa de atención integral cofinanciado</t>
  </si>
  <si>
    <t>Realizacion de 14 Estrategias ludico artisticas como alternativo para favorecer el bienestar psicosocial de niñ@s en cosituacion de vulonerabiliad</t>
  </si>
  <si>
    <t>Apoyar el aumento en un 2% el número de niños de 0 a 5 años que cuentan con registro civil</t>
  </si>
  <si>
    <t>Porcentaje de niños (as) que cuentan con registro civil entre los 0 y 5 años</t>
  </si>
  <si>
    <t>Realizar 7 acciones para pormover la denuncia de caso de abuso sexual, violencia intrafamiliar y maltrato</t>
  </si>
  <si>
    <t>Desarrollo de  estrategias de atencion integral de la primera infancia en el departamento de Arauca</t>
  </si>
  <si>
    <t>Fortalecer las relaciones familiares, el cuidado, la crianza y la educacion de los niñ@s en el hogar, mediante la atencion integral en cuidado y educacion inicial a niñ@s menores de cinco años en el departamento de Arauca</t>
  </si>
  <si>
    <t>Desarrollo de estrategias para la explotacion sexual, el fortaleimiento de vinculos familiar</t>
  </si>
  <si>
    <t>Realizar 12 acciones para promover la denuncia de casos de abuso sexual, Violencia intrafamiliar y maltrato en niños de 0 a 5 años</t>
  </si>
  <si>
    <t>No. de acciones realizadas</t>
  </si>
  <si>
    <t>Beneficiar anualmente al 50% (19.876 total de la población) de niños y niñas de 0 a 5 años  con programas lúdicos fomentando la promoción de pautas de crianza</t>
  </si>
  <si>
    <t>No. de niños y niñas de 0 a 5 años vinculados a programas lúdicos</t>
  </si>
  <si>
    <t>Desarrollar en el 30% de niñas y niños de 0-5 años habilidades cognitivas y de intervención emocional</t>
  </si>
  <si>
    <t>Porcentaje de niños y niñas beneficiados</t>
  </si>
  <si>
    <t xml:space="preserve">Apoyar la generación de espacios afectuosos de lactancia materna con la adecuación de 01 (un) entorno </t>
  </si>
  <si>
    <t>No. de espacios para lactancia materna</t>
  </si>
  <si>
    <t>Protección integral de la niñez y adolescencia</t>
  </si>
  <si>
    <t>Implementar en un 50% la política pública de niñez y adolescencia por ciclo de vida y enfoque diferencial</t>
  </si>
  <si>
    <t>Porcentaje de la Política pública implementada</t>
  </si>
  <si>
    <t xml:space="preserve">Realizar 4 jornadas interinstitucionales a nivel departamental para garantizar que NNA cuenten con tarjeta de identidad del sector urbano y rural </t>
  </si>
  <si>
    <t>No. de jornadas interinstitucionales realizadas</t>
  </si>
  <si>
    <t>Realizar 16 acciones para promover la denuncia de casos de abuso sexual, reclutamiento forzado, ESCNNA, Violencia intrafamiliar y maltrato en niños de 6-17 años</t>
  </si>
  <si>
    <t>Sensibilizar y Operativizar la articulación del Sistema Nacional de Bienestar Familiar con los 08 Consejos de Política Social (CPS)</t>
  </si>
  <si>
    <t>No. de CPS sensibilizados y operativizados</t>
  </si>
  <si>
    <t>Desarrollo de estrategias para la protección integral de la niñez y la adolescencia en el departamento de Arauca</t>
  </si>
  <si>
    <t>Desarrolar estrategias poara la proteccion de la niles y la adolescencia en el departamento de Arauca</t>
  </si>
  <si>
    <t>capacitar a los niñ@s y adolescentes de l departamento en ESCNNA y pautas de crianza y porteccion de abuso y explotacion sexual</t>
  </si>
  <si>
    <t>Actualizar y poner en operación permanente la plataforma única de información (observatorio de infancia, adolescencia, juventud y familia)</t>
  </si>
  <si>
    <t xml:space="preserve">Observatorio de Niñez, Adolescencia, Juventud y Familia actualizado y Operando </t>
  </si>
  <si>
    <t>Capacitaciones (16 tallers) en oprevencion del ESCNNA</t>
  </si>
  <si>
    <t>Octubre de 2104</t>
  </si>
  <si>
    <t>Nelsy Gelvez Laguado</t>
  </si>
  <si>
    <t>Terminado y en p´roceso de liquidación</t>
  </si>
  <si>
    <t>Implementar 08 acciones para prevenir la vinculación de niños, adolescentes en grupos armados</t>
  </si>
  <si>
    <t>No. de acciones implementadas</t>
  </si>
  <si>
    <t>Desarrollo de 24 intervenciones pedagogicas en pautas de crianza yperencion del abuso y explotacion sexual</t>
  </si>
  <si>
    <t>Intervenciones realizadas</t>
  </si>
  <si>
    <t>Implementar cuatro (4) programas integrales de sensibilización en las rutas y líneas de prevención de la ESCNNA, abuso sexual, maltrato, reclutamiento forzado y peores formas de trabajo infantil</t>
  </si>
  <si>
    <t>No. de programas integrales implementados</t>
  </si>
  <si>
    <t>Desarrollo de 24 acciones de prevencion y erradicacion de peores foras de trabajo infantil</t>
  </si>
  <si>
    <t>Desarrollo de la juventud</t>
  </si>
  <si>
    <t>Apoyar a 300 jóvenes con proyectos de emprendimiento productivo  a travès del Fondo Emprender entre otras estrategias</t>
  </si>
  <si>
    <t>No. de jóvenes beneficiados</t>
  </si>
  <si>
    <t>Promocion de espacios de participacion y construccion colectiva para el desarrollo integral de infantes, adolescentes y jovenes del departamento de Arauca.</t>
  </si>
  <si>
    <t>Promocionar espacios de participacion para lo jovens del departametno de Arauca</t>
  </si>
  <si>
    <t>Realizar acciones para generar espacion de participacion para lo jovenes del departametno de arauca</t>
  </si>
  <si>
    <t>Implementar la política pública de Juventud en un 50% por ciclo de vida y enfoque diferencial en cada uno de los municipios en alianza con Colombia Joven</t>
  </si>
  <si>
    <t>Porcentaje política pública de juventud implementada</t>
  </si>
  <si>
    <t>Realizacion de siee (7) preforos municipales de juventud</t>
  </si>
  <si>
    <t>Preforos realizados</t>
  </si>
  <si>
    <t>otcubre 31 de 2014</t>
  </si>
  <si>
    <t>Nelsy gelvez Laguado</t>
  </si>
  <si>
    <t>Supendido</t>
  </si>
  <si>
    <t xml:space="preserve">Fomentar la organización y formación de doce (12) veedurías de jóvenes y adolescentes </t>
  </si>
  <si>
    <t>No. de veedurías conformadas de jóvenes</t>
  </si>
  <si>
    <t>Realizacion de un (1) foro departametnal de juventud</t>
  </si>
  <si>
    <t>Foro departamental</t>
  </si>
  <si>
    <t>Realizar la Rendición Pública de Cuentas anual en el tema de Infancia, adolescencia y juventud</t>
  </si>
  <si>
    <t>No. de rendiciones Públicas de Cuentas realizas durante el cuatrienio</t>
  </si>
  <si>
    <t>Apoyar y coordinar intersectorialmente la implementación de un (1) plan de acción para la prevención del consumo y atención a niños,  jóvenes y adultos consumidores de sustancias psicoactivas</t>
  </si>
  <si>
    <t>No.de planes de acción diseñados y ejecutados</t>
  </si>
  <si>
    <t>Talleres (14)de sesibilizacion y estrategias de consulta; audirencia oublica de rendicion de cuentas</t>
  </si>
  <si>
    <t>Apoyo a las acciones de promoción y participación de la juventud en el Departamento de Arauca</t>
  </si>
  <si>
    <t xml:space="preserve">Conformar los consejos municpales de juventudes </t>
  </si>
  <si>
    <t>Desarrollar acciones para la conformcion de los csonsejos juveniles municipales</t>
  </si>
  <si>
    <t>Apoyar la conformación y fortalecimiento del 100% de los Consejos Municipales y del departamento en el tema de juventud</t>
  </si>
  <si>
    <t>Porcentaje de Consejos Municipales y detal conformados y fortalecidos</t>
  </si>
  <si>
    <t>Conformacion de los consejos de juventud (8) de los municipios y el departamental</t>
  </si>
  <si>
    <t>Consejos conformados</t>
  </si>
  <si>
    <t>Julio de2014</t>
  </si>
  <si>
    <t>Septiembre d 1014</t>
  </si>
  <si>
    <t>Proceso contracreditado</t>
  </si>
  <si>
    <t>Realizar 4 jornadas interinstitucionales para garantizar que los jóvenes incluidos en el RUPD definan su situación militar del sector urbano y rural</t>
  </si>
  <si>
    <t>Equidad social</t>
  </si>
  <si>
    <t>Pobreza extrema</t>
  </si>
  <si>
    <t>Apoyo a la gestion de oferta e familias de la estrategia UNIDOS en el departamento de Arauca</t>
  </si>
  <si>
    <t>Apoyar la estrategia UNIDOS en el departamento de Arauca</t>
  </si>
  <si>
    <t>Entregar dotaciones para el cumplimiento de logros en el progrma UNIDOS</t>
  </si>
  <si>
    <t xml:space="preserve">Apoyar la consecución del cálculo de logros establecidos en la estrategia Unidos </t>
  </si>
  <si>
    <t>Estrategia Unidos apoyada</t>
  </si>
  <si>
    <t xml:space="preserve">Dotacion de 43 ayudas tecnicas para dar cumplimiento al logro 20  </t>
  </si>
  <si>
    <t>Ayudas tecnicas entregadas</t>
  </si>
  <si>
    <t>mayo de 2014</t>
  </si>
  <si>
    <t>Libia Karelia Glaviz</t>
  </si>
  <si>
    <t>Secretaria de Planeacion Departamental</t>
  </si>
  <si>
    <t>suministtro e instalacion de 500 sistemas de tratamiento de asgua potable dos filtros</t>
  </si>
  <si>
    <t>Sistemas de tratamiento de agua instalados</t>
  </si>
  <si>
    <t xml:space="preserve">Dotacion de 8.850  ayudas tecnicas para alimentarse dar cumplimiento al logro 30  </t>
  </si>
  <si>
    <t xml:space="preserve">Dotacion de 9.050  ayudas tecnicas para dormir para dar cumplimiento al logro 30  </t>
  </si>
  <si>
    <t>Equidad de género y atención de la mujer</t>
  </si>
  <si>
    <t>Desarrollo de un proyecto de generación de ingresos a mujeres de la zona urbana y rural del Departamento de Arauca</t>
  </si>
  <si>
    <t>Mejorar los ingresos  de la mujer en el departamento</t>
  </si>
  <si>
    <t>Implementar un porgrama de capacitacion en elaboracion de prodcutos de aseo</t>
  </si>
  <si>
    <t xml:space="preserve">Diseñar e implementar 1 Programa de generación de trabajo asociativo para mujeres de la zona urbana y rural </t>
  </si>
  <si>
    <t>No. de programas de trabajo asociativos implementados</t>
  </si>
  <si>
    <t>Capacitar a 60 madres cabeza de familia en elaboracion de productospara el hogar con base en la quimica; talleres de emprendimiento, empresarialidad y comercializacion de productos</t>
  </si>
  <si>
    <t>Capacitacion realizada</t>
  </si>
  <si>
    <t>Diciemnbre de 2014</t>
  </si>
  <si>
    <t>diciembrede 2014</t>
  </si>
  <si>
    <t>Beatriz Palacio</t>
  </si>
  <si>
    <t>Se ejecurara en 2015. Proceso en curso</t>
  </si>
  <si>
    <t>Promover siete (7) proyectos en emprendimiento empresarial y productivos para generación de ingresos e independencia económica de las mujeres a nivel rural y urbano</t>
  </si>
  <si>
    <t xml:space="preserve">No. de proyectos promovidos en emprendimiento empresarial y productivos </t>
  </si>
  <si>
    <t xml:space="preserve">Apoyar la realización de cuatro (4) ferias empresariales  y/o iniciativas exitosas de mujeres </t>
  </si>
  <si>
    <t xml:space="preserve">No. de ferias de mujeres realizadas </t>
  </si>
  <si>
    <t xml:space="preserve">Capacitar a 400 mujeres urbanas y rural en mecanismos de participación y control ciudadano </t>
  </si>
  <si>
    <t>No. de mujeres capacitadas</t>
  </si>
  <si>
    <t xml:space="preserve">Implementar en un 20% la política pública departamental de equidad de género </t>
  </si>
  <si>
    <t xml:space="preserve">Porcentaje de Política departamental de equidad de género diseñada e implementada </t>
  </si>
  <si>
    <t xml:space="preserve">Implementar una (1) estrategia de comunicaciones "mujer tienes derechos" </t>
  </si>
  <si>
    <t>Estrategia de comunicaciones implementada</t>
  </si>
  <si>
    <t>Elaboracion de un documento  sobre la situacion de la mujer en Arauca en violencia 2010-2014 con su respectio plan de acción</t>
  </si>
  <si>
    <t>Documento Elaborado</t>
  </si>
  <si>
    <t xml:space="preserve">Diseñar e implementar Dos (2) campañas territoriales de promoción de la participación política de las mujeres </t>
  </si>
  <si>
    <t xml:space="preserve">No. de  campañas territoriales diseñadas e implementadas </t>
  </si>
  <si>
    <t>Conversatorio para la red departametnal de mujeres (1)</t>
  </si>
  <si>
    <t>Conversatorio realizado</t>
  </si>
  <si>
    <t>Desarrollo de un programa en promocion de mecanismos de participacion politica y control social a mujeres con enfoque diferencial en el departamento de Arauca</t>
  </si>
  <si>
    <t>Vincular a la mujer en el desarrollo olitico y social del departamento de Aauca</t>
  </si>
  <si>
    <t xml:space="preserve">Desarrollar un programa de capacitacion en mecanismos de participacion ciudadana </t>
  </si>
  <si>
    <t xml:space="preserve">Dearrollo de capacitacion en mecnismos de participacion ciudadana, control social a 60 muejeres; conformcion de seis veedurias de mujeres; conformacion de cuatro consejos comunitarios de mujeres; Estrategia IEC </t>
  </si>
  <si>
    <t>Contrato 334 de 2014, Suspendido continua en 2015, ejecucion de  80%</t>
  </si>
  <si>
    <t xml:space="preserve">Apoyar la implementación de (1) programa de prevención y protección de violencia contra la mujer </t>
  </si>
  <si>
    <t>No. Programas implementados en prevención y protección de violencias contra la mujer</t>
  </si>
  <si>
    <t>Encuentro departametnal de personersos para la prevencion del embarazo en adolescentes  en tame</t>
  </si>
  <si>
    <t>Encuentros comunitarios realizados</t>
  </si>
  <si>
    <t>Apoyo a la implementación de estrategias, campañas,  programas de prevención de violencia  de género y de embarazo en adolescentes en el Ddpto de Arauca</t>
  </si>
  <si>
    <t>Disminuir la violencia en contra de las mujeres Araucanas y reducir el ambarazo en adolescentes</t>
  </si>
  <si>
    <t>Desarrrollar acciones que permitan reducir la violencia en contra de la  mujer y los embarazos en adolecente</t>
  </si>
  <si>
    <t xml:space="preserve">Gestionar y promover el Diseño e implementación de un (1) programa de atención psicosocial en violencia sexual basada en genero </t>
  </si>
  <si>
    <t>No. de programas implementado de atención psicosocial en violencia sexual basada en género</t>
  </si>
  <si>
    <t>Desarrollo de programa rural de prevencion (7 modulos) en cinco centros poblkadois del departamento (100 mujeres)</t>
  </si>
  <si>
    <t>Programa desarrollado</t>
  </si>
  <si>
    <t>Contrato 338 de 2014</t>
  </si>
  <si>
    <t>Implementar una estrategia integral para prevenir el embarazo en la adolescencia (CONPES 147 de 2012)</t>
  </si>
  <si>
    <t>No. Estrategia implementada</t>
  </si>
  <si>
    <t>Implementación  de estrategias para el desarrollo integral de mujeres rurales con enfoque diferencial en el Dpto</t>
  </si>
  <si>
    <t>Garantizar los derechos a las mujeres rurales del departamento</t>
  </si>
  <si>
    <t>Realizar acciones para el desarrollo integral de la mujer rural del departamento</t>
  </si>
  <si>
    <t xml:space="preserve">Diseñar y ejecutar Un (1) programa para enfrentar la situación especial de la mujer rural, con enfoque diferencial </t>
  </si>
  <si>
    <t>No. de programa diseñados y ejecutado en mujer rural, con enfoque diferencial.</t>
  </si>
  <si>
    <t xml:space="preserve">Encuentro departamenal de la mujer rural; Dos cursos en comptencia laborales en procesos productivos de la fibra del platano (490 mujeres); talleres de emprendimiento (1); curso de artesanias en Cravo Norte para 20 mujeres; acompañamiento psicosocial para 60 muejres </t>
  </si>
  <si>
    <t>Encuentro realizado/cursos desarrollados/acompañamiento realizado</t>
  </si>
  <si>
    <t>Octuibre de2014</t>
  </si>
  <si>
    <t>Contrato 337 de 2014. Suspendido continua en 2015</t>
  </si>
  <si>
    <t>Implementacion del programa de generacion de trabajo asociativo para mujeres de la zona urbana y rural de Departamento de Arauca</t>
  </si>
  <si>
    <t>Brindar garantias de trabajo a la mujer araucana</t>
  </si>
  <si>
    <t>Capacitar en asociaciones de trabajo a las mujeres araucanas</t>
  </si>
  <si>
    <t>Apoyar 600 mujeres rurales con proyectos de emprendimiento productivo</t>
  </si>
  <si>
    <t>No. de mujeres rurales beneficiarias</t>
  </si>
  <si>
    <t>Talleres (5) de formacion a 150 mujeres; jornada de talleres (4) de fortalecimiento y conformacion de asociaciones de mujeres; programa de formacion en artesanias en guaduas para 20 mujeres (icluyo kits de materiales)</t>
  </si>
  <si>
    <t>Octubre de2014</t>
  </si>
  <si>
    <t>Contrato 401 de 2014, Suspendido continua en 2015, ejecucion de  80%</t>
  </si>
  <si>
    <t>Apoyo a la implementación de estrategias para la garantía de los derechos de las mujeres victimas en el Departamento de Arauca</t>
  </si>
  <si>
    <t>Implementar una estrategia para garantia de derechos de las mujeres victimas del departamento de Arauca</t>
  </si>
  <si>
    <t>capacitar a 60 mujeres en escuelas de perdon y reconciliacion</t>
  </si>
  <si>
    <t>Implementar un Plan de acción de acuerdo al PIU, para la garantía de los derechos de la mujer en situación de desplazamiento  y otros hechos victimizantes</t>
  </si>
  <si>
    <t>No. de planes de acción implementados</t>
  </si>
  <si>
    <t>Capacitacion de 60 mujeres en esculeas de perdon y rconciliacion</t>
  </si>
  <si>
    <t>Mujeres capacitadas</t>
  </si>
  <si>
    <t>Contato 302 de 2014</t>
  </si>
  <si>
    <t>Protección integral de la Familia Araucana</t>
  </si>
  <si>
    <t>Apoyo a la proteccion integral de la familia en los municipios de Arauca y Cravo Norte en el Departamento de Arauca</t>
  </si>
  <si>
    <t>Desarrollar acciones de proteccion integral a las familias Araucanas</t>
  </si>
  <si>
    <t xml:space="preserve">Capacitar en fortalecimiento del nucleo familiar, relaciones familiares, y charlas </t>
  </si>
  <si>
    <t>Brindar asistencia psicológica y/o social a 1000 familias en temas de orientación, derechos de estado, promoción, formación, acompañamiento y fortalecimiento del núcleo familiar a nivel de intervención emocional que permita optimizar la calidad de las relaciones sociales y familiares</t>
  </si>
  <si>
    <t>No. de familias beneficiadas</t>
  </si>
  <si>
    <t>Realzaicion de25 talleres para el fortalecimiento del nucleo familiar y recomposicion familiar</t>
  </si>
  <si>
    <t>Septiembre 30 de 2014</t>
  </si>
  <si>
    <t>Ejecutadoen proceso de liquidacion</t>
  </si>
  <si>
    <t>Apoyar la realización de 05 estrategias para el fomento del buen trato, recomposición familiar, restablecimiento de valores, afecto y lazos familiares que aporte a la disminución del suicidio en los jóvenes, la violencia intrafamiliar y la descomposición de la familia</t>
  </si>
  <si>
    <t>No. de estrategias realizadas</t>
  </si>
  <si>
    <t>Realixacion de 8 encuentros de frotalecimiento de las realciones familiares</t>
  </si>
  <si>
    <t>Encuentro realizado</t>
  </si>
  <si>
    <t>Desarrollar siete (7) campañas a padres de familia en situación de vulnerabilidad en competencias básicas sobre resolución de diferencias y conflictos personales para prevenir actos de violencia e intolerancia.</t>
  </si>
  <si>
    <t>No. de campañas desarrolladas</t>
  </si>
  <si>
    <t>Realizacion de 200 charlas de orinetacion familiar, afecto y lazos familiares, resolucion de conflictos</t>
  </si>
  <si>
    <t>Charlas reallizadas</t>
  </si>
  <si>
    <t>Apoyo a la implementacion de programas de desarrollo social a traves de la musica sinfonica que fortalezca la familia en el Departamento de Arauca</t>
  </si>
  <si>
    <t>Implementar un programad e desarrollo social a traves de la musica sinfonica para fortalecer las familiar en la ciudad de Arauca</t>
  </si>
  <si>
    <t>Capacitar y realizar cineforo y eventos de inegracion</t>
  </si>
  <si>
    <t>Implementar un programa de desarrollo social a través de la música sinfónica que fortalezca la familia</t>
  </si>
  <si>
    <t>No de programa implementado</t>
  </si>
  <si>
    <t>Realizacion de 10 talles, cineforo  y eventos de integracion</t>
  </si>
  <si>
    <t>Junio 21 de 2013</t>
  </si>
  <si>
    <t>Septiembre 8 de 2014</t>
  </si>
  <si>
    <t>Dotacion de instrumentos musicales, muenbles y enceres y materiales</t>
  </si>
  <si>
    <t>Instrumentos musicales dotados</t>
  </si>
  <si>
    <t>Realizacion de tres (3) conciertos</t>
  </si>
  <si>
    <t>Conciertos realizados</t>
  </si>
  <si>
    <t>Apoyar la garantía de un núcleo familiar para que el 20% de niños, niñas y adolescentes declarados adoptables, sean adoptados</t>
  </si>
  <si>
    <t>Porcentaje de niños, niñas y adolescentes entre 0 y 17 años declarados adoptables, dados en adopción</t>
  </si>
  <si>
    <t>Crear una red de hogares de paso en el Departamento que apoye transitoriamente a las familias pobres y vulnerables que deban desplazarse a lugares diferentes a los de su residencia</t>
  </si>
  <si>
    <t>No. de red de hogares de paso creados</t>
  </si>
  <si>
    <t>Apoyar la disminución del 20% del número de niños, niñas y adolescentes declarados adoptables</t>
  </si>
  <si>
    <t>No. de niños, niñas, adolescentes entre 0 y 17 años declarados en situación de adaptabilidad</t>
  </si>
  <si>
    <t>Protección integral de las víctimas</t>
  </si>
  <si>
    <t>Implementación de acciones  para el cumplimiento  de las disposiciones legales y del Plan de Acción del  para la protección integral y el goce efectivo de derechos  de las victimas del Departamento de Arauca</t>
  </si>
  <si>
    <t>Apoyo a la genracion de ingresos de la mujer victima</t>
  </si>
  <si>
    <t>Apoyar a 75 mujeres victimas del departamento</t>
  </si>
  <si>
    <t xml:space="preserve">Realizar gestión interinstitucional e intersectorial para lograr 23 intervenciones en función del componente de Prevención y protección (1. Vida, 2. Integridad, 3. Libertad, 4. Seguridad, 5.Protección de Bienes y Tierras) del PIU 2012-2015 
</t>
  </si>
  <si>
    <t xml:space="preserve">No. de intervenciones exitosas en función del componente de Prevención y protección (1. Vida, 2. Integridad, 3. Libertad, 4. Seguridad, 5.Protección de Bienes y Tierras) del PIU 2012-2015 </t>
  </si>
  <si>
    <t>Realizacion de ocho (8)  talleres en artes y en formacion empresarial (110,279 millones)</t>
  </si>
  <si>
    <t>Mercedes León Hernandez</t>
  </si>
  <si>
    <t>Oparatizacion del comite de justicia transicional (20,471 millones)</t>
  </si>
  <si>
    <t>Comité operando</t>
  </si>
  <si>
    <t>Fortalecimineto de la mesa departamental de victimas mediante dotacion de elementos (19,259 millones)</t>
  </si>
  <si>
    <t>Mesa departamental fortalecida</t>
  </si>
  <si>
    <t>Implementacion de un programa para comunidades en riesgo en el departamento de Arauca</t>
  </si>
  <si>
    <t>Implementar acciones de proteccion a comunidades en riesgo</t>
  </si>
  <si>
    <t xml:space="preserve">Consolidar el Plan departamental de prevenvion </t>
  </si>
  <si>
    <t xml:space="preserve">Construccion y consolidacion del Plan de prevencion </t>
  </si>
  <si>
    <t>Plan Consolidado</t>
  </si>
  <si>
    <t>Socializacion del plan de prevencion del departamento</t>
  </si>
  <si>
    <t>Plan Socializado</t>
  </si>
  <si>
    <t>Implentacion de estrategias de prevencion de vulneraciones de DDHH en el departamentl de Arauca</t>
  </si>
  <si>
    <t>Implementar acciones del paln departamental de DDHH</t>
  </si>
  <si>
    <t>Capacitar 90 jovenes enestrategias de prevencion de vulneraciones a los DDHH</t>
  </si>
  <si>
    <t>Raleizacion de 21 talleres psicosocial acompañados de campeonatos deportivos y estrategia IEC</t>
  </si>
  <si>
    <t>Apoyo al logro de intervenciones  del componente de atención integral a las víctimas con enfoque diferencial en el departamento de Arauca (PIU 2012-2015)</t>
  </si>
  <si>
    <t>Garantizar la particiapcion de las victimas en los espacios concedidos por la ley</t>
  </si>
  <si>
    <t>Apoyar las sesiones de la mesa departamental de victimas y participacion en otros espacios</t>
  </si>
  <si>
    <t xml:space="preserve">Realizar gestión interinstitucional e intersectorial para lograr 90 intervenciones en función del componente de Atención Integral (1.Atención Humanitaria: alojamiento, utensilios domésticos, vestuario, alimentación, atención médica y psicosocial inmediata; 2.Atención integral básica: identificación, abordaje psicosocial, reunificación familiar, seguridad alimentaria, educación y salud; 3.Generación de ingresos y acceso a tierras; 4.Vivienda; 5.Retorno y reubicación) del PIU 2012-2015 </t>
  </si>
  <si>
    <t xml:space="preserve">No. de intervenciones exitosas en función del componente de Atención Integral (1.Atención Humanitaria: alojamiento, utensilios domésticos, vestuario, alimentación, atención médica y psicosocial inmediata; 2.Atención integral básica: identificación, abordaje psicosocial, reunificación familiar, seguridad alimentaria, educación y salud; 3.Generación de ingresos y acceso a tierras; 4.Vivienda; 5.Retorno y reubicación) del PIU 2012-2015 </t>
  </si>
  <si>
    <t xml:space="preserve">Apoyo logistico para la participacion en los eventos nacionales y regionales de la mesa </t>
  </si>
  <si>
    <t>Apoyo logistico brindado</t>
  </si>
  <si>
    <t>Apoyo al logro de intervenciones  del componente verdad, justicia, reparación y garantía de no repetición a  víctimas con enfoque diferencial en el departamento de Arauca (PIU 2012-2015)</t>
  </si>
  <si>
    <t xml:space="preserve">Empoderar a los lisderes de victimas en reparacion </t>
  </si>
  <si>
    <t>Empoderar 15 lideres del departamento de Arauca</t>
  </si>
  <si>
    <t xml:space="preserve">Realizar gestión interinstitucional e intersectorial para lograr 25 intervenciones en función del componente de Verdad, justicia, reparación y garantía de no repetición (1. Verdad, 2. Justicia, 3. Restitución (tierras y vivienda), 4. Rehabilitación (psicosocial, física, asistencia jurídica), 4. Indemnización, 5. Medidas de satisfacción, 6. Garantías de no repetición) del PIU 2012-2015 
</t>
  </si>
  <si>
    <t xml:space="preserve">No. de intervenciones exitosas en función del componente de Verdad, justicia, reparación y garantía de no repetición (1. Verdad, 2. Justicia, 3. Restitución (tierras y vivienda), 4. Rehabilitación (psicosocial, física, asistencia jurídica), 4. Indemnización, 5. Medidas de satisfacción, 6. Garantías de no repetición) del PIU 2012-2015 </t>
  </si>
  <si>
    <t xml:space="preserve">Realizacion de un diplomado en verdad, justicia y repación </t>
  </si>
  <si>
    <t>Diplomado realizado</t>
  </si>
  <si>
    <t xml:space="preserve">Realizar gestión interinstitucional e intersectorial para lograr 10 intervenciones en función del componente de Participación de la Población Desplazada (1. Participación efectiva de la población desplazada, 2.Apoyo logístico a las OPD ) del PIU 2012-2015 
</t>
  </si>
  <si>
    <t xml:space="preserve">No. de intervenciones exitosas en función del componente de Participación de la Población Desplazada (1. Participación efectiva de la población desplazada, 2.Apoyo logístico a las OPD ) del PIU 2012-2015 </t>
  </si>
  <si>
    <t xml:space="preserve">Realizar gestión interinstitucional e intersectorial para lograr 10 intervenciones en función del componente de Capacidad Institucional y Sistemas de Información (1.Fortalecimiento de la capacidad institucional, 2. Sistemas de información 3. fortalecimiento de las OPD )del PIU 2012-2015 </t>
  </si>
  <si>
    <t>Diseñar o validar un plan de acción y realizar la gestión efectiva para el cumplimiento y seguimiento del 100% de tal instrumento, en el desarrollo de las ordenes impartidas por la Corte Constitucional en relación al cumplimiento del Auto 382 de 2010 frente a pueblos indígenas y Auto 383 frente a la PVFD</t>
  </si>
  <si>
    <t>Porcentaje de avance del Plan de Acción en la ejecución de las ordenes impartidas por la HCC.</t>
  </si>
  <si>
    <t xml:space="preserve">Formular, aprobar e implementar y  hacer seguimiento al  Plan de Acción en atenciòn y reparación Integral a las Víctimas del Conflicto Armado interno - ley 1448 que incluya la caracterización de la población Victima, Apoyo a Centros Regionales de Atención a Victimas y demás componentes, teniendo en cuenta el Plan Nacional de Atención y Reparación Integral a las Víctimas del Conflicto Armado y las disposiciones ue sobre este tema entregue el Gobierno Nacional. </t>
  </si>
  <si>
    <t>Porcentaje de avance en la ejecución del Plan de Acción Departamental para Atención y Reparación Integral a las Víctimas del Conflicto Armado interno.</t>
  </si>
  <si>
    <t>Apoyo a la implementación de un programa para la construcción colectiva  de iniciativas para la reconciliación y la paz en Arauca (Ley 975 de 2005 y Decreto 1737- Justicia y Paz</t>
  </si>
  <si>
    <t>Apoyar las iniciativas de paz en el departamento</t>
  </si>
  <si>
    <t>Realizar el foro internacional de paz en el departamento</t>
  </si>
  <si>
    <t xml:space="preserve">implementar un programa hacia la construccion colectiva de iniciativas para la reconciliacion y la paz en Arauca, propiciando espacios de participaciòn que permita el anàlisis de reparaciòn colectiva (Ley 975 del 2005 y Decreto 1737 - Justicia y Paz), </t>
  </si>
  <si>
    <t>Programa implementado</t>
  </si>
  <si>
    <t>Apoyo para la realizaion del Foro Internacional de Reconciliacion y Paz en Arauca</t>
  </si>
  <si>
    <t>Protección de las comunidades indígenas</t>
  </si>
  <si>
    <t>Apoyo para la legalización y  transferencia de predios para  el  saneamiento y ampliacion del  territorio  de comunidades  Indigenas priorizadas en el departamento de Arauca</t>
  </si>
  <si>
    <t>Apoyar la legalizacion de legalizacion y transferencia de predios de las comuniades indigenas</t>
  </si>
  <si>
    <t>Realizar la actualiacion catastral y dar apoyo administrativo para la legalizacion de predios</t>
  </si>
  <si>
    <t>Apoyar el trámite para la legalización y transferencia de trece (13) predios alos pueblo U´wa, Sikuani, Makaguan, Hitnu, Cuiloto Cocuisa Marrero e Inga</t>
  </si>
  <si>
    <t>No. de predios legalizados y transferidos</t>
  </si>
  <si>
    <t>Realizacion de dos encuentros comunitarios; actualizacion de informacion catastral (1); apoyo adminsitrativo a los tramites de legalizacion de predios</t>
  </si>
  <si>
    <t>Encuentros realizados/Informacion catastral actualizado/Apoyo administrativo realizado</t>
  </si>
  <si>
    <t xml:space="preserve">Jose  de Jesus Correa Perez </t>
  </si>
  <si>
    <t>Contrato 422 de 2014. VF</t>
  </si>
  <si>
    <t>Apoyo para la legalización,  transferencia de predios y adquisicion  de tierras para  el  saneamiento y ampliacion del  territorio  de comunidades  Indigenas priorizadas en el departamento de Arauca.(Proceso en Curso)</t>
  </si>
  <si>
    <t>Realizar la actualiacion catastral y Encuentros comunitarios (6)</t>
  </si>
  <si>
    <t>Adquirir 1500 hectáreas para el saneamiento del territorio de los pueblos indígenas</t>
  </si>
  <si>
    <t>No. de Ha adquiridas</t>
  </si>
  <si>
    <t xml:space="preserve">Realizacion de seis (6) encuentros comunitarios; actualizacion de informacion catastral (1); </t>
  </si>
  <si>
    <t>Marzo 20 de 2014</t>
  </si>
  <si>
    <t>Junio 19 de 2014</t>
  </si>
  <si>
    <t>Contrato 111 de 2014</t>
  </si>
  <si>
    <t>Actualizar la demarcación de limites de tres (3) resguardos indígenas del departamento de Arauca</t>
  </si>
  <si>
    <t>No. de resguardos con limites actualizados</t>
  </si>
  <si>
    <t>Apoyo para el fortalecimiento de las lenguas nativas de los pueblos indígenas  del departamento de Arauca</t>
  </si>
  <si>
    <t>Concertar el proceso de planioficacion lingüística de los pueblos indigenas del departamento de Arauca de acuerdoala Ley 1381 de 2010</t>
  </si>
  <si>
    <t>Reallizacion de cinco encuentros comunitarios con las comiunidades indigenas del departamento</t>
  </si>
  <si>
    <t>Fortalecer y revitalizar las seis (6) lenguas nativas de los pueblos indígenas del departamento de Arauca</t>
  </si>
  <si>
    <t xml:space="preserve">No. de lenguas fortalecidas y/o rescatadas </t>
  </si>
  <si>
    <t>Realizacion de encuentros comunitarios pueblos Sikuana e inga; macaguan uhua (5); impresión del diagnostico linguistico (1); asistecnia tecnica (1)</t>
  </si>
  <si>
    <t>Junio 8 de 2015</t>
  </si>
  <si>
    <t>Jose de Jesus Correa Perez</t>
  </si>
  <si>
    <t>Contrato 420 de 2014. VF</t>
  </si>
  <si>
    <t>Implementación de un programa para el rescate y fortalecimiento  de la identidad cultural de los pueblos indígenas</t>
  </si>
  <si>
    <t xml:space="preserve">Garantizar a los pueblos  indigenas la continuidad de su cultura ancestral </t>
  </si>
  <si>
    <t>Implementar el programa para el rescate de la identidad cultural de los pueblos indigenas</t>
  </si>
  <si>
    <t xml:space="preserve">Implementar un (1) programa para el rescate y fortalecimiento de la identidad cultural de los pueblos indígenas </t>
  </si>
  <si>
    <t>No. de programas Implementados</t>
  </si>
  <si>
    <t>Noviembe e 2014</t>
  </si>
  <si>
    <t>Apoyar el rescate y fortalecimiento de la identidad cultural de los pueblos indigenas</t>
  </si>
  <si>
    <t>Implementar un programa de fortalecimiento de la identidad cultural  de los indigenas</t>
  </si>
  <si>
    <t>Apoyo a la realización de encuentros de saberes culturales en los 04 CEIN del Departamento de Arauca</t>
  </si>
  <si>
    <t>Fortalecer la identidad cultural de los pueblos indigenas del departamento de Arauca</t>
  </si>
  <si>
    <t xml:space="preserve">Realizar el encuentro de saberes culturales </t>
  </si>
  <si>
    <t xml:space="preserve">Apoyar la realización de cuatro (4) encuentros de saberes culturales y de bienestar por centro educativo. </t>
  </si>
  <si>
    <t>No. de encuentros realizados</t>
  </si>
  <si>
    <t>Encuentros realizados.</t>
  </si>
  <si>
    <t>Mantener las cultura mediante la realizacion de encuentros de saberes</t>
  </si>
  <si>
    <t xml:space="preserve">Apoyar la realizacion de encuentros de saberes culturales en los 4 CEIN </t>
  </si>
  <si>
    <t>Aumentar la matrícula de educación básica y secundaria de la población indígena en 80 cupos</t>
  </si>
  <si>
    <t>No. de niños y adolescentes indígenas que ingresas al sistema educativo</t>
  </si>
  <si>
    <t>Mejorar la infraestructura física de los 4 CEIN y 15 escuelas satélite de los resguardos indígenas del departamento de Arauca</t>
  </si>
  <si>
    <t>No. de CEIN y escuelas satélites mejorados</t>
  </si>
  <si>
    <t>Beneficiar  a 1.400 Estudiantes indígenas con servicio de transporte escolar</t>
  </si>
  <si>
    <t>No. de niños transportado por año escolar</t>
  </si>
  <si>
    <t>Beneficiar anualmente a 1.400 Estudiantes indígenas con alimentación escolar</t>
  </si>
  <si>
    <t xml:space="preserve">No. de niños beneficiados con alimentación escolar </t>
  </si>
  <si>
    <t xml:space="preserve">Dotar de material didáctico y pedagógico a los CEIN y escuelas Satélites de los pueblos indígenas </t>
  </si>
  <si>
    <t>No. de CEIN y escuelas satélites dotados</t>
  </si>
  <si>
    <t>Implementación del proyecto de etnoeducación en los 04 CEIN del Departamento</t>
  </si>
  <si>
    <t>Apoyar la implementacio de un proyecto de etnoeducacion  en el departamento de Arauca</t>
  </si>
  <si>
    <t xml:space="preserve">Implementar un proyecto de etnoeducacion </t>
  </si>
  <si>
    <t>Implementar el proyecto de etnoeducación en los 04 CEIN del Dpto. de Arauca</t>
  </si>
  <si>
    <t>No. CEIN con proyecto de etnoeducación implementado</t>
  </si>
  <si>
    <t>Proyecto implementado</t>
  </si>
  <si>
    <t>Gloria Latorre</t>
  </si>
  <si>
    <t>Apoyo para el acceso a la educación superior de jovenes de las comunidades indígenas del Dpto de Arauca</t>
  </si>
  <si>
    <t>Beneficiar a la comunidad indigena con apoyo economico para el acceso a la educacion</t>
  </si>
  <si>
    <t>Apoyar a la comunidad indigena para el acceso a la educacion superior</t>
  </si>
  <si>
    <t xml:space="preserve">Apoyar el acceso, permanencia y pertinencia a la educación superior y/o técnica y/o tecnológica para 20 jóvenes de la población indígena </t>
  </si>
  <si>
    <t>No. de jóvenes indígenas beneficiados</t>
  </si>
  <si>
    <t>Apoyo para la implementación de una escuela de liderazgo y fortalecimiento de los sistemas propios de gobierno y jurisdicción especial  en los seis pueblos indígenas de  Departamento de Arauca</t>
  </si>
  <si>
    <t>Diseñar estrategias participativas para la gobernabiliadd de los pueblos indigenas del departamento de arauca</t>
  </si>
  <si>
    <t>Desarrollar cuatro encuentros de concertacion y autoreconocimiento de las comunidades indigenas</t>
  </si>
  <si>
    <t>Implementar una (1) escuela de liderazgo y gobierno propio indígena en el departamento de Arauca</t>
  </si>
  <si>
    <t>No. de escuelas implementados</t>
  </si>
  <si>
    <t xml:space="preserve">Encuentros de concertacion y autoreconocimiento a nivl comunitarios (4); </t>
  </si>
  <si>
    <t>Contrato 541 de 2014. VF</t>
  </si>
  <si>
    <t>Fortalecer los sistemas propios de gobierno y juridiccion especial y su cordinaccion de los seis (6) pueblos indigenas del departamento</t>
  </si>
  <si>
    <t>No de sistemas propio indigenas fortalecidos</t>
  </si>
  <si>
    <t xml:space="preserve">socializacion y articulacion insttitucional  (1); asistencia tecnica (1) </t>
  </si>
  <si>
    <t>Slocialiacion realizada</t>
  </si>
  <si>
    <t xml:space="preserve">Mejorar la infraestructura física y mobiliaria de dos  (2) casas indígenas </t>
  </si>
  <si>
    <t xml:space="preserve">No. de casas indígenas en funcionamiento </t>
  </si>
  <si>
    <t>Construir tres (3) planes de vida indígena de los pueblos  Makaguan, U'wa e Inga del Departamento de Arauca</t>
  </si>
  <si>
    <t>No. de planes de vida construidos</t>
  </si>
  <si>
    <t>Fortalecimiento y operatividad de la mesa Departamental de concertacion indigena</t>
  </si>
  <si>
    <t>Fortalecer los espacios de concertacion delas comunidades indigenas en cumplimiento del decreto 103 de 2009</t>
  </si>
  <si>
    <t>Fortalecer la coordinacion interinstitucional en una relacion de dialogo con la poblacion indigena del departamento</t>
  </si>
  <si>
    <t>Fortalecer la operatividad de la mesa Departamental de concertación indígena</t>
  </si>
  <si>
    <t>No. de consulta y concertaciones apoyadas</t>
  </si>
  <si>
    <t xml:space="preserve">Reuniones tecnicas municipales (7); Y Dos (2) sesion departamental; </t>
  </si>
  <si>
    <t>Reuniones tecnicas realizadas</t>
  </si>
  <si>
    <t>en liquidacion contrato 319 de 2014</t>
  </si>
  <si>
    <t>Implementar seis (6) estrategias de seguridad alimentaria acorde a la cultura indígena en el marco de los planes de seguridad y soberanía alimentaria y nutricional de cada municipio</t>
  </si>
  <si>
    <t>No. de estrategias de seguridad alimentaria implementados</t>
  </si>
  <si>
    <t>Desarrollar e implementar (1) un programa en salud publica indigena que garantice el aprendizaje de la medicina tradicional de las comunidades indígenas articulada a la medicina occidental</t>
  </si>
  <si>
    <t>Creación de espacios apropiados para la práctica de medicina propia y medicina occidental en las comunidades indígenas del Dpto de Arauca</t>
  </si>
  <si>
    <t>Crear espacios para la practica de la medicina propia de las comunidades indigenas del departamento de Arauca</t>
  </si>
  <si>
    <t>Desarrollar acciones para la preservacion de la medician propia de las comunidades indigenas</t>
  </si>
  <si>
    <t>Crear espacios apropiados para la práctica de medicina propia y medicina occidental en las comunidades indígenas del departamento de Arauca</t>
  </si>
  <si>
    <t>No. de espacios apropiados</t>
  </si>
  <si>
    <t>Desarrollar acciones para la preservacion de la medicina propia de las comunidades indigenas</t>
  </si>
  <si>
    <t>Acciones desarrolladas</t>
  </si>
  <si>
    <t>Enero 22 de 2015</t>
  </si>
  <si>
    <t>Incrementar la afiliación de la población indígena no asegurada del departamento</t>
  </si>
  <si>
    <t>Porcentaje de personas no aseguradas afiliadas</t>
  </si>
  <si>
    <t>Garantizar la continuidad de la población indígena afiliada al SGSSS</t>
  </si>
  <si>
    <t>No. de personas indígenas en el SGSSS</t>
  </si>
  <si>
    <t>Diseñar e implementar una (1) ruta de atención diferencial en salud para los pueblos indígenas del departamento de Arauca para garantizar el acceso a los servicios de atención primaria en salud y en los diferentes niveles de complegidad</t>
  </si>
  <si>
    <t>Ruta de atención en salud diseñada e implementada</t>
  </si>
  <si>
    <t>Adecuar y habilitar cuatro (4) puestos de salud para los resguardos indígenas,</t>
  </si>
  <si>
    <t>No. de puestos de salud funcionando</t>
  </si>
  <si>
    <t>Diseñar e Implementar un (1) programa de recuperacion nutricional especial para atender a niños y niñas indígenas del departamento de Arauca</t>
  </si>
  <si>
    <t>Implementar un (1) programa de solución de vivienda saludable indígena pertinente de acuerdo a la oferta ambiental para las comunidades indígenas del departamento de Arauca</t>
  </si>
  <si>
    <t>Ampliar la cobertura de (4) sistemas de suministro y potabilización de agua en (4) resguardos indígenas del departamento de Arauca</t>
  </si>
  <si>
    <t>No. de sistemas de suministro de agua apta para consumo humano en los resguardos indígenas</t>
  </si>
  <si>
    <t>Construir (4) sistemas alternativos para el manejo de las excretas en (4) resguardos indígenas del departamento de Arauca</t>
  </si>
  <si>
    <t xml:space="preserve">No. de sistemas alternativos para el manejo de excretas </t>
  </si>
  <si>
    <t>Implementar un (1) Programa para la reubicación de familias indígenas que se encuentran en situación de riesgo por desastres naturales</t>
  </si>
  <si>
    <t>No. de familias reubicadas.</t>
  </si>
  <si>
    <t xml:space="preserve">Realizar cuatro (4) encuentros  deportivos tradicionales </t>
  </si>
  <si>
    <t xml:space="preserve">No. de encuentros deportivos tradicionales realizados </t>
  </si>
  <si>
    <t>Realizar cuatro (4) campañas de registro de niños y niñas indígenas de las comunidades del departamento de Arauca</t>
  </si>
  <si>
    <t>No. de campañas de registro de niños y niñas indígenas durante el periodo de gobierno</t>
  </si>
  <si>
    <t>Diseñar  e implementar un (1) programa de prevenciòn, mitigaciòn, atenciòn y rehabilitaciòn  integral a las familias indigenas con problemas de adicciòn a sustancias psicoactivas, alcoholismo y abandono, maltrato, inserción a grupos armados,  ESCNNA, explotación laboral entre otras con enfoque de garantía de su etnia y costumbres ancestrales</t>
  </si>
  <si>
    <t>Coordinar acciones para la tencion integral e integrada a niñ@as, jovenes ya dolescenetes indigenas en condicion de calle consumidores de SPA en el municipio de Arauca</t>
  </si>
  <si>
    <t>Apoyo psicosocial (5 profesionales); Asistecnia humanitari (entrega de 30 toldillos, ahamancas, kits de aseo personal y herramientas; motor duera de boda; construccion de un albergue temporal (1); semillas 3800 (platano, caña, maiz y arroz); mejoramiento de conucos (50)</t>
  </si>
  <si>
    <t>Asistencia tecnica prestada/kits de aseo entregados</t>
  </si>
  <si>
    <t>septiembre 12 de 2014</t>
  </si>
  <si>
    <t>Contrato 142 de 2014, en liquidacion</t>
  </si>
  <si>
    <t>Atención a mujeres indígenas cabezas de hogar víctimas y desarrollo de iniciativas para mujeres indígenas artesanas del Depto de Arauca</t>
  </si>
  <si>
    <t xml:space="preserve">Coordinar acciones para la tencion integral e integrada a mujeres indigenas </t>
  </si>
  <si>
    <t xml:space="preserve">Atender a las mujeres indigenas cabeza de hogar en condiciones de desplazamiento y de otros hechos victimizantes </t>
  </si>
  <si>
    <t>Desarrollar cuatro iniciativas de estímulos a mujeres indígenas artesanas (artes y oficios para la mujer indígena)</t>
  </si>
  <si>
    <t>No. de iniciativas de estímulos a mujeres, artesanas (artes y oficios para la mujer indígena) en el periodo de gobierno</t>
  </si>
  <si>
    <t>Atencion psicosocial (1); c</t>
  </si>
  <si>
    <t>Atencion psicosocial prestada</t>
  </si>
  <si>
    <t>Contrato 390 de 2014. VF</t>
  </si>
  <si>
    <t>Implementar un (1) programa para la atención a mujeres indígenas cabeza de hogar y en situación de desplazamiento y otros hechos victimizantes</t>
  </si>
  <si>
    <t>Capacitacion en emprendimiento</t>
  </si>
  <si>
    <t>Implementación de medidas de asistencia atención y reparación integral hacia el goce efectivo de derechos de las comunidades indigenas de especial protección  en el departamento de Arauca.</t>
  </si>
  <si>
    <t>garatizar la reubicacion de la comuniad Cuiloto marrero del muncipio de puerto rondon</t>
  </si>
  <si>
    <t>Adquirir un predio para el fortalecemiento de las comunidades indigenas de especial proteccion</t>
  </si>
  <si>
    <t>Implementar medidas de atencion y reparacion integral al 100% de las comunidades indigenas victimas, desplazadas y/o confinadas atendiendo a las ordenes del auto 382, 004 en articulacion Nacion-Territorio, Territorio-Territorio, Gobernabilidad indigena</t>
  </si>
  <si>
    <t>Porcentaje de comunidades indigenas victimas, desplazadas y/o confinadas implementada</t>
  </si>
  <si>
    <t>Compra y adjudicacion de una predio en puerto rondon</t>
  </si>
  <si>
    <t>contrato 607 de 014. VF</t>
  </si>
  <si>
    <t>Desarrollo de  un programa de atención integral  para los indígenas de la tercera edad.</t>
  </si>
  <si>
    <t>Caracterizar y analisis situacional y focalizacion de atecncio humanitari de carácter  prioritaria a la poblacion indigena adulto mayor</t>
  </si>
  <si>
    <t>Identificar lasituacion actual de los indigenas de la tercera edad en el departamento de Arauca</t>
  </si>
  <si>
    <t>Desarrollar un programa de atención integral para los indígenas de la tercera edad</t>
  </si>
  <si>
    <t>Caracterizacion y registro de la poblacion indigena de la tercera edad</t>
  </si>
  <si>
    <t>Caracterizacion frealizada</t>
  </si>
  <si>
    <t>contrato 343 de 2014.  Suspendido 6 de noviembre. Reinicia 2 de febrero de 2015</t>
  </si>
  <si>
    <t>Protección de las comunidades afro colombianas</t>
  </si>
  <si>
    <t>Fortalecimiento de la población afrodescendiente del Departamento de Arauca mediante el acceso a la Educación para el trabajo.</t>
  </si>
  <si>
    <t>Beneficiar con el proyecto de acceso a la educación superior y/o técnica a 44 personas afrodescendientes</t>
  </si>
  <si>
    <t>No. De personas beneficiadas con el proyectos de acceso a la educación implementados</t>
  </si>
  <si>
    <t xml:space="preserve">Se contracredito. </t>
  </si>
  <si>
    <t>Priorizar la atención en salud a la población  afrodescendiente  en eventos no poss y en la atención  y acceso a los servicios de salud</t>
  </si>
  <si>
    <t>No de solicitudes en eventos no poss de la poblaciòn afrosdescendiente</t>
  </si>
  <si>
    <t>Implementación de un programa para el rescate y fortalecimiento  de la identidad cultural de los pueblos afrodescendientes en el Departamento de Arauca</t>
  </si>
  <si>
    <t>omar cisneros</t>
  </si>
  <si>
    <t>Implementar un (1) programa  de alfabetización de población adulta afrodescendientes mediante el modelo A CRECER</t>
  </si>
  <si>
    <t>No. de proyecto de alfabetización implementadas</t>
  </si>
  <si>
    <t>Realizacion de encuentros municipales  de poblacion afrodescendientes</t>
  </si>
  <si>
    <t>Encuentros realizados</t>
  </si>
  <si>
    <t>Implementar el proyecto  de etnoeducación de la población afrodescendiente</t>
  </si>
  <si>
    <t>No. De proyectos de etnoeducaciòn implementado</t>
  </si>
  <si>
    <t>Apoyo para la Implementación de la cátedra afrocolombiana como línea transversal en instituciones educativas y CEAR de influencia de  territorios colectivos afrodescendientes</t>
  </si>
  <si>
    <t>Implementar la Cátedra Afrocolombianas como línea transversal en las instituciones educativas del Departamento</t>
  </si>
  <si>
    <t>No. de cátedras afrocolombianas implementadas</t>
  </si>
  <si>
    <t>Se contracredito para la secretaria de gobierno</t>
  </si>
  <si>
    <t xml:space="preserve">Se contracredito para la secretaria de gobierno </t>
  </si>
  <si>
    <t>Construir 200 unidades de sistemas individuales alternativos de suministro y potabilización de agua en el sector rural</t>
  </si>
  <si>
    <t>No. de sistemas alternativos individuales para el suministro de agua apta para consumo humano en el sector rural</t>
  </si>
  <si>
    <t>Construir 200 unidades de sistemas individuales alternativos para el manejo adecuado de excretas en el sector rural</t>
  </si>
  <si>
    <t>No. de sistemas individuales alternativos construidos</t>
  </si>
  <si>
    <t>Permitir el acceso a vivienda de  (200) familias a  vivienda rural y urbana para la población afrosdescendiente del departamento de Arauca</t>
  </si>
  <si>
    <t>No. de subsidios otorgados</t>
  </si>
  <si>
    <t>Apoyar la construcción de  infraestructura etnocultural  como parte de la identidad de los pueblos afrocolombianos</t>
  </si>
  <si>
    <t xml:space="preserve">No. De infraestructuras apoyadas </t>
  </si>
  <si>
    <t>Apoyar diez (10) proyectos productivos a generación de empleos y mejoramiento económico de la población Afrodescendientes.</t>
  </si>
  <si>
    <t>No. de proyectos productivos apoyados</t>
  </si>
  <si>
    <t xml:space="preserve">Implementar un (1) proyecto de rescate de la identidad cultural de los pueblos afrodescendientes </t>
  </si>
  <si>
    <t>No. de proyectos de rescate de la identidad cultural implementados</t>
  </si>
  <si>
    <t>Apoyo para el Fortalecimiento de las formas tradicionales de organización y legalización  de consejos comunitarios de las comunidades afrodescendientes del departamento de Arauca</t>
  </si>
  <si>
    <t>Fortalecer los espacios de concertacion de las comunidades Afrodescencidentes del departamento de Arauca</t>
  </si>
  <si>
    <t>Apoyar las actividades de los consejos comunitarios de la comunidades afros del departamento de Arauca</t>
  </si>
  <si>
    <t>Apoyar la legalización  de 10 Consejos Comunitarios del Departamento</t>
  </si>
  <si>
    <t>No. De Consejos comunitarios legalizados</t>
  </si>
  <si>
    <t>Desarrollo de asamblea de consejos comunitarios (2 jornadas; capacitacion a redes de mujeres (2); congreso despartamental de mujeres afrocolombianas; Talleres a red de juventud (2);Congreso departamental de juventudes afrodescendientes; Mesa de concertaqcdion departamental de afros (2) ; Estrategia de comunicacion (1) ; asmblea dptal de consejos comunitarios afros</t>
  </si>
  <si>
    <t>Asambleas desarrolladas/Talleres realizados/Congreso realizado/ Estrategia IEC implementada</t>
  </si>
  <si>
    <t>Enero 26 de 2014</t>
  </si>
  <si>
    <t>Jose de jesus correa Perez</t>
  </si>
  <si>
    <t>Contrato 596 de 2014</t>
  </si>
  <si>
    <t>Gestionar  la reforestación de las cuencas y microcuencas en territorios colectivos de poblacion afrodescendiente</t>
  </si>
  <si>
    <t>Has reforestadas de cuencas y microcuencas gestionadas</t>
  </si>
  <si>
    <t>Apoyar la adquisiciòn  de 500 has de tierra  para ampliación de territorios colectivos de la población afrodescendiente</t>
  </si>
  <si>
    <t>No. De hectàreas adquididas</t>
  </si>
  <si>
    <t xml:space="preserve">Apoyar el fortalecimiento del  100% de las formas tradicionales de organizaciòn de las comunidades afrodescendientes </t>
  </si>
  <si>
    <t>Porcentaje de organizaciones y/o asociaciones capacitadas</t>
  </si>
  <si>
    <t>Implementar un (1) proyecto de seguridad alimentaria (Programa RESA)</t>
  </si>
  <si>
    <t>No. De proyectos implementados</t>
  </si>
  <si>
    <t>Implementar un (1) proyecto de erradicación de la discriminación racial</t>
  </si>
  <si>
    <t>No. de proyectos Implementado</t>
  </si>
  <si>
    <t>Protección a la población en discapacidad</t>
  </si>
  <si>
    <t>Implementar una estrategia que garantice la generación de ingresos a  personas con discapacidad en el departamento de Arauca</t>
  </si>
  <si>
    <t>No. de estrategia implementada</t>
  </si>
  <si>
    <t>Implementar un (1) proyecto de acceso a la educación superior y/o técnica a la población con discapacidad</t>
  </si>
  <si>
    <t>No. de proyectos implementados</t>
  </si>
  <si>
    <t>Priorizar la población con discapacidad en los programas de vivienda digna que ofrece el departamento</t>
  </si>
  <si>
    <t>No. de familias con miembros en condición de discapacidad priorizadas en los programas de vivienda digna</t>
  </si>
  <si>
    <t xml:space="preserve">Apoyar la creación de siete (7) micro, pequeña y/o mediana empresa y fomentar su desarrollo
</t>
  </si>
  <si>
    <t>No. de micro, pequeña y medianas empresas creadas</t>
  </si>
  <si>
    <t>Promover  y apoyar la implementaciòn del servicio  de  rehabilitación y atención integral para la atención a las personas con discapacidad</t>
  </si>
  <si>
    <t>No. de personas atendidas</t>
  </si>
  <si>
    <t>Apoyo a la realización de las olimpiadas para la población en condición de discapacidad en el Departamento de Arauca</t>
  </si>
  <si>
    <t>Fomentar en la población en condición de discapacidad el deporte y la recreación como aprovechamiento del tiempo libre</t>
  </si>
  <si>
    <t>Ejecutar un proyecto de deporte paralímpico</t>
  </si>
  <si>
    <t>No. de proyecto de deporte paralímpico</t>
  </si>
  <si>
    <t>Desarrollar encuentros deportivos, recreativos y culturales con la pblación en condición de discapacidad</t>
  </si>
  <si>
    <t>encuentros deportivos desarrollados</t>
  </si>
  <si>
    <t>Promoción de espacios para la expresión artistica y cultural para las personas con discapacidad del Dpto de Arauca</t>
  </si>
  <si>
    <t>Transmitir habilidades a niños y jovenes de la poblacion con discapacidad</t>
  </si>
  <si>
    <t xml:space="preserve">Beneficiar a 180 personas en coindicion de discapacidad con actividades de capacitacion </t>
  </si>
  <si>
    <t>Crear un proyecto de espacios adecuados para la expresión artística y cultural para las personas con discapacidad</t>
  </si>
  <si>
    <t>No. de proyectos de espacios adecuados creados</t>
  </si>
  <si>
    <t xml:space="preserve">Raelizacion de 3 talleres (dibujo, pintura y manualidades);/ entrega de 180 kit para  manualidades dibujo Y  pintura; </t>
  </si>
  <si>
    <t>Talleres reallizadso/kits entregados</t>
  </si>
  <si>
    <t>Contrato 345 de 2014</t>
  </si>
  <si>
    <t xml:space="preserve">Implementar un  15% la polìtica de discapacidad </t>
  </si>
  <si>
    <t>Porcentaje de la polìtica implementada</t>
  </si>
  <si>
    <t>Apoyo a la promoción de  un programa de apoyo psicosocial  a las personas con discapacidad y su entorno familiar en el Departamento de Arauca</t>
  </si>
  <si>
    <t>Mejorar las condiciones de la poblacion en condicion con discapacidad</t>
  </si>
  <si>
    <t>Beneficar a 60 personas en condicion de desplazamiento</t>
  </si>
  <si>
    <t>Implementar un programa de apoyo psicosocial a las personas con discapacidad y su entorno familiar.</t>
  </si>
  <si>
    <t>Programa de apoyo psicológico creado</t>
  </si>
  <si>
    <t>Talleres (2) en manualidades para 60 personas (marroquineria Y adornos navideños)</t>
  </si>
  <si>
    <t>Olga Lucia Leon</t>
  </si>
  <si>
    <t xml:space="preserve">Apoyar la construcciòn y/o mejoramiento de infraestructura para centros de atenciòn a personas con discapacidad </t>
  </si>
  <si>
    <t>No. De Centros de atenciòn cosntruidos y/o mejorados</t>
  </si>
  <si>
    <t>Protección al adulto mayor</t>
  </si>
  <si>
    <t>Fortalecimiento de  una red comunitaria o social en el departamento para promover el cuidado y soporte familiar para el adulto mayor</t>
  </si>
  <si>
    <t>Mejorar las condiciones de la ponlacion adulto mayor</t>
  </si>
  <si>
    <t>Crear una red comunitaria para la atencion del adulto mayor</t>
  </si>
  <si>
    <t>Consolidar una red comunitaria o social en el departamento para promover el cuidado y soporte familiar para el adulto mayor</t>
  </si>
  <si>
    <t>No. de redes comunitarias consolidadas</t>
  </si>
  <si>
    <t xml:space="preserve">Realizacion de dos jornadas de sensibilizacion en envejecimiento para entidades publico y privadas (50 perosnas por jornada) </t>
  </si>
  <si>
    <t>Jornadas de sensibilizacion realizadas</t>
  </si>
  <si>
    <t xml:space="preserve">Priorizar a los hogares con adultos mayores en los programas de mejoramiento de vivienda </t>
  </si>
  <si>
    <t>No. de familias con adultos mayores priorizadas en los programas de vivienda digna</t>
  </si>
  <si>
    <t>Charlas (25) de concientizacion a niños y jovenes sobre el envejecimiento"Envejecer nos toca a todos" en instituciones educativas</t>
  </si>
  <si>
    <t>Chralas realizadas</t>
  </si>
  <si>
    <t>Taller a EPS y hospitales sobre legislacion del adulto mayor, derechos y deberes y actualizacion de la circular 01 de 07 de enero de 2014</t>
  </si>
  <si>
    <t>Apoyo a la atención integral de los adultos mayores priorizados por los centros de vida del anciano (C.V.A) en el Departamento de Arauca.</t>
  </si>
  <si>
    <t>Beneficiar con raciones servidas a lña comunidad aduilto mayor</t>
  </si>
  <si>
    <t>Raciones servidas para la poblacion adulto mayor del departamento de Arauca</t>
  </si>
  <si>
    <t>Raciones servidas entregadas</t>
  </si>
  <si>
    <t xml:space="preserve">Con vigenvia futura </t>
  </si>
  <si>
    <t>Mantenimiento  de  Centros de Bienestar para el anciano en el Departamento de Arauca</t>
  </si>
  <si>
    <t>Contar con infraestructura adecuda para el bienestar de la poblacion adulto mayor</t>
  </si>
  <si>
    <t>Hacer mantenimiento de un centro de bienestar para el anciano</t>
  </si>
  <si>
    <t xml:space="preserve"> Apoyar la construcciòn, mejoramiento, adecuaciòn y dotar dos centros de bienestar para el adulto mayor</t>
  </si>
  <si>
    <t>No. de centros de bienestar construidos, mejorados, adecuados y dotados</t>
  </si>
  <si>
    <t xml:space="preserve">Pintura y reparaciones locativas de dos (2) centros de bienestar </t>
  </si>
  <si>
    <t>Centros de bienestar con pintura y reparacion realizada</t>
  </si>
  <si>
    <t>Implementación de un Programa de  Atenciòn Integral (seguridad Alimentaria y Nutricional ) (desarrollo Personal) para el adulto mayor priorizados por los centros vida del anciano (C.V.A) en el departamento de Arauca</t>
  </si>
  <si>
    <t>Raciones servidas para lapoblacion adulto mayor del departamento</t>
  </si>
  <si>
    <t xml:space="preserve">Adicional </t>
  </si>
  <si>
    <t xml:space="preserve">Entrega de 60 kits para los talleres </t>
  </si>
  <si>
    <t>Kits entregados</t>
  </si>
  <si>
    <t>Dotación y funcionamiento de centros de bienestar para el adulto mayor en el Departamento de Arauca.</t>
  </si>
  <si>
    <t xml:space="preserve">Beneficiar a la poblacion adulto  mayor con mejores instalaciones </t>
  </si>
  <si>
    <t xml:space="preserve">Mejorar las condiciones del centro de biuenestar del adulto mayor </t>
  </si>
  <si>
    <t>Dotacion del centro de bienestar del municipio de Fortul, Araquita y Saravena</t>
  </si>
  <si>
    <t>Construcción y/o mejoramiento, adecuación y funcionamiento de dos Centros de bienestar para el Anciano. (Proceso en Curso)</t>
  </si>
  <si>
    <t>Apoyo al programa de mejoramiento y adecuación de los centros de vida del anciano (C.V.A.) en el Departamento de Arauca</t>
  </si>
  <si>
    <t>Apoyar 800 adultos mayores con la implementación de un (1) programa de bienestar y aprovechamiento del tiempo libre acorde con las políticas nacionales de envejecimiento y vejez que incluya a los siete (7) municipios</t>
  </si>
  <si>
    <t>No. de adultos mayores beneficiados</t>
  </si>
  <si>
    <t>Protección a LGTBI</t>
  </si>
  <si>
    <t>Diseñar e implementar un proyecto de capacitación permanente al personal de las instituciones y a la sociedad civil sobre el respeto de los derechos de la población LGBTI, para disminuir los índices de discriminación y endodiscriminación en el Departamento de Arauca</t>
  </si>
  <si>
    <t>No. de proyecto de capacitación diseñados e implementados</t>
  </si>
  <si>
    <t>Permitir el acceso a la población  LGBTI en los programas de  vivienda con recursos complementarios</t>
  </si>
  <si>
    <t>No. de familias con comunidad LGBTI</t>
  </si>
  <si>
    <t>Realizar 7 talleres y 3 campañas de socialización y divulgación de la política pública nacional para población LGBTI</t>
  </si>
  <si>
    <t>No. de talleres y campañas de comunicación realizadas</t>
  </si>
  <si>
    <t>Desarrollo de estrategias de   atención psicosocial con enfoque diferencial para población LGBTI en el Departamento de Arauca</t>
  </si>
  <si>
    <t>Desarrollo estrategias de atencion psicosocial a la poblacion LGBTI</t>
  </si>
  <si>
    <t xml:space="preserve">Fortalecer a la poblacion LGBTI en atención psicosocial </t>
  </si>
  <si>
    <t>Diseñar e implementar un proyecto de atención psicosocial con enfoque diferencial para población LGBTI</t>
  </si>
  <si>
    <t>No. de proyectos de atención psicosocial para la población LGBTI</t>
  </si>
  <si>
    <t>Realizacion de dos Talleres en artes eccenicas y danzas, y emprendimiento   para 40 personas</t>
  </si>
  <si>
    <t>Talleres desarrollados</t>
  </si>
  <si>
    <t>Encuentro departamental de la comunidad LGBTI</t>
  </si>
  <si>
    <t>Acompañamiento psicosocial  para 40 personas de la población LBGTI</t>
  </si>
  <si>
    <t>Acompañamiento realizado</t>
  </si>
  <si>
    <t>ECONOMICO PRODUCTIVO</t>
  </si>
  <si>
    <t>Construir Desarrollo Socio Económico Local para lograr el crecimiento sostenible y la competitividad</t>
  </si>
  <si>
    <t>Transformación competitiva del sistema socio económico productivo</t>
  </si>
  <si>
    <t>Desarrollo rural</t>
  </si>
  <si>
    <t>Apoyo a pequeños productores agropecuarios en el fomento de especies menores en el Departamento de Arauca</t>
  </si>
  <si>
    <t>Prestar a poyo a pequeños productores del departamento deArauca de gallinas ponedoras</t>
  </si>
  <si>
    <t xml:space="preserve">Implementar 50 unidades prodcutivas en gallinas ponedoras </t>
  </si>
  <si>
    <t>Apoyar a 200 pequeños productores en el fomento de especies menores, piscicultura, ganaderia y granjas integrales</t>
  </si>
  <si>
    <t>No. de productores apoyados</t>
  </si>
  <si>
    <t>Capacitacion y demostracion de metodoa 50 productores</t>
  </si>
  <si>
    <t>Capacitaciones realizadas</t>
  </si>
  <si>
    <t>Francisco Javier Mendoza Niño</t>
  </si>
  <si>
    <t>Asistecnia tencica a productores (50 productores)</t>
  </si>
  <si>
    <t>Mejoramiento de la productividad del sector ganadero en el  departamento de  Arauca</t>
  </si>
  <si>
    <t>Mejorar la productividad del sector ganadero del departamento de Arauca</t>
  </si>
  <si>
    <t xml:space="preserve">Contribuir al mejoramiento del sector ganadero de 822 predios </t>
  </si>
  <si>
    <t xml:space="preserve">Prestar asistecia tenciac a 822 predios ganaderos </t>
  </si>
  <si>
    <t>Trino Isnardo Torres</t>
  </si>
  <si>
    <t>Declarado desierto</t>
  </si>
  <si>
    <t>Realizar 9 talleres de asistencia tecncia</t>
  </si>
  <si>
    <t>Estudio para la caracterizacion de l sector porcicola para el departamento de Arauca</t>
  </si>
  <si>
    <t xml:space="preserve">Declarar el departamento zona libre de peste porcina y superar el bajo nivel productivo, compettitco y de desarrollo </t>
  </si>
  <si>
    <t>realizar un estudio de caracterizacion del sector porcicola</t>
  </si>
  <si>
    <t>Realizar un estudio del sector porcicola del departamento de araca</t>
  </si>
  <si>
    <t>Estudios realizados</t>
  </si>
  <si>
    <t>Diciembre d 2014</t>
  </si>
  <si>
    <t>Francisco Javier Mendoza</t>
  </si>
  <si>
    <t>El resultado de este esudio serasometido al analisis del gremio del sector para su aprobacion</t>
  </si>
  <si>
    <t>Apoyo a la comercilización  de productos agropecuarios de pequeños productores mediante los mercados campesinos en el Dpto de Arauca</t>
  </si>
  <si>
    <t>Apoyar la comecialiacion de productos agropecuarios</t>
  </si>
  <si>
    <t>Beneficiar a 300 pequeños productores del deparamento de Arauca</t>
  </si>
  <si>
    <t xml:space="preserve">Apoyar el programa de mercados campesinos </t>
  </si>
  <si>
    <t>No. de programas campesinos apoyados</t>
  </si>
  <si>
    <t>Realizar 14 eventos de mercados campesinos</t>
  </si>
  <si>
    <t>Mercados campesinoas realizados</t>
  </si>
  <si>
    <t>Emperatriz Roman Romero</t>
  </si>
  <si>
    <t>Termina febero de 2015</t>
  </si>
  <si>
    <t>Apoyar a 1600 campesinos rurales con programas de bancarización y asistencia técnica integral</t>
  </si>
  <si>
    <t>No. campesinos beneficiados con bancarización y asistencia técnica</t>
  </si>
  <si>
    <t>Agropecuario</t>
  </si>
  <si>
    <t>Apoyar la implementación de 7 proyectos de soberanía alimentaria, uno en cada municipio, en el marco de los planes de seguridad alimentaria y nutricional</t>
  </si>
  <si>
    <t>No. de proyectos soberanía alimentaria establecidos con el apoyo de la Gobernación</t>
  </si>
  <si>
    <t>Beneficiar como mìnimo  186 pequeños productores con la implementación de distritos de pequeña irrigación</t>
  </si>
  <si>
    <t>No. de pequeños productores  beneficiados</t>
  </si>
  <si>
    <t xml:space="preserve">Apoyar  y gestionar  programas de formalización de la propiedad de la tierra </t>
  </si>
  <si>
    <t>No. de programas apoyados y gestionados</t>
  </si>
  <si>
    <t>Permitir a 300 familias de la zona rural del departamento acceder a soluciones de vivienda propia</t>
  </si>
  <si>
    <t>No. de viviendas nuevas</t>
  </si>
  <si>
    <t>Construir 800 unidades de sistemas individuales alternativos para el manejo adecuado de excretas en el sector rural</t>
  </si>
  <si>
    <t>Construir un (1) sistema de alcantarillado sanitario en el área rural del Departamento de Arauca</t>
  </si>
  <si>
    <t>No. de sistemas de alcantarillado sanitario en el área rural del Departamento de Arauca construido</t>
  </si>
  <si>
    <t>Optimizar como mìnimo  cuatro (4) sistemas de alcantarillado sanitario en el área rural del Departamento de Arauca</t>
  </si>
  <si>
    <t>No. de sistemas de alcantarillado sanitarios optimizados</t>
  </si>
  <si>
    <t>Construir 800 unidades de sistemas individuales alternativos de suministro y potabilización de agua en el sector rural</t>
  </si>
  <si>
    <t xml:space="preserve">Construir como mìnimo dos  (2) acueductos regionales </t>
  </si>
  <si>
    <t>No. de acueductos veredales construidos</t>
  </si>
  <si>
    <t>Optimizar cuatro (4) acueductos veredales en el Departamento de Arauca</t>
  </si>
  <si>
    <t>No. de Sistemas de acueductos veredales optimizados</t>
  </si>
  <si>
    <t>Implementar 100 nuevas soluciones alternas de energía en las zonas no interconectadas del Departamento</t>
  </si>
  <si>
    <t>No. de nuevas soluciones alternas de energía implementadas</t>
  </si>
  <si>
    <t>Ampliacion de la cobertura del servicio de energía en el área rural del Departamento de Arauca</t>
  </si>
  <si>
    <t>Lograr benefiar a la comuinidad rural con el servicio de energia electrica</t>
  </si>
  <si>
    <t>Proveer de servicio de energia electrica a 208 nuevos usuarios</t>
  </si>
  <si>
    <t xml:space="preserve">Incrementar en 1000 el número de usuarios atendidos con el servicio de energía en el área rural </t>
  </si>
  <si>
    <t xml:space="preserve">No. de usuarios nuevos con el servicio de energía eléctrica en el área rural </t>
  </si>
  <si>
    <t>Ampliacion de la electrificacion en las veredas san jose del lipa y la pastora ,en el municipio de arauca, departamento de arauca</t>
  </si>
  <si>
    <t>Veredas con servicio de energia ampliado</t>
  </si>
  <si>
    <t>Cofinacniados con ENELAR y su ejecucion sera en 2015</t>
  </si>
  <si>
    <t>ampliacion de la electrificacion en la vereda la pastora, municipio de arauca, departamento de arauca</t>
  </si>
  <si>
    <t>Construccion de redes de media y baja tension vereda el futuro del municipio de arauquita, departamento de arauca</t>
  </si>
  <si>
    <t>Redes de baja y media tension consruidas</t>
  </si>
  <si>
    <t>Ampliacion de la electrificacion en la vereda gualanday, en el municipio de fortul, departamento de arauca</t>
  </si>
  <si>
    <t>Ampliacion de la electrificacion en la vereda las petacas, municipio de puerto rondon, departamento de arauca</t>
  </si>
  <si>
    <t>Ampliacion de la electrificacion en las veredas san pablo, maporillal, merecure, y la bendicion, en el municipio de arauca, departamento de arauca</t>
  </si>
  <si>
    <t>Ampliacion de la electrificacion vereda matal de flor amarillo, municipio de arauca, departamento de arauca</t>
  </si>
  <si>
    <t>Ampliacion de la electrificacion en la vereda el ripial, en el municipio de puerto rondon, departamento de puerto rondon.</t>
  </si>
  <si>
    <t>Ampliacion de la electrificacion  vereda el palmar  en el municipio de puerto rondon, departamento de arauca</t>
  </si>
  <si>
    <t>Ampliacion de la electrificacion en el municpio de cravo norte, departamento de arauca</t>
  </si>
  <si>
    <t>Construcción, mejoramiento y mantenimiento de las vias terciarias en el Departamento de Arauca</t>
  </si>
  <si>
    <t>Mejorar la movilidad vial del departamento</t>
  </si>
  <si>
    <t xml:space="preserve">Pavimentar 1,560 km </t>
  </si>
  <si>
    <t>Mantener, pavimentar y/o rehabilitar 1000 kilómetros de vías veredales</t>
  </si>
  <si>
    <t>No. de Km. de vía mantenida y/o rehabilitada</t>
  </si>
  <si>
    <t xml:space="preserve">Pavimentacion de 1560 ml de vias </t>
  </si>
  <si>
    <t>Ml de via pavimentados</t>
  </si>
  <si>
    <t>Octubre 14 de 2014</t>
  </si>
  <si>
    <t>Construcción, Mejoramiento, mantenimiento y rehabilitación de las vías terciarias del Plan Vial Regional en el Departamento de Arauca</t>
  </si>
  <si>
    <t xml:space="preserve">Mejorar la conectividad vial del departamento de Arauca </t>
  </si>
  <si>
    <t xml:space="preserve">Pavimentar 5,30 km </t>
  </si>
  <si>
    <t>Pavimentacion de  5,3 km de vias</t>
  </si>
  <si>
    <t>Km de via pavimentados</t>
  </si>
  <si>
    <t>Construcción de caminos veredales en la Isla de reinera, Etapa II, municipio de Arauquita, departamento de Arauca</t>
  </si>
  <si>
    <t xml:space="preserve">Pavimentar 1,5 km </t>
  </si>
  <si>
    <t>Pavimentacion de 1500 ml</t>
  </si>
  <si>
    <t>Se cayo el proceso</t>
  </si>
  <si>
    <t>Construcción de obras de arte para  las Veredas Cravo Corozo y Costa Rica en el Municipio de Tame, Departamento de Arauca</t>
  </si>
  <si>
    <t>Contruir 13 alcantarillas</t>
  </si>
  <si>
    <t xml:space="preserve">Construccion de 13 alcantarillas </t>
  </si>
  <si>
    <t>No de alcantarillas construidas</t>
  </si>
  <si>
    <t>mayo 30 de 2015</t>
  </si>
  <si>
    <t>Luis alberto Melo</t>
  </si>
  <si>
    <t>Mejoramiento, mantenimiento y/o pavimentación  de las vías terciarias del Plan Vial Regional en el Departamento de Arauca. (Proceso en Curso)</t>
  </si>
  <si>
    <t xml:space="preserve">Pavimentar 1,1 km </t>
  </si>
  <si>
    <t>Mejoaramiento de 1,1 km de vias</t>
  </si>
  <si>
    <t>Vias mejoradas</t>
  </si>
  <si>
    <t>Construcción, mejoramiento y mantenimiento de las vias terciarias en el Departamento de Arauca. (Proceso en Curso)</t>
  </si>
  <si>
    <t xml:space="preserve">Pavimentar 1,721 km </t>
  </si>
  <si>
    <t>Pavimentacion de 1721 ml de vias</t>
  </si>
  <si>
    <t>Mayo  de 2014</t>
  </si>
  <si>
    <t>Construcción de caminos veredales en la Isla de Reinera, Municipio de Arauquita, Departamento de Arauca. (Proceso en Curso)</t>
  </si>
  <si>
    <t xml:space="preserve">Pavimentar 1,414 km </t>
  </si>
  <si>
    <t>Pavimentacion de 1414 ml de vias</t>
  </si>
  <si>
    <t>Mejoramiento y mantenimiento de la via terciaria vereda clarinetero, en el municipio de Arauca, Departamento de Arauca. (Proceso en Curso)</t>
  </si>
  <si>
    <t xml:space="preserve">Pavimentar 0,900 km </t>
  </si>
  <si>
    <t>Pavimentacion de 900 ml de vias</t>
  </si>
  <si>
    <t>Terminado</t>
  </si>
  <si>
    <t>Mejoramiento y rehabilitación de la red vial secundaria y terciaria del departamento de Arauca. (Proceso en Curso)</t>
  </si>
  <si>
    <t xml:space="preserve">Pavimentar 12,3 km </t>
  </si>
  <si>
    <t>Pavimentacion de 12,3 Km de vias</t>
  </si>
  <si>
    <t>Mejoramiento de la via terciaria en el sector de Tamacay - Puerto Jordán del municipio de Tame, Departamento de Arauca</t>
  </si>
  <si>
    <t xml:space="preserve">Pavimentar 4 km </t>
  </si>
  <si>
    <t>Pavimentacion de 4 kilometros</t>
  </si>
  <si>
    <t>Luis Melo</t>
  </si>
  <si>
    <t>VF; S EEJECUTARA EN 2015</t>
  </si>
  <si>
    <t>Secretaria de Infrestructura</t>
  </si>
  <si>
    <t>Mantenimiento via vereda  Rincón Hondo  -  Vereda Casiabo Municipio de Tame, Departamento de Arauca</t>
  </si>
  <si>
    <t>Mejorar la movilidad vial rural del departamento de Arauca</t>
  </si>
  <si>
    <t>Hacer mantenimiento de una via veredal del muncipio de Tame</t>
  </si>
  <si>
    <t>Mantenimiento de 2,4 km de vias terciarias</t>
  </si>
  <si>
    <t>Vias con mantenimiento</t>
  </si>
  <si>
    <t>Construcción y/o mejoramiento de puentes hamacas que mejoren la integración rural en los Municipios del departamento de Arauca</t>
  </si>
  <si>
    <t>Construir un puente hamaca</t>
  </si>
  <si>
    <t>Construir  y/o mejorar minimo veinte  (20) puentes Hamacas que mejoren la integración rural</t>
  </si>
  <si>
    <t>No. De puentes construidos y/o mejorados</t>
  </si>
  <si>
    <t xml:space="preserve">Construccion de dos puentes hamacas </t>
  </si>
  <si>
    <t>Puestes hamacas construidos</t>
  </si>
  <si>
    <t>En proceso de legalizacion</t>
  </si>
  <si>
    <t>Construcción del puente colgante, vereda los caracoles, sector La Torre, Municipio de Fortul, Departamento de Arauca.</t>
  </si>
  <si>
    <t>Construccion de un puente hamaca</t>
  </si>
  <si>
    <t>Puentes hamaca construido</t>
  </si>
  <si>
    <t>NO SALIO EL PROCESO</t>
  </si>
  <si>
    <t>Adquirir siete (7) bancos de maquinaria de obra pública municipal</t>
  </si>
  <si>
    <t>No. de bancos de maquinaria municipal adquiridos</t>
  </si>
  <si>
    <t>Producir y transformar con resultados</t>
  </si>
  <si>
    <t xml:space="preserve">Apoyar el establecimiento de 10.000 ha nuevas de cultivos tradicionales y alternativos </t>
  </si>
  <si>
    <t xml:space="preserve">No. de hectáreas nuevas sembradas </t>
  </si>
  <si>
    <t>Apoyar el establecimiento de 500 ha con sistemas silvopastoriles</t>
  </si>
  <si>
    <t>No. de hectáreas de sistemas silvopastoriles establecidas</t>
  </si>
  <si>
    <t xml:space="preserve">Apoyar el establecimiento de 500 ha con banco de proteínas </t>
  </si>
  <si>
    <t>No. de hectáreas con bancos de proteína establecidas</t>
  </si>
  <si>
    <t xml:space="preserve">Apoyar el establecimiento de 400 ha con plantaciones forestales comerciales </t>
  </si>
  <si>
    <t>No. de hectáreas de plantaciones forestales establecidas</t>
  </si>
  <si>
    <t>Apoyar la consolidación de la unidad departamental de maquinaria</t>
  </si>
  <si>
    <t>No. de unidades Departamentales consolidadas</t>
  </si>
  <si>
    <t>Apoyo a la implementación de Alianzas productivas del Ministerio de Agricultura, Departamento de Arauca</t>
  </si>
  <si>
    <t>Implementar alianzas productivas</t>
  </si>
  <si>
    <t>Fortalecer el desarrollo agropecuario del departamento de Arauca</t>
  </si>
  <si>
    <t>Apoyar 12 proyectos bajo el esquema de alianzas productivas</t>
  </si>
  <si>
    <t>No. de alianzas apoyadas por la Gobernación</t>
  </si>
  <si>
    <t>Realizacion de siete convenios en el programa de alianzas productivas</t>
  </si>
  <si>
    <t>Convenios Firmados</t>
  </si>
  <si>
    <t>German anzola</t>
  </si>
  <si>
    <t>Se logro un solo convenio y esta en Tramite de apertura de fiducia en el mes de febrero de 2015</t>
  </si>
  <si>
    <t>Apoyar 2000 pequeños y medianos productores con ICR y/o FAG</t>
  </si>
  <si>
    <t xml:space="preserve">No. de productores beneficiadas con incentivos </t>
  </si>
  <si>
    <t>Mejoramiento de la productividad y la calidad del grano de café producido en la zona de amortiguación del parque nacional natural el cocuy municipio de Tame, Departamento de Arauca</t>
  </si>
  <si>
    <t>Mejoramiento de la productividad de los cafeteros del departamento de Arauca</t>
  </si>
  <si>
    <t>Beneficiar a 250 productores de café con asistenciatecnica e insfraesructura</t>
  </si>
  <si>
    <t>Ofrecer asistencia técnica a 10.000 productores para mejorar la productividad</t>
  </si>
  <si>
    <t>Asistencia integral y capacitacion a 250 cafeterps en la implementacion desistemas agroforestales con café (156 millones)</t>
  </si>
  <si>
    <t>Asistencia tecnica brindada</t>
  </si>
  <si>
    <t>Acuerdo 04 de 2014. Proceso en curso para su ejeccion en 2015</t>
  </si>
  <si>
    <t>SECRETARIA DE AGRICULTURA Y DESARROLLO SOSTENIBLE</t>
  </si>
  <si>
    <t>Asistencia técnica y capacitación para el fortalecimiento socio empresarial en el municipio de Arauquita, Dpto de Arauca.(Proceso en Curso)</t>
  </si>
  <si>
    <t>Mejorar las condiciones de la poblacion rural del departametno</t>
  </si>
  <si>
    <t xml:space="preserve">Capacitacion de 30 microempresarios rurales </t>
  </si>
  <si>
    <t>No. productores agropecuarios con asistencia técnica</t>
  </si>
  <si>
    <t>Realizacion de 10 talleres para capacitar a 30 empresarios rurales (32 millones)</t>
  </si>
  <si>
    <t>Realizacion de un evento de fortalecimiento empresarial  en mercadeo (60 millones)</t>
  </si>
  <si>
    <t>Evento realizado</t>
  </si>
  <si>
    <t>Realizacion de un censo comercial del municipio de Arauquita (8 millones)</t>
  </si>
  <si>
    <t>Censo comecial realizado</t>
  </si>
  <si>
    <t>Apoyo a la asistencia tecnica deirectra rral en el departamento de Arauca enmarcadi en el contrato pplam</t>
  </si>
  <si>
    <t xml:space="preserve">Brindar asistencia tecnica integral a los productores del sector agricola y pecuaria </t>
  </si>
  <si>
    <t>Beneficar a 3448 productores del departamento</t>
  </si>
  <si>
    <t>Assitencia tecnica a 3448 prodcutores agricolas y pecuarios del departamento</t>
  </si>
  <si>
    <t>Contrato Plan de Arauca</t>
  </si>
  <si>
    <t>Asistencia técnica para el fortalecimiento del sector piscicola en el departamento de Arauca</t>
  </si>
  <si>
    <t>Fortaleciemitno del secror piscicola del departamento de Arauca</t>
  </si>
  <si>
    <t>Apoyar la implementacion  de 60 unidades piscicolas</t>
  </si>
  <si>
    <t>Capacitacion y demostracion de metodoa 60 productores</t>
  </si>
  <si>
    <t>Realizacion de un gira tecnica para 30 productores</t>
  </si>
  <si>
    <t>Gira tecnica realizada</t>
  </si>
  <si>
    <t>Capacitación y asistencia técnica agropecuaria del Departamento de Arauca(FONDO ROTATORIO)</t>
  </si>
  <si>
    <t>Realizar un estudio para la caracterizacion de la porcicultura del departamento como estrategia para ser declarados libres de peste porcina clasica y superar el bajo nivel productivo, competitivo y de desarrollo que aqueja al sector porcicola</t>
  </si>
  <si>
    <t>Realziacion de una caracterizacion porcicola del departamento de Arauca</t>
  </si>
  <si>
    <t>Caracterizacion realizada</t>
  </si>
  <si>
    <t>Apoyar la disminución de la prevalencia de la brucelosis mediante la certificación de 100 hatos libres de brúcela</t>
  </si>
  <si>
    <t>No. de hatos libres certificados</t>
  </si>
  <si>
    <t>Implementar un (1) programa de mejoramiento genético bovino en el departamento de Arauca</t>
  </si>
  <si>
    <t>No de programas implementado</t>
  </si>
  <si>
    <t>Apoyo a la  continuidad de los indices de prevalencia  de las enfermedades de fiebre aftosa en los 07 mpios del Dpto de Arauca</t>
  </si>
  <si>
    <t xml:space="preserve">Dar continuidad al progrma de vacunacion </t>
  </si>
  <si>
    <t>Vacunar en 3800 predioas contra la fiebre aftosa</t>
  </si>
  <si>
    <t>Apoyar la continuidad de los índices de prevalencias de las enfermedades de Fiebre Aftosa (0%), Rabia Bovina (4 focos), TBC (0%), Encefalitis Equina (0%) (Un programa de vacunacion)</t>
  </si>
  <si>
    <t>Índice de prevalencias para cada enfermedad</t>
  </si>
  <si>
    <t>Vacunas de 3800 predios en el departamento de Arauca</t>
  </si>
  <si>
    <t>Predios con vacunaciion efectuada</t>
  </si>
  <si>
    <t>Apoyo a la comercialización de productos agropecuarios  mediante la participacion en eventos feriales a nivel local, regional y nacional</t>
  </si>
  <si>
    <t>Incentivas la participacion delos productores agropecuario en eventos feriales de orden local, regional y nacional</t>
  </si>
  <si>
    <t>Apoyar 9 eventos feriales  en el departamento de Arauca</t>
  </si>
  <si>
    <t>implementar una estrategia de comercialización de los productos araucanos que permita posicionarlos en el mercado nacional e internacional</t>
  </si>
  <si>
    <t>No. de estrategias definidas e implementadas</t>
  </si>
  <si>
    <t xml:space="preserve">Realizacion de  20Jornadas de juzgamiento </t>
  </si>
  <si>
    <t>Jornadas de juzgamiento realizadas</t>
  </si>
  <si>
    <t>Julio  24 de 2014</t>
  </si>
  <si>
    <t>Diciembre 23 de 2014</t>
  </si>
  <si>
    <t>Miriam Torres</t>
  </si>
  <si>
    <t>Productivo</t>
  </si>
  <si>
    <t>Apoyo a la comercializacion en 9 eventos feriales</t>
  </si>
  <si>
    <t>Eventos de comercializacion apoyados</t>
  </si>
  <si>
    <t xml:space="preserve">Apoyo logistico para la dos (2)eventos feriales </t>
  </si>
  <si>
    <t>Apoyos logisticos brindados</t>
  </si>
  <si>
    <t xml:space="preserve">Apoyar a los productores para que participen en 40 eventos feriales del nivel local, regional y/o nacional </t>
  </si>
  <si>
    <t>No. de eventos feriales a los que asisten los productores con apoyo de la Gobernación</t>
  </si>
  <si>
    <t>Gestionar el mejoramiento y/o construcciòn  de infraestructura para el desarrollo agropecuario</t>
  </si>
  <si>
    <t>No. De infraestructura construida y/o mejorada</t>
  </si>
  <si>
    <t>Apoyo y mejoramiento de procesos productivos en el municipio de Arauquita en el departamento de Arauca</t>
  </si>
  <si>
    <t>Modernizaciion delcultivo de caña mediante la aduisicion de equipos para el montaje de una fabrica de panela que cumpla con las especificaciones tecncias exigidas por el INVIMA</t>
  </si>
  <si>
    <t>Adquirir seis (6) pailas para la puesta en funcionameniotno de la empresa panelera</t>
  </si>
  <si>
    <t>Fortalecer seis (6) empresas asociativas que comercialicen productos agropecuarios</t>
  </si>
  <si>
    <t>No. de empresas asociativas fortalecidas</t>
  </si>
  <si>
    <t>Compra de seis (6) pilas en acero inoxidable</t>
  </si>
  <si>
    <t>Apoyo y mejoramiento de la calidad del grano de cacao en el municipio de Arauquita departamento de Arauca</t>
  </si>
  <si>
    <t>Modernizacion del cultivo del cacao mediante la adquisicion de equipos para la preservacion de la calidad del producto permitiendo asi eliminar los excesos de humedad y evitando la aparicios de hongos que dañan la presentacion y sabor del cacao mejorarndo la restabilidad y competiticidad del cultivo en el municipio de Arauquita</t>
  </si>
  <si>
    <t>Mejorar los equipos de secado y limpiado del cacao de los productores  del departamento</t>
  </si>
  <si>
    <t xml:space="preserve">Asitencia tecnica y capacitacion durante dos meses </t>
  </si>
  <si>
    <t>octubre de 2014</t>
  </si>
  <si>
    <t>Adquisicion de tres (3) equipos (secadora y limpiadoas) para apoyo y mejoamiento del grano del cacao</t>
  </si>
  <si>
    <t>equipos adquiridos</t>
  </si>
  <si>
    <t xml:space="preserve">Promover cuatro (4) ruedas de negocios </t>
  </si>
  <si>
    <t>No. de ruedas de negocio promovidas</t>
  </si>
  <si>
    <t>Emprendimiento y promoción empresarial</t>
  </si>
  <si>
    <t>Actualización del estudio de racionalización de las plantas de beneficio animal en el Departamento de Arauca</t>
  </si>
  <si>
    <t>Mejorar las condiciones de calidad e inoquidad de carne y emjoaramiento de las condiciones sanitarias de las plantas de beneficio animal</t>
  </si>
  <si>
    <t>Actualizar el estudio de racionalizacion de planta de sacrifiio animal</t>
  </si>
  <si>
    <t xml:space="preserve">Apoyar el montaje y/o consolidar de seis plantas de producción agroindustrial </t>
  </si>
  <si>
    <t>No. de Plantas de producción agroindustrial en operación</t>
  </si>
  <si>
    <t>Evaluar las condiciones de las plantas publicas y privadas de la region (infrestructura, amnbietal, mercado, normativo, etc)</t>
  </si>
  <si>
    <t>Condiciones evaluadas</t>
  </si>
  <si>
    <t>Los resultados de este estudio seran sometidos a la mesa de racioanlizacion para su respectivo ajuste y aprobación</t>
  </si>
  <si>
    <t>Construcción y montaje de una planta de secado de arroz en el departamento de Arauca</t>
  </si>
  <si>
    <t>Mejorar las condiciones de los productores de arroz del departamento</t>
  </si>
  <si>
    <t>Construir una planta de secado de arroz en el departamento de Arauca</t>
  </si>
  <si>
    <t>Contruccion de una planta de secado de arroz</t>
  </si>
  <si>
    <t>Planta de secado construida</t>
  </si>
  <si>
    <t>No se ejecuto debido a la falta de estudios y diseños</t>
  </si>
  <si>
    <t>Estudios y diseños de la planta de sacrificio porcicola en el municipio de Saravena, Dpto de Arauca</t>
  </si>
  <si>
    <t>Mejorar las condiciones de los productores porcicolas  del departamento</t>
  </si>
  <si>
    <t>Diseñas  una planta de beneficio poprcino departamento de Arauca</t>
  </si>
  <si>
    <t>Realizar los Diseños  de una planta de beneficio porcino departamento de Arauca</t>
  </si>
  <si>
    <t>Planta diseñada</t>
  </si>
  <si>
    <t>Francisco</t>
  </si>
  <si>
    <t>Estudio de factibilidad para el montaje de una planta de transformación agroindustrial de platano en el municipio de Tame, Depto de  Arauca.(Proceso en Curso)</t>
  </si>
  <si>
    <t>Fortalecer la comercializacion dela cadena platano del deparramneto</t>
  </si>
  <si>
    <t xml:space="preserve">Apoyar la construcciion y montaje de una planta de transformacion </t>
  </si>
  <si>
    <t>Realizacion de un esudio de factibilidad de una planta de transformación de Platano en el municipio de Tame</t>
  </si>
  <si>
    <t>junio de 2014</t>
  </si>
  <si>
    <t>Emperatriz Roman</t>
  </si>
  <si>
    <t>Proyecto con adicional de plazo, terminara su ejecucion en 2015</t>
  </si>
  <si>
    <t>Apoyar la construcción de dos  centros de desarrollo empresarial en el departamento de Arauca</t>
  </si>
  <si>
    <t>No. de centros de desarrollo empresarial construidos</t>
  </si>
  <si>
    <t>Apoyo al fortalecimiento de la cultura empresarial y fomento de la productividad y competitividad en los municipios de Arauca, Arauquita, Saravena, Tame y Puerto Rondón, Departamento de Arauca</t>
  </si>
  <si>
    <t>Apoyar el fortalecimiento de la cultura empresarial y fomento de la productivida y competititvidad  ene l depaertamento de Arauca</t>
  </si>
  <si>
    <t>Apoyar el fortalecimiento de 20 empresas en el departamento de Arauca</t>
  </si>
  <si>
    <t xml:space="preserve">Apoyar el fortalecimiento de 1000 Mipymes </t>
  </si>
  <si>
    <t>No. de Mipymes fortalecidas</t>
  </si>
  <si>
    <t>Realziacion de taller de buenas practicas manufactureras; de formacion de gestores empresariales y transferencia a 15 gestores; Formulcion de planes de mojoramiento a 15 empresas; Realizar un mapeo de las Mipymes y realizar una gira tecnica comercial</t>
  </si>
  <si>
    <t>Talleres realizados/Planes de negocios formulados</t>
  </si>
  <si>
    <t>Karelia Galviz</t>
  </si>
  <si>
    <t>Acuerdo 05 de 2014, se ejecutara en 2015, VF acuerdo 06 de 2014. (45,4 miloones Creame; 19,2 millones de CCC,; 18,2 millones Alcaravan)</t>
  </si>
  <si>
    <t xml:space="preserve">Apoyar la creación de 200 empresas </t>
  </si>
  <si>
    <t xml:space="preserve">No. de nuevas empresas </t>
  </si>
  <si>
    <t xml:space="preserve">Incrementar en 100% (8.000) personas con capacidades en procesos de vocación y cultura de emprendimientos </t>
  </si>
  <si>
    <t>Porcentaje de incremento de personas con capacidades</t>
  </si>
  <si>
    <t>Apoyar la cofinanciación de tres (3) iniciativas empresariales que aporten a la conservación del medio ambiente y que tengan significativo impacto sobre las exportaciones con certificaciòn de origen (biocomercio, sellos verdes, entre otros)</t>
  </si>
  <si>
    <t>Numero de Iniciativas apoyadas</t>
  </si>
  <si>
    <t>Desarrollo de acciones que promuevan el emprendimiento y el desarrollo empresarial en el Departamento de Arauca</t>
  </si>
  <si>
    <t>Brindar capacitacion y asistecnia tecnica a los miembors  de la Red Regional de Emprendimiento en la presentacion de proyectos, formalizacion empresarial y manejo de ka politica de emprendimiento del departamento</t>
  </si>
  <si>
    <t>Fortalecer la Red regional de emprendimiento del departamento de Arauca</t>
  </si>
  <si>
    <t xml:space="preserve">Apoyar 5 estrategias para la implementación del plan estratégico de emprendimiento regional articulados a la red de emprendimiento departamental </t>
  </si>
  <si>
    <t>No. estrategias implementadas con el apoyo de la Gobernación</t>
  </si>
  <si>
    <t xml:space="preserve">Diseño, edicion, produccion y emision de cinco (5) programas radiales; 200 cuñas radiales; </t>
  </si>
  <si>
    <t>Programas radiales diseñados y emitidos</t>
  </si>
  <si>
    <t>Contrato 344 de 2014</t>
  </si>
  <si>
    <t>Realiacion de una foro de innovacion y emprendimiento y un conversatorio</t>
  </si>
  <si>
    <t>Asistencia tecnica para la formulacion y  revision de planes de negocios (e meses)</t>
  </si>
  <si>
    <t>Apoyar el proceso de formalización de 200 Mipymes</t>
  </si>
  <si>
    <t>No. de mipymes formalizadas</t>
  </si>
  <si>
    <t>Apoyar la realización de los estudios de factibilidad para la consolidación de una zona de desarrollo industrial</t>
  </si>
  <si>
    <t>No. de estudios de factibilidad realizados con el apoyo de la Gobernación</t>
  </si>
  <si>
    <t>Turismo con resultados</t>
  </si>
  <si>
    <t>Mejorar dos (2) sectores ecoturísticos en el departamento de Arauca</t>
  </si>
  <si>
    <t>No. de sectores ecoturísticos mejorados</t>
  </si>
  <si>
    <t xml:space="preserve">Construir y/o adecuar un (1) sistema fluvial turístico en el Río Arauca
</t>
  </si>
  <si>
    <t>No. de sistemas fluviales turísticos en el río Arauca construidos y adecuados</t>
  </si>
  <si>
    <t xml:space="preserve">Apoyar la consolidación del programa de posadas turísticas </t>
  </si>
  <si>
    <t xml:space="preserve">No. de posadas turísticas </t>
  </si>
  <si>
    <t xml:space="preserve">Empaquetar en agencia de viajes nacionales 2 productos turístico de naturaleza </t>
  </si>
  <si>
    <t>No. de producto turístico de naturaleza empaquetados</t>
  </si>
  <si>
    <t xml:space="preserve">Apoyar en la implementación de tres (3) rutas ecoturísticos </t>
  </si>
  <si>
    <t>No. de rutas implementadas</t>
  </si>
  <si>
    <t>Apoyar la formación de 25 expertos informadores turìsticos</t>
  </si>
  <si>
    <t>No. de expertos informadores turisticos</t>
  </si>
  <si>
    <t>Desarrollo de estrategias para la promoción de servicios turisticos en el Departamento de Arauca</t>
  </si>
  <si>
    <t>Identificar los productos turisticos del departamento de Arauca</t>
  </si>
  <si>
    <t>Desarrollar acciones para identificar los productos turisticos de Arauca</t>
  </si>
  <si>
    <t>Apoyar el mejoramiento de las capacidades turísticas y de calidad de servicios al 50% de los prestadores de servicios turísticos y asociados (artesanías, hoteles, restaurantes, transporte, entre otros)</t>
  </si>
  <si>
    <t>Porcentaje de prestadores de servicios con capacidades y competencias</t>
  </si>
  <si>
    <t>Identificacion de los productos turisticos del Departamento de Arauca</t>
  </si>
  <si>
    <t>Productos turisticos identificados</t>
  </si>
  <si>
    <t>VF. Se ejecutara en 2015</t>
  </si>
  <si>
    <t xml:space="preserve">Consolidar y poner en operación tres puntos de información turística PIT articulados a la red nacional </t>
  </si>
  <si>
    <t>No. de puntos de información turística</t>
  </si>
  <si>
    <t>Apoyar la implementación de un programa de marketing territorial</t>
  </si>
  <si>
    <t>No. de programas de marketing implementados</t>
  </si>
  <si>
    <t>Implementar 01 estrategias de promoción del producto "Arauca, tres alturas, un mundo de destinos"</t>
  </si>
  <si>
    <t>Generación de empleo e ingresos</t>
  </si>
  <si>
    <t>Disminuir en 10% el número de niños y adolescentes que participan en la actividad laboral</t>
  </si>
  <si>
    <t>Porcentaje de niños, niñas y adolescentes entre 5 y 17 años, que participan en una actividad remunerada o no</t>
  </si>
  <si>
    <t>Apoyar la formalización de 400 vendedores informales</t>
  </si>
  <si>
    <t>No. de vendedores ambulantes formalizados</t>
  </si>
  <si>
    <t>Beneficiar a 1.000 jóvenes con proyectos de cualificación y formación para el trabajo</t>
  </si>
  <si>
    <t>No. de jóvenes capacitados en competencias laborales</t>
  </si>
  <si>
    <t>Generación de nuevas alternativas de empleo e ingresos a desmovilizados  del programa de Reinserción en el  departamento de Arauca</t>
  </si>
  <si>
    <t>Generar nuevas alternativas de empleo a desmovilizados</t>
  </si>
  <si>
    <t>Capacitar en nuevas alternativas de empleo a los desmovilizados del departamento deArauca</t>
  </si>
  <si>
    <t>Mejorar y adecuar 20.000 m2 de áreas verdes, equipamientos y espacio público</t>
  </si>
  <si>
    <t xml:space="preserve">m2 de áreas verdes y de espacio público mejorados </t>
  </si>
  <si>
    <t>Asistencia tecnica empresarial (un profesional)</t>
  </si>
  <si>
    <t>Beneficiar a 300 emprendedores con financiación de nuevas alternativas que generen empleo formal</t>
  </si>
  <si>
    <t>No. de emprendedores beneficiados</t>
  </si>
  <si>
    <t>Capacitacion en nueas alternativas de empleo</t>
  </si>
  <si>
    <t>Capacitacion desarrollada</t>
  </si>
  <si>
    <t>Fortalecimiento de acciones y nuevas alternativas para generación de ingresos y empleo en el Departamento de Arauca</t>
  </si>
  <si>
    <t>formar en competencia laborales a la cominidad del departameno de Arauca</t>
  </si>
  <si>
    <t>Fortalecer las acciones para la generacion de ingresos y empelo</t>
  </si>
  <si>
    <t>Apoyar tres (3) iniciativas de desarrollo local que promueva la generación de empleo e ingresos (actividades del programa GOBIERNO CON RESULTADOS, Autoconstrucción, entre otras)</t>
  </si>
  <si>
    <t>No de iniciativas de desarrollo local apoyadas</t>
  </si>
  <si>
    <t xml:space="preserve">Apoya al SENA para la formacion en competencia laborales </t>
  </si>
  <si>
    <t>Diciembrede 2014</t>
  </si>
  <si>
    <t>Proceso en curso 2015</t>
  </si>
  <si>
    <t>Establecer dos (2) alianzas públicos privadas para la generación de 1000 nuevos empleos y aplicabilidad de la ley de primer empleo</t>
  </si>
  <si>
    <t>No. de empleos generados</t>
  </si>
  <si>
    <t>Ciencia, Tecnología e Innovación</t>
  </si>
  <si>
    <t>Desarrollar 22 proyectos concursables en investigación experimental y/o aplicada, desarrollo e innovación para el mejoramiento del sector productivo, ambiental, tecnológico y sociocultural</t>
  </si>
  <si>
    <t>No. de proyectos concursables desarrollados</t>
  </si>
  <si>
    <t>Desarrollo de acciones que promuevan el desarrollo de iniciativas de ciencia, tecnologia e innovación en el Departamento de Arauca</t>
  </si>
  <si>
    <t>Incentivar la investigacion en niños, jovenes y adolescentes del departamento de Arauca</t>
  </si>
  <si>
    <t xml:space="preserve">Apoyar iniciativas demostrativas que motiven la innovacion </t>
  </si>
  <si>
    <t xml:space="preserve">Apoyar 15 redes e iniciativas que generen capacidades para la gestión del conocimiento, desarrollo tecnológico, innovación y su transferencia </t>
  </si>
  <si>
    <t>No. de redes e iniciativas desarrolladas</t>
  </si>
  <si>
    <t xml:space="preserve">Apoyo de iniciativas demostrativas que motiven la innovacion </t>
  </si>
  <si>
    <t>Iniciativas apoyadas</t>
  </si>
  <si>
    <t>proceso en curso</t>
  </si>
  <si>
    <t xml:space="preserve">Desarrollar un centro de I+D tecnológico orientado al desarrollo del conocimiento científico e innovación socioeconómica en el departamento de Arauca </t>
  </si>
  <si>
    <t>Centro de I+D tecnológico creado</t>
  </si>
  <si>
    <t xml:space="preserve">Desarrollar un programa de fortalecimiento del talento humano de maestrías y doctorados que beneficie 15 estudiantes en estas modalidades </t>
  </si>
  <si>
    <t>No. de estudiantes inscritos en programas de doctorados y maestrías</t>
  </si>
  <si>
    <t>Desarrollar un programa de investigación y desarrollo para la conservación, protección y recuperación de los recursos hídricos y biodiversidad en el área de influencia del parque nacional natural del Cocuy</t>
  </si>
  <si>
    <t xml:space="preserve">Desarrollar un programa de investigación, desarrollo tecnológico e innovación en energías alternativas </t>
  </si>
  <si>
    <t xml:space="preserve">Desarrollar un programa de investigación, desarrollo tecnológico e innovación para el manejo y aprovechamiento sostenible del recurso hídrico pesquero y acuícola </t>
  </si>
  <si>
    <t>Desarrollar un programa de investigación, conservación y uso de sostenible de ecosistemas estratégicos (cuencas hidrográficas, sabanas inundables, morichales, lagunas y humedales)</t>
  </si>
  <si>
    <t>Desarrollar un programa de investigación, desarrollo tecnológico e innovación en cambio climático</t>
  </si>
  <si>
    <t xml:space="preserve">Desarrollar un programa de investigación, desarrollo tecnológico e innovación en ecosistemas forestales y agroforestales  </t>
  </si>
  <si>
    <t>No. de programas Desarrollados</t>
  </si>
  <si>
    <t xml:space="preserve">Desarrollar un programa de investigación, desarrollo tecnológico e innovación sustentable en el recurso pecuario </t>
  </si>
  <si>
    <t xml:space="preserve">Desarrollar un programa de innovación e investigación social, cultural y eco turística </t>
  </si>
  <si>
    <t>Desarrollar un programa para la investigación, innovación y uso sostenible de la Biodiversidad (Caimán llanero, inventario de oferta de biodiversidad, inventario y caracterización de aves)</t>
  </si>
  <si>
    <t xml:space="preserve">Desarrollar un programa de investigación, desarrollo tecnológico e innovación en la extracción sostenible de minerales </t>
  </si>
  <si>
    <t xml:space="preserve">Desarrollar un programa para la vigilancia y control de la transmisión de la enfermedad del Chagas congénito rural </t>
  </si>
  <si>
    <t xml:space="preserve">Generar un espacio de apropiación de la CTI a través del diseño, construcción y operación de un (1) centro interactivo </t>
  </si>
  <si>
    <t xml:space="preserve">Centro interactivo construido </t>
  </si>
  <si>
    <t>Implementar un (1) programa de habilidades y competencias científico tecnológicas en la población infantil y juvenil del departamento de Arauca (primera infancia, niños, niñas, adolescentes y jóvenes investigadores e innovadores y semilleros de investigación -emprendimiento y programa ondas)</t>
  </si>
  <si>
    <t>TICS</t>
  </si>
  <si>
    <t>Ampliar y mejorar la cobertura de la Red Arauca en los siete municipios del departamento</t>
  </si>
  <si>
    <t>No. de municipios ampliados y mejorados</t>
  </si>
  <si>
    <t>Formar y capacitar 10.000 personas, a través de las herramientas tecnológicas, para superar las barreras de oportunidad y conocimiento en el desarrollo económico y crecimiento sostenible.</t>
  </si>
  <si>
    <t>No. de Personas capacitadas en herramientas tecnológicas</t>
  </si>
  <si>
    <t>Gestionar la Ampliación de la cobertura de la señal de televisión de los canales nacionales privados e institucionales en 4 Municipios</t>
  </si>
  <si>
    <t>Municipios con cobertura de señal de Televisiòn</t>
  </si>
  <si>
    <t>Gestionar la masificaciòn del acceso a internet por redes  de fibra òptica</t>
  </si>
  <si>
    <t>No. De hogares con acceso a internet</t>
  </si>
  <si>
    <t>Formación y capacitación  a través de las herramientas tecnológicas y TICs  para superar barreras de oportunidad y conocimiento a la comunidad, docentes y servidores públicos en el Depto de Arauca</t>
  </si>
  <si>
    <t>Capacitar a docentes en herramientas tecnologicas TIC para superar barreras de oportunidad y conocimiento</t>
  </si>
  <si>
    <t>Formar 300 docentes en el uso de herramientas TIC</t>
  </si>
  <si>
    <t>Formar 500 docentes y servidores públicos en el uso de TIC</t>
  </si>
  <si>
    <t>No. docentes y funcionarios públicos formados en el uso profesional de las TIC</t>
  </si>
  <si>
    <t>Capacitar a 300 docentes en apropiación en tecnología de la información y la comunicación TIC</t>
  </si>
  <si>
    <t>Docentes capacitados</t>
  </si>
  <si>
    <t xml:space="preserve">Javier Vega Otálora. </t>
  </si>
  <si>
    <t>En el 2013 se capacitaron servidores públicos y en esta vigencia la meta son los docentes</t>
  </si>
  <si>
    <t>Desarrollar e implementar dos campañas de formación sobre el manejo y uso de equipos obsoletos</t>
  </si>
  <si>
    <t>Fortalecer 2 iniciativas que promuevan el desarrollo de tramites y servicios en línea</t>
  </si>
  <si>
    <t>No. de iniciativas fortalecidas</t>
  </si>
  <si>
    <t>Desarrollar e implementar mínimo seis (6) tramites o servicios en línea</t>
  </si>
  <si>
    <t>No. de tramites o servicios en línea desarrollados e implementados</t>
  </si>
  <si>
    <t>Generar dos espacios de información y participación que faciliten la relación de los ciudadanos con la Gobernación</t>
  </si>
  <si>
    <t xml:space="preserve">Espacios de participación en línea habilitados </t>
  </si>
  <si>
    <t xml:space="preserve">Articular la estrategia de Gobierno en línea con el Modelo Estándar de Control Interno </t>
  </si>
  <si>
    <t>Modelo estándar articulado con la estrategia de Gobierno en Línea</t>
  </si>
  <si>
    <t>Implementar sistemas electrónicos de gestión documental, siguiendo los lineamientos de la política antitrámites y cero papel del Gobierno en línea</t>
  </si>
  <si>
    <t>Porcentaje de reducción del uso del papel en la entidad</t>
  </si>
  <si>
    <t>POLITICO INSTITUCIONAL</t>
  </si>
  <si>
    <t>Generar Gobernanza Territorial para la Transformación económica y social</t>
  </si>
  <si>
    <t>Desempeño Territorial - Gestión gubernamental orientada a resultados</t>
  </si>
  <si>
    <t>Nueva Gestión Pública Departamental</t>
  </si>
  <si>
    <t>Desarrollar un (1) proceso de modernización de la administración departamental</t>
  </si>
  <si>
    <t>No. de proceso de modernización de la administración departamental implementado</t>
  </si>
  <si>
    <t>Secretaria General y Desarrollo Institucional</t>
  </si>
  <si>
    <t xml:space="preserve">Formular e implementar un proyecto de modernización y fortalecimiento institucional de la Secretaría de Planeación Departamental con el objeto de prepararla para asumir las funciones de Secretaria Técnica del OCAD </t>
  </si>
  <si>
    <t>No. de proyectos de modernización y fortalecimiento institucional formulados e implementados</t>
  </si>
  <si>
    <t>Implementar una (1) estrategia para el fortalecimiento institucional  de las entidades públicas del nivel departamental</t>
  </si>
  <si>
    <t xml:space="preserve">Diseñar y establecer un (1) sistema de control administrativo y financiero de las entidades descentralizadas del departamento de Arauca </t>
  </si>
  <si>
    <t>No. de sistemas de control administrativo y financiero funcionando durante el cuatrienio</t>
  </si>
  <si>
    <t>Adquisición de equipos de computo y otros dispositivos de tecnología en hardware y comunicaciones para la administración  departamental</t>
  </si>
  <si>
    <t xml:space="preserve">Implementar una estrategia de adquisición de equipos y remodelación de la red de datos </t>
  </si>
  <si>
    <t>Adquisicionde una UPS, una fotoccopuiadora, 4 scanner, 9 computadores, 9 aires acondicionados</t>
  </si>
  <si>
    <t>Septimrbe de 2014</t>
  </si>
  <si>
    <t>Contrato 234 de 2014</t>
  </si>
  <si>
    <t>Adqusicion de esquipos para la Asamblea Departamental</t>
  </si>
  <si>
    <t>Adquisicion de 12 portatiles 3 aires 1 impresora y 1 computador todo en uno</t>
  </si>
  <si>
    <t>Contrato 419 de 2014. liquidado</t>
  </si>
  <si>
    <t>Cuantificar y actualizar  el 100% del inventario de bienes muebles e inmuebles del departamento</t>
  </si>
  <si>
    <t>Porcentaje de Inventario de bienes muebles e inmuebles del Departamento administrados</t>
  </si>
  <si>
    <t>Desarrollar y ejecutar al 100% un (1) programa de reingeniería del modelo de operación por procesos para sistema de gestión de la calidad en armonía con el Sistema de control interno MECI 1000:2005</t>
  </si>
  <si>
    <t>Fortalecimiento del programa de gestion dicumental de la administracion Departamental</t>
  </si>
  <si>
    <t xml:space="preserve">Ejecutar un plan de acción para el fortalecimiento y continuidad del programa de gestión documental </t>
  </si>
  <si>
    <t>No. de planes de acción ejecutados</t>
  </si>
  <si>
    <t>Organización, clasificacion y depuracion  de 240 ml de archivo y contratacion de personal  (277.008.000)</t>
  </si>
  <si>
    <t>ML de archivo organizado y clasificado</t>
  </si>
  <si>
    <t>Contrato 255 de 2014</t>
  </si>
  <si>
    <t>Dotacion de 6600 carpetas, cajas 2000, formatos adesivos 7000, gaschos legajados 60, batas 10, estantes metalicos 10 escanner  (72.991.840)</t>
  </si>
  <si>
    <t>Dotacion realizada</t>
  </si>
  <si>
    <t>Contrato 254 de 2014</t>
  </si>
  <si>
    <t>Estudios y diseños remodelación y ampliación del edificio del archivo Departamental de Arauca</t>
  </si>
  <si>
    <t>Desarrollar un programa que permita mejorar y posicionar la imagen del departamento de Arauca en el contexto Nacional, armonizando con las políticas, programas y proyecto que en este sentido contiene el Plan Nacional de Desarrollo.</t>
  </si>
  <si>
    <t>No. De programas desarrollados</t>
  </si>
  <si>
    <t>Realizar los estudios y diseños de la ampliacion del archivo departamental de Arauca</t>
  </si>
  <si>
    <t>Estudios y diseños realizados</t>
  </si>
  <si>
    <t>Septiemnbre de 2014</t>
  </si>
  <si>
    <t>Contrato 329 de 2014. En ejecucion</t>
  </si>
  <si>
    <t xml:space="preserve">Desarrollo de un porgrama de promosion y divulgacion de la imagen del departamento de arauca </t>
  </si>
  <si>
    <t xml:space="preserve">Produccio edicion y emision de 800 cuñas radiales </t>
  </si>
  <si>
    <t>Cañas radiales emitidas</t>
  </si>
  <si>
    <t>Contrato 230 de junuo de 2014</t>
  </si>
  <si>
    <t xml:space="preserve">Prodcucion edicion y emision de 120 microespoacionde 2 minutos a traves de los direferntes medios de comuniciacion radial de laprtamentoa </t>
  </si>
  <si>
    <t>Microesacions emitidos</t>
  </si>
  <si>
    <t>Construcción, mejoramiento y optimización de las áreas de la infraestructura física de la administración Departamental</t>
  </si>
  <si>
    <t>Mejorar las condiciones fisica de la gobernacion de Arauca</t>
  </si>
  <si>
    <t>Adecuacion de la fachada y la oficina de contratacion</t>
  </si>
  <si>
    <t>Remodelación y adecuación de seis (6) áreas de infraestructura física de la administración departamental</t>
  </si>
  <si>
    <t>No. de áreas de infraestructura física remodeladas y adecuadas durante el cuatrienio</t>
  </si>
  <si>
    <t>Fachada adecuada</t>
  </si>
  <si>
    <t>Mejoramienro del cerramiento de la gobernación de Arauca</t>
  </si>
  <si>
    <t>Cerramiento mejorado</t>
  </si>
  <si>
    <t>Adecuacion de una subestacion electrica de la gobernacion de Arauca</t>
  </si>
  <si>
    <t>Subestacion adecuada</t>
  </si>
  <si>
    <t>mejoramientoin de la casa fiscal de la administracion departamental</t>
  </si>
  <si>
    <t>Casa fiscal mejorada</t>
  </si>
  <si>
    <t>Mejoramiento de cuatro (4) puestos de trabajo de la secretaria Goberinro</t>
  </si>
  <si>
    <t>Puestos de trabajo mejorados</t>
  </si>
  <si>
    <t>Mejoramiento de dos (2) puestos de trabajo de la secretaria Educacion</t>
  </si>
  <si>
    <t>Mejoramiento y optimización de las áreas de la infraestructura física de la Asamblea Departamental</t>
  </si>
  <si>
    <t xml:space="preserve">Pintada de fachada, manteniemiento de baños y recisnto, pintura de oificna </t>
  </si>
  <si>
    <t>Facha pintada</t>
  </si>
  <si>
    <t>Remodelacion y adecuacion de las dependencias y sedes administrativas del Departamento de Arauca</t>
  </si>
  <si>
    <t>Remodelacion y adecuacion de las dependencias y sedes administrativas del Departamento de Arauca (Interventoria)</t>
  </si>
  <si>
    <t>Adecuacion de area de Archivo y de la oficina presidencial de la Asamblea Departamental de Arauca</t>
  </si>
  <si>
    <t>Adecuar 2 infraestructura de la asnmblea departamental</t>
  </si>
  <si>
    <t>Archivo y presidencia adecuada</t>
  </si>
  <si>
    <t>Remodelación y adecuación de las dependencias y sedes administrativas del departamento de Arauca. (Proceso en Curso)</t>
  </si>
  <si>
    <t>Adecuacion de la secretaria de planeacion departamental</t>
  </si>
  <si>
    <t>Secretaria adecuada</t>
  </si>
  <si>
    <t>Gestión financiera</t>
  </si>
  <si>
    <t>Actualización del sistema integrado de información articulado a la base de datos del software financiero y la virtualización del servidor  de la Gobernación del Departamento de Arauca</t>
  </si>
  <si>
    <t>Actualizar el sistema integrado  de informacion de la gobernacion de Arauca</t>
  </si>
  <si>
    <t>Realizar la actualizacion del sistema integrado de informacion de la gobernación de Arauca}</t>
  </si>
  <si>
    <t>Modernizar  y optimizar el sistema  contable, presupuestal, tributario y financiero</t>
  </si>
  <si>
    <t>Sistema contable, presupuestal,tributario y financiero  modernizado y optimizado</t>
  </si>
  <si>
    <t>Realizar la actualizacion y soporte del sistema integrado de informacion dptal bajo la plataforma incluye codigos de fuente (Modulo de contratos, modulo de gestion documenal, modulo de quejas y reclamos y de toma de desiciones)</t>
  </si>
  <si>
    <t>Raul Garcia</t>
  </si>
  <si>
    <t>Contrato 567 de 2014,inicia activiadades 2015</t>
  </si>
  <si>
    <t>Secretaria de hacienda</t>
  </si>
  <si>
    <t>Apoyo a la implementación de las Normas Internacionales de Contabilidad -NIC- y las Normas de Información Financiera - NIF - en el Dpto de Arauca</t>
  </si>
  <si>
    <t>Implementar las NIC y las NIF  en la gobenacion de Arauca</t>
  </si>
  <si>
    <t>Adquirir un software</t>
  </si>
  <si>
    <t xml:space="preserve">Adquisicion de sofware de NIC y NIF </t>
  </si>
  <si>
    <t xml:space="preserve">Implementación de  los servicios y automatización para el control integral de los impuestos Departamentales </t>
  </si>
  <si>
    <t>Implementar uns sistema para el control de los productos gravados con el impuesto alconsumo</t>
  </si>
  <si>
    <t xml:space="preserve">Implementar un sistema </t>
  </si>
  <si>
    <t xml:space="preserve">Implementar los servicios y automatización para el control integral de los impuestos Departamentales </t>
  </si>
  <si>
    <t>Servicio Implementado</t>
  </si>
  <si>
    <t xml:space="preserve">Adquisicion de modulo poaa el controlde señalizacion medinate la utilizacion de codigos uniocs nacioanles; suministro de software y equipos operativos </t>
  </si>
  <si>
    <t>Septiemre de 2014</t>
  </si>
  <si>
    <t>Marzo 14 de 2015</t>
  </si>
  <si>
    <t>VF se termina su ejecucion en 2015</t>
  </si>
  <si>
    <t>Apoyo a la lucha del Departamento contra la introducción ilegal de cigarrillos y licores, el diseño y puesta en marcha de los planes operativos contra el comercio de estos ilegales y de mecanismos preventivos para evitar la evasión fiscal y el contrabando en el Departamento de Arauca.</t>
  </si>
  <si>
    <t>Apoyar la lucha contra el ingreso ilegak de licores y cigarrillos en el departamento de Arauca</t>
  </si>
  <si>
    <t>Implementar una campaña contra el contrabandio de licores y ci¿garrillos</t>
  </si>
  <si>
    <t>Implementación de un programa de cultura tributaria que mejore el recaudo de los impuestos del departamento</t>
  </si>
  <si>
    <t>Apoyar el plan de operativo y de capacitacion del programa anticontrabando</t>
  </si>
  <si>
    <t>Implementar la cultura tributaria en el departamento de arauca</t>
  </si>
  <si>
    <t>Implementar una (1) campaña permanente de promoción de la cultura tributaria</t>
  </si>
  <si>
    <t>Campaña Implementada</t>
  </si>
  <si>
    <t>Desarrollar estrategias que permitan aumentar el recaudo de las rentas propias en un 3% anual</t>
  </si>
  <si>
    <t>Porcentaje de incremento del recaudo tributario</t>
  </si>
  <si>
    <t>Secretaria de Hacienda Departamental</t>
  </si>
  <si>
    <t>Ciudadanía activa</t>
  </si>
  <si>
    <t>Implementar dos (2) programas de formación de líderes y generación de capacidades comunitarias</t>
  </si>
  <si>
    <t>No. de programas de implementados</t>
  </si>
  <si>
    <t>Desarrollo Comunitario</t>
  </si>
  <si>
    <t>Apoyo al fortalecimiento  de  organismos de acción comunal y organizaciones sociales en  el Departamento de Arauca.</t>
  </si>
  <si>
    <t>Fortalecer los organismos de accion comunal</t>
  </si>
  <si>
    <t>Implemenatcion de la cuarta y utlrima etapa del programa formacion  de formadores</t>
  </si>
  <si>
    <t>Apoyar el fortalecimiento de mínimo 10 organizaciones que participen activamente en las actividades de control social comunitario</t>
  </si>
  <si>
    <t>No. de organizaciones fortalecidas</t>
  </si>
  <si>
    <t xml:space="preserve">Taller de induccion de estrategia formador de formadores y divulgacion de estrategias (9); </t>
  </si>
  <si>
    <t>Diciembre  de 2014</t>
  </si>
  <si>
    <t>Dicimbre de 2014</t>
  </si>
  <si>
    <t>Contrato 472 de 2014. Suspendido a31 de diciembre</t>
  </si>
  <si>
    <t xml:space="preserve">Fortalecer  al sector comunal de los (7) municipios con  programas de formación </t>
  </si>
  <si>
    <t>No. De municipios beneficiados</t>
  </si>
  <si>
    <t>Estrategia IEC (cartillas 400; cuñas  100; Documental TV (1); impresión de agendas 100; Pendones (7)</t>
  </si>
  <si>
    <t>Implementar un (1) programa para la generación de desarrollo socioeconómico para las organizaciones comunales y sociales</t>
  </si>
  <si>
    <t>Implementación de estrategias de promoción y fortalecimiento a expresiones asocaitivas de la sociedad civil en el Departamento de Arauca</t>
  </si>
  <si>
    <t>Apoyo a los directivos comunales para asistir a las diferentes actividades de carácter nacional</t>
  </si>
  <si>
    <t xml:space="preserve">Appoyar a 85 comunales en la participacion de eventos </t>
  </si>
  <si>
    <t>Promover cuatro (4) estrategias de promocion y  fortalecimiento a expresiones asociativas de la sociedad civil</t>
  </si>
  <si>
    <t xml:space="preserve">Entrega de viaticos para 85 personas; Talleres sobre expresiones asociativas (6); Estrategia IEC (cuñas 6; pendones (1); </t>
  </si>
  <si>
    <t>Viaticosentregados/Talleres realizados</t>
  </si>
  <si>
    <t>Diciermbre de 2014</t>
  </si>
  <si>
    <t>Contrato 386 de 2014.suspendido, reinicia en marzo de 2015</t>
  </si>
  <si>
    <t>Desarrollo de campañas de formación  y promoción de mecanismos  de participación ciudadana en el Departamento de Arauca</t>
  </si>
  <si>
    <t>Desarrollar campañas de formacion en mecanismos de participacion ciudadana</t>
  </si>
  <si>
    <t>Capacitar y fortalecer las comunidades en mecanismos de participacion ciudadana</t>
  </si>
  <si>
    <t>Desarrollar e implementar 20 campañas de formación y promoción de mecanismos de participación ciudadana</t>
  </si>
  <si>
    <t>Talleres (5) en mecanismos de participacion ciudadana</t>
  </si>
  <si>
    <t>Contrato  459de 2014. Se ejecutara en 2015</t>
  </si>
  <si>
    <t>Implementar un programa integral para el fortalecimiento de los consejos territoriales de planeación</t>
  </si>
  <si>
    <t>No. De programas implementados</t>
  </si>
  <si>
    <t>Desarrollar   e implementar dos   (2) programas de fortalecimiento de la participación ciudadana y el control social</t>
  </si>
  <si>
    <t>No. de programas de fortalecimiento desarrollados</t>
  </si>
  <si>
    <t>Desarrollar e implantar de 2 instancias anuales de dialogo de la administración territorial y la ciudadanía</t>
  </si>
  <si>
    <t>No. de instancias de dialogo desarrollados e implantados</t>
  </si>
  <si>
    <t>Desarrollar e implantar el proceso de rendición de cuentas</t>
  </si>
  <si>
    <t>No. de procesos de rendición de cuentas desarrollados e implantados</t>
  </si>
  <si>
    <t>Promocion de espacios que promuevan la participacion ciudadana, la rendicion de cuentas y el control social de la inversion publica en el Departamento de Arauca</t>
  </si>
  <si>
    <t>Generar espacios de dialogo para la rendición de cuentas y el seguimiento de compromisos</t>
  </si>
  <si>
    <t>No. de espacios de diálogos generados</t>
  </si>
  <si>
    <t>Apoyo a la audiencia publica de rendicion de cuentas de la gobernacion de Arauca</t>
  </si>
  <si>
    <t>Dciiembre 18 de 2014</t>
  </si>
  <si>
    <t>Arnoy ARENAS</t>
  </si>
  <si>
    <t>Contrato 505 de 2014</t>
  </si>
  <si>
    <t>Desarrollo de estrategias e instancias de dialogo que promuevan la participación ciudadana y mejoren la gestión pública del Depto de Arauca</t>
  </si>
  <si>
    <t xml:space="preserve">Capacitar en instancias de dialogo que promuevan la participacion ciudadana </t>
  </si>
  <si>
    <t>Desarrollar cinso (5) talleres de capacitacion en mecansios de participacion ciudadana</t>
  </si>
  <si>
    <t xml:space="preserve">Implementar 4 foros sectoriales de discusión anuales </t>
  </si>
  <si>
    <t>No. de foros de discusión implementados</t>
  </si>
  <si>
    <t>Realizar cinco (5) talleres sobre mecanismos de paticipacion ciudadana</t>
  </si>
  <si>
    <t>Contrato 490 de 2014</t>
  </si>
  <si>
    <t>Paz y seguridad ciudadana</t>
  </si>
  <si>
    <t>Seguridad y convivencia ciudadana</t>
  </si>
  <si>
    <t xml:space="preserve">Apoyar la garantìa al debido proceso al 100% de los menores infractores de la ley penal </t>
  </si>
  <si>
    <t>Porcentaje de adolescentes entre 14 y 17 años infractores de la ley con garantia al debido proceso</t>
  </si>
  <si>
    <t>Justicia Y Seguridad</t>
  </si>
  <si>
    <t>Apoyar la disminuciòn del número de   adolescentes infractores de la ley reincidentes</t>
  </si>
  <si>
    <t>No. de adolescentes entre 14 y 17 años infractores de la ley que reinciden</t>
  </si>
  <si>
    <t>Implementación del Plan de acción para la prevención del tráfico y la comercialización de sustancias psicoactivas en el Departamento de Arauca</t>
  </si>
  <si>
    <t>Fortalecimietno del programa DARE de la policia nacional</t>
  </si>
  <si>
    <t>Apoyar el Programa DARE  de la policia Nacional</t>
  </si>
  <si>
    <t xml:space="preserve">Implementar un plan de acción  para la prevención del tráfico y la comercialización de sustancias psicoactivas </t>
  </si>
  <si>
    <t>No. Planes implementadas</t>
  </si>
  <si>
    <t>Elaboracion de cartillas para el progrma DARE de la policia nacional; inflable DARE</t>
  </si>
  <si>
    <t>Cartillas e iflable adquiridos y entregados</t>
  </si>
  <si>
    <t>Luz Marina Rodriguez</t>
  </si>
  <si>
    <t>Apoyar la implementación del Plan de accion para la prevencion del trafico y la comerciallizacion de sustancias psicoactivas</t>
  </si>
  <si>
    <t xml:space="preserve">Entregar materias primas para elaborcion de material de cartillas del programa DARE de la policia </t>
  </si>
  <si>
    <t>Cartillas del porgrama DARE y un inflable</t>
  </si>
  <si>
    <t>Implementación de un plan de acción para la prevención del distribución y consumo de drogas en el Departamento de Arauca. (Proceso en Curso)</t>
  </si>
  <si>
    <t>Elaborar el plan de accion para la ofertay demanda de  drogas en Arauca</t>
  </si>
  <si>
    <t>Implementar el plan de acción para la prevencio n del delito</t>
  </si>
  <si>
    <t>Realzacion de un plan de accion para la ofera y demanda de drogas en el departamento de Arauca</t>
  </si>
  <si>
    <t>Plan de accion elaborado</t>
  </si>
  <si>
    <t>Implementación de una estrategia para fortalecer la denuncia de casos de violencia sexual en el Departamento de Arauca</t>
  </si>
  <si>
    <t xml:space="preserve">Fortalecer la denuncia de casos de violencia </t>
  </si>
  <si>
    <t>Entregar material pedagoico en el municipio de Saravena sobre la denuncia de la violencia sexual</t>
  </si>
  <si>
    <t>Realizar una (1) campaña para facilitar la denuncia y fortalecer la vigilancia de casos de violencia sexual</t>
  </si>
  <si>
    <t>Material pedagogico en el Municipio de Saravena para fortalecer la denuncia de casos de viokencia sexual (</t>
  </si>
  <si>
    <t>Material pedagogico entregado</t>
  </si>
  <si>
    <t>Implementación de una estrategia de desarme para la población civil en el Departamento de Arauca</t>
  </si>
  <si>
    <t xml:space="preserve">Disminuir los indices de delitos </t>
  </si>
  <si>
    <t>Implementar una estrategia para desarmar los colegios en el departamento de Arauca</t>
  </si>
  <si>
    <t>Implementar   con las autoridades competentes dos (2) acciones en el marco de los planes de desarme</t>
  </si>
  <si>
    <t>Estrategia en colegio mediante la  entrega de material deportivo ( 30 balones) y dadactico por desarme en articulacion con la PONAl</t>
  </si>
  <si>
    <t>estrategia desarrollada</t>
  </si>
  <si>
    <t>Noviembre de2014</t>
  </si>
  <si>
    <t>Implementación de una estrategia para la prevención del delito en niñas, niños y jóvenes mediante la utilización del tiempo libre</t>
  </si>
  <si>
    <t>Reaizar acciones de desarme en el departamento de Arauca</t>
  </si>
  <si>
    <t>Apoyar diez (10) acciones del Plan de Seguridad y Convivencia Ciudadana, en coordinación con las entidades pertinentes</t>
  </si>
  <si>
    <t>No. de acciones apoyadas</t>
  </si>
  <si>
    <t>Realizacion de una (1)  jornada ludica para 50 jovenes con activides artisicas, culturales y deportivas</t>
  </si>
  <si>
    <t>Jornada realizada</t>
  </si>
  <si>
    <t>Beatriz Palcio</t>
  </si>
  <si>
    <t>Mejoramiento y/o mantenimiento del parque los Martires en el Municipio de Arauca, para mejorar la convivencia y seguridad del sector. (Proceso en Curso)</t>
  </si>
  <si>
    <t>Mejorar la infraestructura de los espacios publicos del departamento de Arauca</t>
  </si>
  <si>
    <t>Hacer la reparacion elecrica del parque de los martires</t>
  </si>
  <si>
    <t>Reparacion electrica del alumbrado del parque los martires</t>
  </si>
  <si>
    <t>Alumbrado publico mejorado</t>
  </si>
  <si>
    <t>Actualización del Plan Integral de Convivencia y Seguridad Ciudadana Departamental</t>
  </si>
  <si>
    <t>Actualizar el PICSC</t>
  </si>
  <si>
    <t>Apoyar las accions del PICSC</t>
  </si>
  <si>
    <t>Brindar apoyo  para la actualizacion del Plan de convivencia y seguridad ciudadana</t>
  </si>
  <si>
    <t>No se ejecuto, se contracreditara el recuros</t>
  </si>
  <si>
    <t>Fortalecimiento de jornadas deportivas para disminuir el riesgo de mala utilización del tiempo libre de niños, niñas y jovenes en el Departamento de Arauca. (procesos en curso)</t>
  </si>
  <si>
    <t>Fortalecer con jorndas deportivas el riesgo de mala utilización del tiempo libre de los niñ@s y jovenes</t>
  </si>
  <si>
    <t>Firma de convenion con coldeportes</t>
  </si>
  <si>
    <t>Convenio con coldeportes</t>
  </si>
  <si>
    <t>Convvenio firmado</t>
  </si>
  <si>
    <t>Septimerbre de 2'14</t>
  </si>
  <si>
    <t>Estrategia para la prevención del reclutamiento de niños y niñas en el Municipio de Fortul, Dpto de Arauca. (Proceso en curso)</t>
  </si>
  <si>
    <t xml:space="preserve">Mejoras las condiciones para prevenir el reclutamiento de niñ@s </t>
  </si>
  <si>
    <t>Levantar los MVRO en el departamento de Arauca</t>
  </si>
  <si>
    <t>Levamiento de MVRO con ninas, adoilecscentes, familias e instituciones, Reuniones de socializacion de resultados, promocion de iniciarivas juveniles y rpdocutivas del muncipio de Fortul</t>
  </si>
  <si>
    <t>MVRO levantados</t>
  </si>
  <si>
    <t>Implementar una estrategia para la prevención del reclutamiento forzado en el Departamento de Arauca (Municipios de Tame, Saravena y Arauquita). Procesos en curso</t>
  </si>
  <si>
    <t xml:space="preserve">Levamiento de MVRO con ninas, adoilecscentes, familias e instituciones, Reuniones de socializacion de resultados, promocion de iniciarivas juveniles y rpdocutivas </t>
  </si>
  <si>
    <t>Luz Mary Rodriguez Alvarez</t>
  </si>
  <si>
    <t>Implementación de un programa de paz y deporte que garantice la convivencia ciudadana en el Municipio de Arauca, Dpto de Arauca</t>
  </si>
  <si>
    <t>Fortalecer mediante un programa de paz y deporte la convivencia ciudadana en Arauca</t>
  </si>
  <si>
    <t>Desarrollar campeonatos de patinaje, atletismo, baloncesto y futbol</t>
  </si>
  <si>
    <t>Convenio con coldeportes 270. Patinaje, atletismo, baloncesto y futbol</t>
  </si>
  <si>
    <t>Noviembred e2014</t>
  </si>
  <si>
    <t>Implementación de acciones para la prevención de la violencia escolar, Dpto de Arauca</t>
  </si>
  <si>
    <t xml:space="preserve">Implementar acciones para la prevencion de la violencia </t>
  </si>
  <si>
    <t>Realizar intervenciones psicologicas en colegios del departamento de Arauca</t>
  </si>
  <si>
    <t>Inervenviones psicologicas en cuatro (4) colegios del municipio de Arauca</t>
  </si>
  <si>
    <t>Intervenciones psicologicas realizadas</t>
  </si>
  <si>
    <t>Asistencia Técnica al Plan Integral de Convivencia y seguridad Ciudadana del Departamento de Arauca</t>
  </si>
  <si>
    <t>Apoyar  la implementacion del PICSC</t>
  </si>
  <si>
    <t>Prestar asistencia tecnica en la implementacion de proyectos del PICSC</t>
  </si>
  <si>
    <t xml:space="preserve">Apoyar 01  programa del Fondo de Seguridad y Convivencia Ciudadana, a travès de la asistencia técnica </t>
  </si>
  <si>
    <t>No. de programas  apoyados</t>
  </si>
  <si>
    <t>Apoyo profesional para la implementacion de los programas y proyectos del Plan de convivencvia y seguridad (2 profesionales y 1 tecnico)</t>
  </si>
  <si>
    <t>Apoyo profesional brindado</t>
  </si>
  <si>
    <t>Apoyo al Plan de recompensas y estímulos a colaboradores  con la justicia en el Departamento de Arauca</t>
  </si>
  <si>
    <t>estimular la denuncia de delitos</t>
  </si>
  <si>
    <t>Entregar recompensas par estimular el denuncio</t>
  </si>
  <si>
    <t>Implementar  un (1) programa de recompensa  para la prevención de los delitos</t>
  </si>
  <si>
    <t>No. de programa implementado</t>
  </si>
  <si>
    <t>Entrega de recompensas por apoyo a denuncias</t>
  </si>
  <si>
    <t>Recompensas entregadas</t>
  </si>
  <si>
    <t>Fortalecimiento a la estrategia para la socialización de acciones de la fuerza pública en el Departamento de Arauca</t>
  </si>
  <si>
    <t>Fortalecer la estrategia de socializacion de acciones de la fuerza pública</t>
  </si>
  <si>
    <t>Apoyar la campaña de socializacion de acciones de la fuerza publica}</t>
  </si>
  <si>
    <t xml:space="preserve">Implementar (3) estrategias para el Fortalecimiento a la socialización de acciones de la Fuerza Pública.  </t>
  </si>
  <si>
    <t xml:space="preserve">Adquisicion de papel y tinta para la elaboracion de 20.000 volantes </t>
  </si>
  <si>
    <t>Papel y tintas adquiridas</t>
  </si>
  <si>
    <t>Fortalecimiento al observatorio de la convivencia ciudadana y derechos humanos en el Departamento de Arauca</t>
  </si>
  <si>
    <t>Fortalecer el Observatorio de convivencia y seguridad ciudadana</t>
  </si>
  <si>
    <t>Elaborar el boletin epidemiológico</t>
  </si>
  <si>
    <t>Fortalecer el Observatorio de la Convivencia Ciudadana y Derechos Humanos</t>
  </si>
  <si>
    <t>Observatorio fortalecido</t>
  </si>
  <si>
    <t>Elaboracion de un boletin epidemiologico 2012-2013 "observatorios de la conveniencia ciudadadna"</t>
  </si>
  <si>
    <t>Boletin epidemiologico elaborado</t>
  </si>
  <si>
    <t>Implementación de la estrategia para la prevención de la delincuencia en adolescentes y jovenes en el Departamento de Arauca</t>
  </si>
  <si>
    <t>Capacitar a los colegios en prevencion de la delincuencia en adolesentes y jovenes</t>
  </si>
  <si>
    <t>Implementar una (1) estrategia para la prevención de grupos delincuenciales y pandillas en adolescentes y jòvenes.</t>
  </si>
  <si>
    <t>Capacitaciones en  10 colegios  del municpio de Saravena sobre el delito y sus consecuencas</t>
  </si>
  <si>
    <t>capacitacioines realizadas</t>
  </si>
  <si>
    <t>Octubre e 2014</t>
  </si>
  <si>
    <t>Apoyo al programa para mitigar el impacto  del delito de trata de personas en el Departamento de Arauca</t>
  </si>
  <si>
    <t>Apoyar el programa que mitigue el impacto del delito</t>
  </si>
  <si>
    <t>Reallizar un diplomado a funcionarios en el tema de trata de personas</t>
  </si>
  <si>
    <t>Realizar   Un (1) programa para prevenir la trata de personas</t>
  </si>
  <si>
    <t>Diplomado a 45 funcionarios de entiodaes que hacen parte del Comité departametnal de Trata de personas (convenio con las Naciones Unidas contra la droga y el delito)</t>
  </si>
  <si>
    <t>Diplomado relizado</t>
  </si>
  <si>
    <t>Vigencia Futura</t>
  </si>
  <si>
    <t>Fortalecimiento mediante dotación  al esquema de seguridad del Gobernador y diputados, en el Departamento (Decreto 1225/2012). (proceso en curso)</t>
  </si>
  <si>
    <t>Fortalecer la fuerza púbkica</t>
  </si>
  <si>
    <t>Alquilar un vehiculo blindado para la seguridad del gobernador</t>
  </si>
  <si>
    <t>Implementar una (1) estrategia de protección a la vida, libertad e integridad de los servidores públicos del Departamento</t>
  </si>
  <si>
    <t>Alquiler de un (1)  vehiculo blindados</t>
  </si>
  <si>
    <t>Vehiculo blindado adquirido</t>
  </si>
  <si>
    <t>Fortalecimiento mediante dotación  al esquema de seguridad del Gobernador  del Departamento de Arauca. (proceso en curso)</t>
  </si>
  <si>
    <t xml:space="preserve">Servicio de 15 escoltas </t>
  </si>
  <si>
    <t>Servicio de escoltas prestado</t>
  </si>
  <si>
    <t>Estudios y diseños para proyectos de la fuerza pública y organismos de seguridad en el Departamento de Arauca</t>
  </si>
  <si>
    <t>Cofinanciar proyectos para la fuerza publica</t>
  </si>
  <si>
    <t xml:space="preserve">Realiaz estudios y diseños </t>
  </si>
  <si>
    <t>Realizar cinco (5) acciones para el fortalecimiento a la infraestructura tecnológica, operativa y física de la Fuerza Publica</t>
  </si>
  <si>
    <t>No. de acciones ejecutadas</t>
  </si>
  <si>
    <t>Cofinaciacion de proyectos del Contrato Plan para la fuerza publica</t>
  </si>
  <si>
    <t>Abril de 2'14</t>
  </si>
  <si>
    <t>Adecuación de vías para el Comando del Batallón Fluvial No. 52 en el Dpto de Arauca</t>
  </si>
  <si>
    <t>Adecuar las vias del comando de Batallon Fluvial No, 52</t>
  </si>
  <si>
    <t xml:space="preserve">Mejorar la vias de acceso al comando del batallon fluvial </t>
  </si>
  <si>
    <t>contruccionde 72 Ml de vias en el interiro del comando</t>
  </si>
  <si>
    <t>ML de vias construidas</t>
  </si>
  <si>
    <t>Edwar portillo</t>
  </si>
  <si>
    <t>Dotacion y adecuacion de la seccional de investigacion criminal de Arauca, Departamento de Arauca</t>
  </si>
  <si>
    <t>Apoyar la fuerza púlica del departamento</t>
  </si>
  <si>
    <t xml:space="preserve">Dotar de mobiliario y equipos a la secciones de investigación criminal </t>
  </si>
  <si>
    <t>Compra de moviliario y equipos de oficina para la seccional de investigacion criminal</t>
  </si>
  <si>
    <t>Mobiliario y equipos entregados</t>
  </si>
  <si>
    <t>Luz Marina rodriguez</t>
  </si>
  <si>
    <t>Dotación de Equipos y Elementos de Campaña para Soldados del Ejército del Dpto de Arauca</t>
  </si>
  <si>
    <t xml:space="preserve">Fortalecer el ejercito nacional </t>
  </si>
  <si>
    <t>Adquirir equipos y elementos de campaña para los soldados de ejeercito nacional</t>
  </si>
  <si>
    <t xml:space="preserve">Adquisicion de equipos y elementos de campañas </t>
  </si>
  <si>
    <t>Elementos de campaña adquiridos</t>
  </si>
  <si>
    <t>No se ejecutopor no haber definido los elemenos a entregar</t>
  </si>
  <si>
    <t>Secretaria de Gobierno</t>
  </si>
  <si>
    <t xml:space="preserve">Fortalecimiento de la capacidad investigativa del cuerpo tecnico de investigacion CTI en el Departamento de Arauca </t>
  </si>
  <si>
    <t>Mejorar las capacidades invstigativas del CTI en Arauca</t>
  </si>
  <si>
    <t>Entregar equipos y mobiliario para el CTI de Arauca</t>
  </si>
  <si>
    <t xml:space="preserve">Equipos y mobiliarios (143)  para el CTI </t>
  </si>
  <si>
    <t>equipos y mobiliarios adquirido</t>
  </si>
  <si>
    <t>Proceso en curso para 20'15</t>
  </si>
  <si>
    <t>Fortalecimiento de infraestructura tecnológica y operativa de la Fuerza Pública en el Departamento de Arauca. (Proceso en Curso)</t>
  </si>
  <si>
    <t>Adquirir motocicletas para la fuerza  publica del municipio de Tame</t>
  </si>
  <si>
    <t>Compra de 8 motocicletas para el municpioded Tame</t>
  </si>
  <si>
    <t>Motocicletas adquiridas</t>
  </si>
  <si>
    <t>Fortalecimiento  de las comunicaciones  del Batallon BFIM No. 52 en el Depto de Arauca.(proceso en curso)</t>
  </si>
  <si>
    <t>Fortalecer las comunicaciones de la fuerza publica del departamento de Arauca</t>
  </si>
  <si>
    <t xml:space="preserve">Adquirir euipos de comunicaciones </t>
  </si>
  <si>
    <t>Compra de 31 radios de comunicación y 2 repetidoras para las alobores operativas e inteligencia</t>
  </si>
  <si>
    <t>elementos de comunicación adquiridos</t>
  </si>
  <si>
    <t xml:space="preserve"> Dotación de equipos y elementos para el fortalecimiento de la oficina del FONSET del Departamento de Arauca</t>
  </si>
  <si>
    <t>Fortalecer el FONSET</t>
  </si>
  <si>
    <t>Adquirir equipos y elementos para el FONSEP</t>
  </si>
  <si>
    <t xml:space="preserve">Compra de  dos computadores, una impresora un poryector y papeleria </t>
  </si>
  <si>
    <t>Adquisición de Kit equipo GEOS Grupos Especiales de Operaciones Sicológicas, Departamento de Arauca</t>
  </si>
  <si>
    <t>Mejorar las condiciones del GEOS de Arauca</t>
  </si>
  <si>
    <t>Comprar equipos para fortalecer el GEOS de Arauca</t>
  </si>
  <si>
    <t>Compra de portatil, 2 inflables, un aplanta electrica, pendon con tripode, video proyectso, camara porfeisonal, video camara, juegos salta SPISH, iosco en hierrro</t>
  </si>
  <si>
    <t>Con VF</t>
  </si>
  <si>
    <t>Compra de terreno y adecuación de infraestructura para el ejercito en el Municipio de Puerto Rondón, Dpto de Arauca</t>
  </si>
  <si>
    <t>Mejorar la infraestructura fisica del ejercito en el dpto de Arauca</t>
  </si>
  <si>
    <t>Adqurir un lote para el funcionamiento del ejercito en el muncipio de Puerto Rondón</t>
  </si>
  <si>
    <t>Xompra de Lote para el funcionamiento de la base militar</t>
  </si>
  <si>
    <t>Lote comrpado</t>
  </si>
  <si>
    <t>No se realizo por desacuerdo en el valor con el propietario del lote</t>
  </si>
  <si>
    <t>Recostrucción de las instalaciones de la Seccional de Investigación Criminal SIJIN en el comando de Policia de Arauca</t>
  </si>
  <si>
    <t>Mejorar las instalaciones de la SIJIN de Arauca</t>
  </si>
  <si>
    <t xml:space="preserve">Construir nuevas instalaciones de la SIJIN  </t>
  </si>
  <si>
    <t>Contrcucion de nuevas instalacion para el centro de inyeleigencia de la sijin (accesos y primer nivel) Construccion de estrutrqa de concreto</t>
  </si>
  <si>
    <t>Instalaciones construidas</t>
  </si>
  <si>
    <t>diciembre de 2013</t>
  </si>
  <si>
    <t>Reconstrucción de la Infraestructura Física del área de servicios generales y alojamiento de la Base militar  del Municipio de Cravo Norte del Dpto de Arauca</t>
  </si>
  <si>
    <t>Mejorar las instalaciones de la Base militar  de Cravo Norte</t>
  </si>
  <si>
    <t>Construccion de un comedor con su cocina,dos bumker s tipo  alojamiento.</t>
  </si>
  <si>
    <t>Convenio co el municipio de cravo Norte: se incorporar el recurso al municipio para iniciar el proceso en el 2015</t>
  </si>
  <si>
    <t>Asistencia Técnica para el fortalecimiento de ls acciones de judicialización  de la fuerza pública y organismos de seguridad en el Departamento de Arauca</t>
  </si>
  <si>
    <t xml:space="preserve">Brindar asistencia tecnica para fortalecer las acciones de judicialiacion de la fuerza publica </t>
  </si>
  <si>
    <t>Capacitar a los funcionarios de los organismos de policia judicial</t>
  </si>
  <si>
    <t>Capacitacion de organismos de policia judicial (3 jornadas)</t>
  </si>
  <si>
    <t>Implementación de una estrategia de comunicación "Juntos por una Arauca segura"</t>
  </si>
  <si>
    <t>Mejorar las condiciones del CTI Arauca</t>
  </si>
  <si>
    <t>Adquirir equipos  material para mejorar imagen institucional del CTI</t>
  </si>
  <si>
    <t>Compra de dos Pantellas gigantes ; 4 pasacalles y material publicitario para el CTI</t>
  </si>
  <si>
    <t>Pantallas gigantes/pasacalles/material publicitarios adquirido</t>
  </si>
  <si>
    <t>VF. En ejecucion</t>
  </si>
  <si>
    <t>Adecuación Red Electrica perimetral para el Batallon de artilleria  No. 18, en Puerto Jordan, Municipio de Tame, Departamento de Arauca.</t>
  </si>
  <si>
    <t>Mejorar la infraestructura electrica de la fuerza publica del departamento de Arauca</t>
  </si>
  <si>
    <t>Adecuar la red electrica del Batallon de Artilleria de Tame</t>
  </si>
  <si>
    <t>Red electrica adecuada</t>
  </si>
  <si>
    <t xml:space="preserve">Proceso en curso. </t>
  </si>
  <si>
    <t>Mantenimiento y adecuación area de entrenamiento técnico y táctico perimetral para el Batallon de Artilleria N°.18 en Puerto Jordan en Puerto Jordan, Municipio de Tame, Departamento de Arauca</t>
  </si>
  <si>
    <t>Mejorar la infraestrcutura fisica de la fuerza publcia de Arauca</t>
  </si>
  <si>
    <t>Contruir un poligono y jarillon para almacenamiento del batallon de Artilleria No. 18 en Puerto Jordan</t>
  </si>
  <si>
    <t>Contruccion de un poligono y un jarillon de proetcccion; un stand en concreto con cubierta para almacenamiento de material</t>
  </si>
  <si>
    <t>Fortalecimiento de la capacidad operativa de la Fuerza Pública para la seguridad y la convivencia ciudadana</t>
  </si>
  <si>
    <t>fortalecer la capacidad operativa de la fuerza publica</t>
  </si>
  <si>
    <t>Adquirir un CAI movil</t>
  </si>
  <si>
    <t>Compra de CAI movil; un vehiculo para la armada nacional</t>
  </si>
  <si>
    <t>Implementación de acciones que garantice la convivencia ciudadana  y seguridad en la Villa olimpica del municipio de Arauca, Departamento de Arauca.</t>
  </si>
  <si>
    <t>Mejorar las condiciones fisicas para garantizar la convivencia ciudadana y seguridad en el departamento de Arauca</t>
  </si>
  <si>
    <t>Implementar acciones para mejoar el alumbrado publico de la villa olimpica del municipio de Arauca</t>
  </si>
  <si>
    <t>Mejoramieno del alumbrado publico de la villa olimpica del municipio de Arauca</t>
  </si>
  <si>
    <t>Se ejcutara en 2015. se adiconaran los recursos</t>
  </si>
  <si>
    <t xml:space="preserve">Ampliación y mantenimiento de la red de camaras para la vigilancia y centro de monitoreo (CAD) de la policia para la seguridad ciudadana en el Departamento de Arauca </t>
  </si>
  <si>
    <t>Mejorar las condiciones de seguridad en el departamento de Arauca</t>
  </si>
  <si>
    <t>Ampliar la red de fibra optica de las camaras de seguridad</t>
  </si>
  <si>
    <t>Ampliacion la red de fribraoptica, adecuacion y compra de camaras</t>
  </si>
  <si>
    <t>Red de fibra optica ampliada</t>
  </si>
  <si>
    <t>Pendiente la interventoria</t>
  </si>
  <si>
    <t>Reconstrucción de la Base Militar del Batallón Fluvial N. 52 en el municipio de Arauquita, Departamento de Arauca.</t>
  </si>
  <si>
    <t>Mejorar la infraesructura militar del departamento</t>
  </si>
  <si>
    <t>Realizar obras de construccion en el batallon Fluvial no. 52 en Arauquita</t>
  </si>
  <si>
    <t xml:space="preserve">Reposicion de cubiertas deterioradas por actos terrotistas y reconstruccion del cerramiento con bolsas de arena y conformacion de un jarillon; contruccion de bunker en bolsarena </t>
  </si>
  <si>
    <t>Dotación para infantes del Batallon Fluvial Avanzado del Departamento de Arauca</t>
  </si>
  <si>
    <t>Fortalecer la fuerza publica del departamento de Arauca</t>
  </si>
  <si>
    <t xml:space="preserve">Comprar elementos para los infantes de marina </t>
  </si>
  <si>
    <t>Compra de chalecos, cascos blindados;</t>
  </si>
  <si>
    <t>Reconstrucción y adecuación del auditorio en el comando departamento de policia Arauca, para la ejecución de los proyectos de capacitación de los programas de convivencia y seguridad ciudadana</t>
  </si>
  <si>
    <t>Mejorar las condiciones de la insfraestructura de la policia nacional en Arauca</t>
  </si>
  <si>
    <t>Adecuar el auditorio del comando de la policia nacional</t>
  </si>
  <si>
    <t>Aduitorio reconsrudio y adecuado</t>
  </si>
  <si>
    <t>NOSE EJECUTO</t>
  </si>
  <si>
    <t>Apoyo para ración de agentes y soldados en el Departamento de Arauca</t>
  </si>
  <si>
    <t>Apoyar a a egentes y soldados del departamento deArauca</t>
  </si>
  <si>
    <t xml:space="preserve">Entregar raciones servidas </t>
  </si>
  <si>
    <t>Entrega de 3143 raciones servidas</t>
  </si>
  <si>
    <t>Raciones entregadas</t>
  </si>
  <si>
    <t>Fortalecimiento de las acciones operativas de la fuerza pública, organismos de seguridad, de socorro y de protección civil en el dpto de Arauca (combustible)</t>
  </si>
  <si>
    <t>Apoyar la fuerza púlica con combustible</t>
  </si>
  <si>
    <t>suminstrar combustible a la fuerza pública</t>
  </si>
  <si>
    <t>Diseñar e implementar cinco (5) estrategias para minimizar las acciones de los GAML, en coordinación con el Ejército Nacional y autoridades competentes</t>
  </si>
  <si>
    <t>No. de estrategias diseñadas e implementadas</t>
  </si>
  <si>
    <t xml:space="preserve">Suministro de 3488 galones de combustible </t>
  </si>
  <si>
    <t>Combustible adquirido</t>
  </si>
  <si>
    <t>Implementacion de estrategia en seguridad para el batallon de artilleria N° 18 en el corregimiento de Puerto Jordan, Municipio de Tame, Departamento de Arauca.(Proceso en Curso)</t>
  </si>
  <si>
    <t>Mejorar la infraestructura de la fuerza pública</t>
  </si>
  <si>
    <t>Construir infraestructura en el batallon e artilleria No. 18 en Puerto  Jordan</t>
  </si>
  <si>
    <t>Construccion de 5 bunkers y 3 torres de observacion de 7 mt de altura</t>
  </si>
  <si>
    <t>Bunker y torres de observacion construidas</t>
  </si>
  <si>
    <t>Fortalecimiento de las acciones operativas de la fuerza publica, organismos de seguridad y de proteccion a la poblacion civil en el Dpto de Arauca. (Compra de Combustible.)(Proceso en Curso)</t>
  </si>
  <si>
    <t xml:space="preserve">Suminisro de combustible (xx) </t>
  </si>
  <si>
    <t>Dotación y mejoramiento de las instalaciones de Migración Colombia en el Municipio de Arauca, Departamento de Arauca (Puente Internacional)</t>
  </si>
  <si>
    <t>Fortalecer Migración Colombia en el departamento de Arauca</t>
  </si>
  <si>
    <t>Dotar de mobiliario y equipos Migración Colombia</t>
  </si>
  <si>
    <t>Adquision de un puestos de trabajo ( y 16 elementos sillas, mesas, archivos metalicos)</t>
  </si>
  <si>
    <t>Diseñar y fortalecer los medios de gestión de la Fiscalía General de la Nación Seccional Arauca como mecanismo de justicia restaurativa que permitan la reparación de las victimas en URI y SAU en el Departamento de Arauca</t>
  </si>
  <si>
    <t>Fortalecer los medioa de la iscalia General de la Nacion Arauca</t>
  </si>
  <si>
    <t xml:space="preserve">Dotar de material investigativo de equipos de ultima tecnología </t>
  </si>
  <si>
    <t>Adquisicion de material investigativo, un computador, aplicador en fibra de vidrio, UFED TOUCH ultimate reforzado</t>
  </si>
  <si>
    <t>Material y elementos adquiridos</t>
  </si>
  <si>
    <t>Fortalecimiento de medios tecnológicos y de inteligencia para la seguridad y convivencia ciudadana en el Dpto de Arauca. (Mantenimiento preventivo, correctivo, adquisición y mejoramiento de las cámaras de seguridad del centro de información estratégiva Policia Seccional)</t>
  </si>
  <si>
    <t>Fortalecer los medios tecnologicos para la seguridad y convivenvia del departamento de Arauca</t>
  </si>
  <si>
    <t>Hacer correcion de camarasa de vigilancia y apliacio de la red de seguridad</t>
  </si>
  <si>
    <t>Correccion de camaras de vigilancia y ampliacion de la red</t>
  </si>
  <si>
    <t>Camaras de vigilancias con  correccion</t>
  </si>
  <si>
    <t>Justicia</t>
  </si>
  <si>
    <t>Construir y dotar un (1) Centro de Atención Especializada (CAE) para el menor infractor</t>
  </si>
  <si>
    <t>No. de CAE construidos y dotados</t>
  </si>
  <si>
    <t>Dotacion para el fortalecimiento de Sistema Judicial (Tribunales, Juzgados) del Departamento de Arauca</t>
  </si>
  <si>
    <t>Fortalecer el sistema judicial del departamento de Arauca</t>
  </si>
  <si>
    <t>Comprar camaras yun sistema de videoconferencia</t>
  </si>
  <si>
    <t>Desarrollar tres (3) acciones   para el fortalecimiento de Sistema Judicial (Tribunales, Juzgados y Fiscalía)</t>
  </si>
  <si>
    <t>No. de acciones desarrolladas</t>
  </si>
  <si>
    <t>Colmpra de dos camara s un computador y un sistema de video conferencia</t>
  </si>
  <si>
    <t>Compras realizadas</t>
  </si>
  <si>
    <t>Dciembre de 2014</t>
  </si>
  <si>
    <t>Suspnendido</t>
  </si>
  <si>
    <t xml:space="preserve">Implementación de una estrategia para el fortalecimiento del sistema penitenciario y carcelario </t>
  </si>
  <si>
    <t>Desarrollar estrategias que fortalezcan el sistema penitenciario</t>
  </si>
  <si>
    <t>Entregar dotacion de elementos personales a la carcel de Arauca</t>
  </si>
  <si>
    <t>Fortalecer mediante tres (3) acciones al sistema carcelario y penitenciario departamental</t>
  </si>
  <si>
    <t>No. de acciones adelantadas</t>
  </si>
  <si>
    <t>Dotacoin de elementos de higiene personas para l carcel del muncipio de Arauca</t>
  </si>
  <si>
    <t>Centros De Reclusión</t>
  </si>
  <si>
    <t>Fortalecimiento de los programas de mediación, conciliación en equidad, justicia de paz amigable en los Municipios del Departamento</t>
  </si>
  <si>
    <t>Fortalecer los progrmas de mediacon, conciliacio equidad,justicia de paz en Arauca</t>
  </si>
  <si>
    <t>Desarrollar capacitaciones en Tame y Saravena</t>
  </si>
  <si>
    <t xml:space="preserve">Fortalecer el 100% de los Municipios del departamento de Arauca,  los programas de mediación, conciliación en equidad, justicia de paz amigable, composición y arbitraje </t>
  </si>
  <si>
    <t>No. de municipios fortalecido</t>
  </si>
  <si>
    <t>Raelizacion de 8  talleres en los municpio de Tame y Saravena (8)</t>
  </si>
  <si>
    <t xml:space="preserve">Talleres realizados </t>
  </si>
  <si>
    <t>Derechos humanos, DIH y   justicia transicional</t>
  </si>
  <si>
    <t xml:space="preserve">Implementar cinco (5) estrategias en acción integral y comportamientos seguros para la prevención de eventos por minas y artefactos explosivos en áreas urbanas y rurales </t>
  </si>
  <si>
    <t>Apoyar la disminucion del número   de niños, niñas, adolescentes entre 0 - 17 años que son victimas de minas</t>
  </si>
  <si>
    <t>No. de niños, niñas y adolescentes víctimas de MAP o MUSE</t>
  </si>
  <si>
    <t>Gestionar ante el Gobierno Nacional  un (1) programa  de desminado para el Departamento de Arauca</t>
  </si>
  <si>
    <t>No. De  programas gestionados</t>
  </si>
  <si>
    <t>Apoyar el fortalecimiento de las personerías en el 100% de los municipios</t>
  </si>
  <si>
    <t>Porcentajes de personerías fortalecidas</t>
  </si>
  <si>
    <t>Implementación de estrategias para la promoción de los Derechos Humanos y DIH en el Departamento de Arauca</t>
  </si>
  <si>
    <t>Generar estrategias para la pormocion de los Derechos humanos y DIH</t>
  </si>
  <si>
    <t>Capacitar en estrategias de derechos humanos a la poblacion de los siete municipios del departamento de Arauca</t>
  </si>
  <si>
    <t>Implementar una (1)  estrategia para la promocion de los DD.HH. Y DIH</t>
  </si>
  <si>
    <t>Estrategias IEC (afeiches, pasacalles, folletos, cuñas radiales y TV)</t>
  </si>
  <si>
    <t>Estrategia impelemntada</t>
  </si>
  <si>
    <t xml:space="preserve">Siete Talleres en materia de derechos hamanos </t>
  </si>
  <si>
    <t>Implementacion de estrategias para la promocion de los derechos humanos y DIH en el departamento de Arauca. (Proceso en Curso)</t>
  </si>
  <si>
    <t>Luz Mary Gutierrez Alvarez</t>
  </si>
  <si>
    <t>Realizacion de tres actividaes ludico pedagogicas para los municpios Arauca, tame y Saravena</t>
  </si>
  <si>
    <t>Capacitación en Derechos Humanos a funcionarios públicos y miembros de la fuerza pública del Dpto de Arauca</t>
  </si>
  <si>
    <t>Generar estrategias en formacion en materia de derechos humanos</t>
  </si>
  <si>
    <t>Capacitar a fuincionarios publicos en DH ny DIH</t>
  </si>
  <si>
    <t>Implementar un (1) programa de capacitación en Derechos Humanos, a Funcionarios Públicos y miembros de la Fuerza Pública</t>
  </si>
  <si>
    <t>Realizacion de 7 talleres en formacion de DH y DIH a funcionarios publicos y miebors de la fuerza publica en los 7 municipios del Dpto</t>
  </si>
  <si>
    <t>Talleres  realizados</t>
  </si>
  <si>
    <t>Implementar un (1) Plan de acción para el fortalecimiento de espacios e instancias departamentales  en prevención de violaciones en DD.HH e infracciones  al D.I.H</t>
  </si>
  <si>
    <t>Plan de acción Implementado</t>
  </si>
  <si>
    <t>Implementar una ruta de protección del reclutamiento forzado y utilización de violencias sexual en niños, niñas, jóvenes y adolescentes para el conflicto armado.</t>
  </si>
  <si>
    <t xml:space="preserve">No. de rutas implementadas </t>
  </si>
  <si>
    <t>Establecimiento de un programa de demarcación de los bienes civiles y culturales que estan en riesgo de infracción al DIH  del Dpto de Arauca</t>
  </si>
  <si>
    <t>Generar un estrategia de demarcacion de las bienes civiles y culturales que estan en riesgo de infracciion al DIH</t>
  </si>
  <si>
    <t>Lograr establecer el respeto por parte de los actores del conflicto armado hacia las zonas civiles y culturales rurales en el municipio de Tame</t>
  </si>
  <si>
    <t>Establecer un programa para la demarcaciòn de los bienes civiles y culturales que estan en riesgo de infracciòn al DIH</t>
  </si>
  <si>
    <t>Programa establecido</t>
  </si>
  <si>
    <t>Diseno, creacion e instalacion de 10 vallas en 10 resgusrados indigenas del municipio de Tame</t>
  </si>
  <si>
    <t>No de vallas instaladas</t>
  </si>
  <si>
    <t>Sept. 2014</t>
  </si>
  <si>
    <t>Implementar acciones y una ruta de proteccion del reclutamiento forzado en niños, niñas y jovenes y adolescentes para el conflicto armado en el Departamento de Arauca</t>
  </si>
  <si>
    <t>Implemenrar acciones para preenir el reclutamietno forzado de niños, y adolescentes de Arauca</t>
  </si>
  <si>
    <t>Cionstruccion de dos (2)  Rutas de atencion</t>
  </si>
  <si>
    <t>Apoyar   una (1) estrategia para los defensores, lideres,  organizaciones sociales y comunitarias que promuevan los Derechos Humanos.</t>
  </si>
  <si>
    <t>Estrategia apoyada</t>
  </si>
  <si>
    <t>Construccion del docuemnto de  una estrattegia en prevencion de reclutamiento forzado</t>
  </si>
  <si>
    <t>Documento elaborado</t>
  </si>
  <si>
    <t>Contruccion de dos (2) rutas de prevencion  y ruta de proteccion en reclutamiento forzado</t>
  </si>
  <si>
    <t>Rutas de orevencion del reclutamiento construidas</t>
  </si>
  <si>
    <t>Desarrollo de dos (2) talleres; 280 plegables; 160 acrtillas; dos (2) pendones</t>
  </si>
  <si>
    <t>Cultura ciudadana</t>
  </si>
  <si>
    <t xml:space="preserve">Implementar un (1) programa intersectorial con enfoque poblacional y territorial de cultura ciudadana </t>
  </si>
  <si>
    <t>No. de programas intersectoriales con enfoque poblacional y territorial de cultura ciudadana implementado</t>
  </si>
  <si>
    <t>Total PDD</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</si>
</sst>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4" formatCode="_(&quot;$&quot;\ * #,##0.00_);_(&quot;$&quot;\ * \(#,##0.00\);_(&quot;$&quot;\ * &quot;-&quot;??_);_(@_)"/>
    <numFmt numFmtId="43" formatCode="_(* #,##0.00_);_(* \(#,##0.00\);_(* &quot;-&quot;??_);_(@_)"/>
    <numFmt numFmtId="164" formatCode="_-[$$-1004]* #,##0.00_ ;_-[$$-1004]* \-#,##0.00\ ;_-[$$-1004]* &quot;-&quot;??_ ;_-@_ "/>
    <numFmt numFmtId="165" formatCode="[$$-1004]#,##0.00"/>
    <numFmt numFmtId="166" formatCode="_(* #,##0.0_);_(* \(#,##0.0\);_(* &quot;-&quot;??_);_(@_)"/>
    <numFmt numFmtId="167" formatCode="[$$-240A]#,##0.00"/>
    <numFmt numFmtId="168" formatCode="_-[$$-240A]* #,##0.00_-;\-[$$-240A]* #,##0.00_-;_-[$$-240A]* &quot;-&quot;??_-;_-@_-"/>
    <numFmt numFmtId="169" formatCode="_(* #,##0_);_(* \(#,##0\);_(* &quot;-&quot;??_);_(@_)"/>
    <numFmt numFmtId="170" formatCode="#,##0;[Red]#,##0"/>
    <numFmt numFmtId="171" formatCode="0.0"/>
    <numFmt numFmtId="172" formatCode="_-&quot;$&quot;* #,##0.00_-;\-&quot;$&quot;* #,##0.00_-;_-&quot;$&quot;* &quot;-&quot;??_-;_-@_-"/>
    <numFmt numFmtId="173" formatCode="_-[$$-240A]* #,##0.000_-;\-[$$-240A]* #,##0.000_-;_-[$$-240A]* &quot;-&quot;??_-;_-@_-"/>
    <numFmt numFmtId="174" formatCode="0.0%"/>
    <numFmt numFmtId="175" formatCode="_-* #,##0.00\ [$€-C0A]_-;\-* #,##0.00\ [$€-C0A]_-;_-* &quot;-&quot;??\ [$€-C0A]_-;_-@_-"/>
    <numFmt numFmtId="176" formatCode="0.000"/>
    <numFmt numFmtId="177" formatCode="_-[$$-240A]* #,##0.0_-;\-[$$-240A]* #,##0.0_-;_-[$$-240A]* &quot;-&quot;??_-;_-@_-"/>
    <numFmt numFmtId="178" formatCode="_(&quot;$&quot;\ * #,##0_);_(&quot;$&quot;\ * \(#,##0\);_(&quot;$&quot;\ * &quot;-&quot;??_);_(@_)"/>
    <numFmt numFmtId="179" formatCode="_(* #,##0.00_);_(* \(#,##0.00\);_(* &quot;-&quot;???_);_(@_)"/>
    <numFmt numFmtId="180" formatCode="_ &quot;$&quot;\ * #,##0.00_ ;_ &quot;$&quot;\ * \-#,##0.00_ ;_ &quot;$&quot;\ * &quot;-&quot;??_ ;_ @_ "/>
    <numFmt numFmtId="181" formatCode="_(&quot;$&quot;\ * #,##0.0_);_(&quot;$&quot;\ * \(#,##0.0\);_(&quot;$&quot;\ * &quot;-&quot;??_);_(@_)"/>
  </numFmts>
  <fonts count="14" x14ac:knownFonts="1">
    <font>
      <sz val="11"/>
      <color theme="1"/>
      <name val="Calibri"/>
      <family val="2"/>
      <scheme val="minor"/>
    </font>
    <font>
      <sz val="11"/>
      <color theme="1"/>
      <name val="Calibri"/>
      <family val="2"/>
      <scheme val="minor"/>
    </font>
    <font>
      <b/>
      <sz val="9"/>
      <name val="Arial"/>
      <family val="2"/>
    </font>
    <font>
      <sz val="10"/>
      <name val="Arial"/>
      <family val="2"/>
    </font>
    <font>
      <b/>
      <sz val="8"/>
      <name val="Arial"/>
      <family val="2"/>
    </font>
    <font>
      <sz val="8"/>
      <name val="Arial"/>
      <family val="2"/>
    </font>
    <font>
      <sz val="8"/>
      <color theme="1"/>
      <name val="Arial"/>
      <family val="2"/>
    </font>
    <font>
      <sz val="8"/>
      <color rgb="FFFF0000"/>
      <name val="Arial"/>
      <family val="2"/>
    </font>
    <font>
      <b/>
      <sz val="8"/>
      <color theme="1"/>
      <name val="Arial"/>
      <family val="2"/>
    </font>
    <font>
      <sz val="9"/>
      <name val="Arial"/>
      <family val="2"/>
    </font>
    <font>
      <b/>
      <sz val="9"/>
      <color indexed="81"/>
      <name val="Tahoma"/>
      <family val="2"/>
    </font>
    <font>
      <sz val="9"/>
      <color indexed="81"/>
      <name val="Tahoma"/>
      <family val="2"/>
    </font>
    <font>
      <b/>
      <sz val="9"/>
      <color indexed="81"/>
      <name val="Calibri"/>
      <family val="2"/>
    </font>
    <font>
      <sz val="9"/>
      <color indexed="81"/>
      <name val="Calibri"/>
      <family val="2"/>
    </font>
  </fonts>
  <fills count="29">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rgb="FFFFC00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6" tint="0.59999389629810485"/>
        <bgColor theme="4" tint="0.79998168889431442"/>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0.249977111117893"/>
        <bgColor theme="4" tint="0.79998168889431442"/>
      </patternFill>
    </fill>
    <fill>
      <patternFill patternType="solid">
        <fgColor theme="0" tint="-4.9989318521683403E-2"/>
        <bgColor indexed="64"/>
      </patternFill>
    </fill>
    <fill>
      <patternFill patternType="solid">
        <fgColor rgb="FFF2F2F2"/>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indexed="13"/>
        <bgColor indexed="64"/>
      </patternFill>
    </fill>
    <fill>
      <patternFill patternType="solid">
        <fgColor rgb="FF92D050"/>
        <bgColor indexed="64"/>
      </patternFill>
    </fill>
    <fill>
      <patternFill patternType="solid">
        <fgColor rgb="FFFF0000"/>
        <bgColor indexed="64"/>
      </patternFill>
    </fill>
    <fill>
      <patternFill patternType="solid">
        <fgColor rgb="FF00B050"/>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applyNumberFormat="0" applyFont="0" applyFill="0" applyBorder="0" applyAlignment="0" applyProtection="0">
      <alignment vertical="top"/>
    </xf>
    <xf numFmtId="0" fontId="3" fillId="0" borderId="0" applyNumberFormat="0" applyFont="0" applyFill="0" applyBorder="0" applyAlignment="0" applyProtection="0">
      <alignment vertical="top"/>
    </xf>
    <xf numFmtId="0" fontId="1" fillId="0" borderId="0"/>
    <xf numFmtId="9" fontId="3" fillId="0" borderId="0" applyFont="0" applyFill="0" applyBorder="0" applyAlignment="0" applyProtection="0"/>
    <xf numFmtId="43" fontId="1" fillId="0" borderId="0" applyFont="0" applyFill="0" applyBorder="0" applyAlignment="0" applyProtection="0"/>
    <xf numFmtId="0" fontId="1" fillId="0" borderId="0"/>
    <xf numFmtId="180" fontId="3" fillId="0" borderId="0" applyFont="0" applyFill="0" applyBorder="0" applyAlignment="0" applyProtection="0"/>
  </cellStyleXfs>
  <cellXfs count="1093">
    <xf numFmtId="0" fontId="0" fillId="0" borderId="0" xfId="0"/>
    <xf numFmtId="0" fontId="2" fillId="0" borderId="0" xfId="0" applyNumberFormat="1" applyFont="1" applyFill="1" applyBorder="1" applyAlignment="1" applyProtection="1">
      <alignment horizontal="center" vertical="top"/>
    </xf>
    <xf numFmtId="0" fontId="2"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0" fillId="2" borderId="0" xfId="0" applyNumberFormat="1" applyFont="1" applyFill="1" applyBorder="1" applyAlignment="1" applyProtection="1">
      <alignment vertical="top"/>
    </xf>
    <xf numFmtId="0" fontId="4" fillId="3" borderId="1" xfId="3" applyNumberFormat="1" applyFont="1" applyFill="1" applyBorder="1" applyAlignment="1" applyProtection="1">
      <alignment horizontal="center" vertical="center" wrapText="1"/>
      <protection locked="0"/>
    </xf>
    <xf numFmtId="0" fontId="4" fillId="2" borderId="1" xfId="3" applyNumberFormat="1" applyFont="1" applyFill="1" applyBorder="1" applyAlignment="1" applyProtection="1">
      <alignment horizontal="center" vertical="center" wrapText="1"/>
      <protection locked="0"/>
    </xf>
    <xf numFmtId="0" fontId="4" fillId="4" borderId="2" xfId="3" applyNumberFormat="1" applyFont="1" applyFill="1" applyBorder="1" applyAlignment="1" applyProtection="1">
      <alignment horizontal="center" vertical="center" wrapText="1"/>
      <protection locked="0"/>
    </xf>
    <xf numFmtId="164" fontId="4" fillId="4" borderId="3" xfId="3" applyNumberFormat="1" applyFont="1" applyFill="1" applyBorder="1" applyAlignment="1" applyProtection="1">
      <alignment horizontal="center" vertical="center" wrapText="1"/>
      <protection locked="0"/>
    </xf>
    <xf numFmtId="165" fontId="4" fillId="4" borderId="3" xfId="3" applyNumberFormat="1" applyFont="1" applyFill="1" applyBorder="1" applyAlignment="1" applyProtection="1">
      <alignment horizontal="center" vertical="center" wrapText="1"/>
      <protection locked="0"/>
    </xf>
    <xf numFmtId="0" fontId="4" fillId="3" borderId="3" xfId="3" applyNumberFormat="1" applyFont="1" applyFill="1" applyBorder="1" applyAlignment="1" applyProtection="1">
      <alignment horizontal="center" vertical="center" wrapText="1"/>
      <protection locked="0"/>
    </xf>
    <xf numFmtId="0" fontId="4" fillId="3" borderId="4" xfId="3" applyNumberFormat="1" applyFont="1" applyFill="1" applyBorder="1" applyAlignment="1" applyProtection="1">
      <alignment horizontal="center" vertical="center" wrapText="1"/>
      <protection locked="0"/>
    </xf>
    <xf numFmtId="0" fontId="4" fillId="3" borderId="5" xfId="3" applyNumberFormat="1" applyFont="1" applyFill="1" applyBorder="1" applyAlignment="1" applyProtection="1">
      <alignment horizontal="center" vertical="center" wrapText="1"/>
      <protection locked="0"/>
    </xf>
    <xf numFmtId="0" fontId="4" fillId="3" borderId="6" xfId="3" applyNumberFormat="1" applyFont="1" applyFill="1" applyBorder="1" applyAlignment="1" applyProtection="1">
      <alignment horizontal="center" vertical="center" wrapText="1"/>
      <protection locked="0"/>
    </xf>
    <xf numFmtId="0" fontId="4" fillId="2" borderId="6" xfId="3" applyNumberFormat="1" applyFont="1" applyFill="1" applyBorder="1" applyAlignment="1" applyProtection="1">
      <alignment horizontal="center" vertical="center" wrapText="1"/>
      <protection locked="0"/>
    </xf>
    <xf numFmtId="0" fontId="4" fillId="3" borderId="7" xfId="3" applyNumberFormat="1" applyFont="1" applyFill="1" applyBorder="1" applyAlignment="1" applyProtection="1">
      <alignment horizontal="center" vertical="center" wrapText="1"/>
      <protection locked="0"/>
    </xf>
    <xf numFmtId="0" fontId="4" fillId="2" borderId="7" xfId="3" applyNumberFormat="1" applyFont="1" applyFill="1" applyBorder="1" applyAlignment="1" applyProtection="1">
      <alignment horizontal="center" vertical="center" wrapText="1"/>
      <protection locked="0"/>
    </xf>
    <xf numFmtId="4" fontId="4" fillId="5" borderId="7" xfId="0" applyNumberFormat="1" applyFont="1" applyFill="1" applyBorder="1" applyAlignment="1">
      <alignment horizontal="center" vertical="center" wrapText="1"/>
    </xf>
    <xf numFmtId="164" fontId="4" fillId="5" borderId="7" xfId="0" applyNumberFormat="1" applyFont="1" applyFill="1" applyBorder="1" applyAlignment="1">
      <alignment horizontal="center" vertical="center" wrapText="1"/>
    </xf>
    <xf numFmtId="165" fontId="4" fillId="5" borderId="7" xfId="0" applyNumberFormat="1" applyFont="1" applyFill="1" applyBorder="1" applyAlignment="1">
      <alignment horizontal="center" vertical="center" wrapText="1"/>
    </xf>
    <xf numFmtId="0" fontId="5" fillId="6" borderId="6" xfId="4" applyNumberFormat="1" applyFont="1" applyFill="1" applyBorder="1" applyAlignment="1" applyProtection="1">
      <alignment vertical="center" wrapText="1"/>
    </xf>
    <xf numFmtId="0" fontId="5" fillId="6" borderId="8" xfId="4" applyNumberFormat="1" applyFont="1" applyFill="1" applyBorder="1" applyAlignment="1" applyProtection="1">
      <alignment vertical="center" wrapText="1"/>
    </xf>
    <xf numFmtId="0" fontId="5" fillId="6" borderId="1" xfId="4" applyNumberFormat="1" applyFont="1" applyFill="1" applyBorder="1" applyAlignment="1" applyProtection="1">
      <alignment vertical="center" wrapText="1"/>
    </xf>
    <xf numFmtId="9" fontId="5" fillId="6" borderId="9" xfId="5" applyNumberFormat="1" applyFont="1" applyFill="1" applyBorder="1" applyAlignment="1" applyProtection="1">
      <alignment vertical="center" wrapText="1"/>
    </xf>
    <xf numFmtId="2" fontId="5" fillId="7" borderId="10" xfId="0" applyNumberFormat="1" applyFont="1" applyFill="1" applyBorder="1" applyAlignment="1">
      <alignment horizontal="center" vertical="center" wrapText="1"/>
    </xf>
    <xf numFmtId="1" fontId="5" fillId="6" borderId="9" xfId="0" applyNumberFormat="1" applyFont="1" applyFill="1" applyBorder="1" applyAlignment="1">
      <alignment horizontal="center" vertical="center" wrapText="1"/>
    </xf>
    <xf numFmtId="9" fontId="5" fillId="2" borderId="1" xfId="6" applyFont="1" applyFill="1" applyBorder="1" applyAlignment="1" applyProtection="1">
      <alignment horizontal="center" vertical="center" wrapText="1"/>
    </xf>
    <xf numFmtId="165" fontId="5" fillId="6" borderId="9" xfId="0" applyNumberFormat="1" applyFont="1" applyFill="1" applyBorder="1" applyAlignment="1">
      <alignment horizontal="center" vertical="center" wrapText="1"/>
    </xf>
    <xf numFmtId="44" fontId="5" fillId="6" borderId="9" xfId="2" applyFont="1" applyFill="1" applyBorder="1" applyAlignment="1">
      <alignment horizontal="center" vertical="center" wrapText="1"/>
    </xf>
    <xf numFmtId="9" fontId="5" fillId="2" borderId="9" xfId="6" applyFont="1" applyFill="1" applyBorder="1" applyAlignment="1" applyProtection="1">
      <alignment horizontal="center" vertical="center" wrapText="1"/>
      <protection locked="0"/>
    </xf>
    <xf numFmtId="0" fontId="5" fillId="6" borderId="9" xfId="0" applyNumberFormat="1" applyFont="1" applyFill="1" applyBorder="1" applyAlignment="1" applyProtection="1">
      <alignment horizontal="center" vertical="center" wrapText="1"/>
    </xf>
    <xf numFmtId="0" fontId="5" fillId="6" borderId="9" xfId="5" applyNumberFormat="1" applyFont="1" applyFill="1" applyBorder="1" applyAlignment="1" applyProtection="1">
      <alignment horizontal="center" vertical="top" wrapText="1"/>
    </xf>
    <xf numFmtId="1" fontId="5" fillId="6" borderId="10" xfId="0" applyNumberFormat="1" applyFont="1" applyFill="1" applyBorder="1" applyAlignment="1">
      <alignment horizontal="center" vertical="center" wrapText="1"/>
    </xf>
    <xf numFmtId="9" fontId="5" fillId="6" borderId="10" xfId="5" applyNumberFormat="1" applyFont="1" applyFill="1" applyBorder="1" applyAlignment="1" applyProtection="1">
      <alignment vertical="center" wrapText="1"/>
    </xf>
    <xf numFmtId="0" fontId="5" fillId="6" borderId="10" xfId="0" applyNumberFormat="1" applyFont="1" applyFill="1" applyBorder="1" applyAlignment="1" applyProtection="1">
      <alignment horizontal="center" vertical="center" wrapText="1"/>
    </xf>
    <xf numFmtId="0" fontId="5" fillId="6" borderId="10" xfId="5" applyNumberFormat="1" applyFont="1" applyFill="1" applyBorder="1" applyAlignment="1" applyProtection="1">
      <alignment horizontal="center" vertical="top" wrapText="1"/>
    </xf>
    <xf numFmtId="0" fontId="5" fillId="6" borderId="1" xfId="4" applyNumberFormat="1" applyFont="1" applyFill="1" applyBorder="1" applyAlignment="1" applyProtection="1">
      <alignment horizontal="center" vertical="center" wrapText="1"/>
    </xf>
    <xf numFmtId="9" fontId="5" fillId="6" borderId="10" xfId="6" applyFont="1" applyFill="1" applyBorder="1" applyAlignment="1">
      <alignment horizontal="center" vertical="center" wrapText="1"/>
    </xf>
    <xf numFmtId="9" fontId="5" fillId="6" borderId="1" xfId="6" applyFont="1" applyFill="1" applyBorder="1" applyAlignment="1">
      <alignment vertical="center" wrapText="1"/>
    </xf>
    <xf numFmtId="165" fontId="5" fillId="6" borderId="1" xfId="6" applyNumberFormat="1" applyFont="1" applyFill="1" applyBorder="1" applyAlignment="1">
      <alignment vertical="center" wrapText="1"/>
    </xf>
    <xf numFmtId="9" fontId="5" fillId="2" borderId="1" xfId="6" applyFont="1" applyFill="1" applyBorder="1" applyAlignment="1" applyProtection="1">
      <alignment vertical="center" wrapText="1"/>
      <protection locked="0"/>
    </xf>
    <xf numFmtId="165" fontId="5" fillId="6" borderId="1" xfId="6" applyNumberFormat="1" applyFont="1" applyFill="1" applyBorder="1" applyAlignment="1">
      <alignment vertical="top" wrapText="1"/>
    </xf>
    <xf numFmtId="0" fontId="5" fillId="6" borderId="9" xfId="4" applyNumberFormat="1" applyFont="1" applyFill="1" applyBorder="1" applyAlignment="1" applyProtection="1">
      <alignment vertical="center" wrapText="1"/>
    </xf>
    <xf numFmtId="0" fontId="5" fillId="2" borderId="9" xfId="4" applyNumberFormat="1" applyFont="1" applyFill="1" applyBorder="1" applyAlignment="1" applyProtection="1">
      <alignment vertical="center" wrapText="1"/>
    </xf>
    <xf numFmtId="9" fontId="5" fillId="6" borderId="9" xfId="6" applyFont="1" applyFill="1" applyBorder="1" applyAlignment="1">
      <alignment vertical="center" wrapText="1"/>
    </xf>
    <xf numFmtId="165" fontId="5" fillId="6" borderId="9" xfId="6" applyNumberFormat="1" applyFont="1" applyFill="1" applyBorder="1" applyAlignment="1">
      <alignment vertical="center" wrapText="1"/>
    </xf>
    <xf numFmtId="9" fontId="5" fillId="2" borderId="9" xfId="6" applyFont="1" applyFill="1" applyBorder="1" applyAlignment="1" applyProtection="1">
      <alignment vertical="center" wrapText="1"/>
      <protection locked="0"/>
    </xf>
    <xf numFmtId="165" fontId="5" fillId="6" borderId="9" xfId="6" applyNumberFormat="1" applyFont="1" applyFill="1" applyBorder="1" applyAlignment="1">
      <alignment vertical="top" wrapText="1"/>
    </xf>
    <xf numFmtId="9" fontId="5" fillId="2" borderId="10" xfId="5" applyNumberFormat="1" applyFont="1" applyFill="1" applyBorder="1" applyAlignment="1" applyProtection="1">
      <alignment vertical="center" wrapText="1"/>
    </xf>
    <xf numFmtId="9" fontId="5" fillId="2" borderId="10" xfId="6" applyFont="1" applyFill="1" applyBorder="1" applyAlignment="1">
      <alignment horizontal="center" vertical="center" wrapText="1"/>
    </xf>
    <xf numFmtId="0" fontId="5" fillId="6" borderId="1" xfId="0" applyNumberFormat="1" applyFont="1" applyFill="1" applyBorder="1" applyAlignment="1">
      <alignment vertical="center" wrapText="1"/>
    </xf>
    <xf numFmtId="165" fontId="5" fillId="6" borderId="1" xfId="0" applyNumberFormat="1" applyFont="1" applyFill="1" applyBorder="1" applyAlignment="1">
      <alignment vertical="center" wrapText="1"/>
    </xf>
    <xf numFmtId="165" fontId="5" fillId="6" borderId="1" xfId="0" applyNumberFormat="1" applyFont="1" applyFill="1" applyBorder="1" applyAlignment="1">
      <alignment vertical="top" wrapText="1"/>
    </xf>
    <xf numFmtId="9" fontId="5" fillId="6" borderId="1" xfId="5" applyNumberFormat="1" applyFont="1" applyFill="1" applyBorder="1" applyAlignment="1" applyProtection="1">
      <alignment vertical="center" wrapText="1"/>
    </xf>
    <xf numFmtId="1" fontId="5" fillId="6" borderId="1" xfId="0" applyNumberFormat="1" applyFont="1" applyFill="1" applyBorder="1" applyAlignment="1">
      <alignment horizontal="center" vertical="center" wrapText="1"/>
    </xf>
    <xf numFmtId="9" fontId="5" fillId="2" borderId="1" xfId="6" applyFont="1" applyFill="1" applyBorder="1" applyAlignment="1">
      <alignment horizontal="center" vertical="center" wrapText="1"/>
    </xf>
    <xf numFmtId="0" fontId="5" fillId="6" borderId="8" xfId="0" applyNumberFormat="1" applyFont="1" applyFill="1" applyBorder="1" applyAlignment="1">
      <alignment vertical="center" wrapText="1"/>
    </xf>
    <xf numFmtId="164" fontId="5" fillId="6" borderId="8" xfId="0" applyNumberFormat="1" applyFont="1" applyFill="1" applyBorder="1" applyAlignment="1">
      <alignment vertical="center" wrapText="1"/>
    </xf>
    <xf numFmtId="165" fontId="5" fillId="6" borderId="8" xfId="0" applyNumberFormat="1" applyFont="1" applyFill="1" applyBorder="1" applyAlignment="1">
      <alignment vertical="center" wrapText="1"/>
    </xf>
    <xf numFmtId="9" fontId="5" fillId="2" borderId="8" xfId="6" applyFont="1" applyFill="1" applyBorder="1" applyAlignment="1" applyProtection="1">
      <alignment vertical="center" wrapText="1"/>
      <protection locked="0"/>
    </xf>
    <xf numFmtId="165" fontId="5" fillId="6" borderId="8" xfId="0" applyNumberFormat="1" applyFont="1" applyFill="1" applyBorder="1" applyAlignment="1">
      <alignment vertical="top" wrapText="1"/>
    </xf>
    <xf numFmtId="1" fontId="5" fillId="2" borderId="9" xfId="0" applyNumberFormat="1" applyFont="1" applyFill="1" applyBorder="1" applyAlignment="1">
      <alignment horizontal="center" vertical="center" wrapText="1"/>
    </xf>
    <xf numFmtId="0" fontId="5" fillId="6" borderId="9" xfId="0" applyNumberFormat="1" applyFont="1" applyFill="1" applyBorder="1" applyAlignment="1">
      <alignment vertical="center" wrapText="1"/>
    </xf>
    <xf numFmtId="164" fontId="5" fillId="6" borderId="9" xfId="0" applyNumberFormat="1" applyFont="1" applyFill="1" applyBorder="1" applyAlignment="1">
      <alignment vertical="center" wrapText="1"/>
    </xf>
    <xf numFmtId="165" fontId="5" fillId="6" borderId="9" xfId="0" applyNumberFormat="1" applyFont="1" applyFill="1" applyBorder="1" applyAlignment="1">
      <alignment vertical="center" wrapText="1"/>
    </xf>
    <xf numFmtId="165" fontId="5" fillId="6" borderId="9" xfId="0" applyNumberFormat="1" applyFont="1" applyFill="1" applyBorder="1" applyAlignment="1">
      <alignment vertical="top" wrapText="1"/>
    </xf>
    <xf numFmtId="9" fontId="5" fillId="2" borderId="10" xfId="5" applyNumberFormat="1" applyFont="1" applyFill="1" applyBorder="1" applyAlignment="1" applyProtection="1">
      <alignment horizontal="center" vertical="center" wrapText="1"/>
    </xf>
    <xf numFmtId="1" fontId="5" fillId="6" borderId="1" xfId="0" applyNumberFormat="1" applyFont="1" applyFill="1" applyBorder="1" applyAlignment="1">
      <alignment vertical="center" wrapText="1"/>
    </xf>
    <xf numFmtId="44" fontId="5" fillId="6" borderId="1" xfId="2" applyFont="1" applyFill="1" applyBorder="1" applyAlignment="1">
      <alignment vertical="center" wrapText="1"/>
    </xf>
    <xf numFmtId="9" fontId="5" fillId="2" borderId="1" xfId="6" applyFont="1" applyFill="1" applyBorder="1" applyAlignment="1" applyProtection="1">
      <alignment horizontal="center" vertical="center" wrapText="1"/>
      <protection locked="0"/>
    </xf>
    <xf numFmtId="1" fontId="5" fillId="6" borderId="1" xfId="0" applyNumberFormat="1" applyFont="1" applyFill="1" applyBorder="1" applyAlignment="1">
      <alignment vertical="top" wrapText="1"/>
    </xf>
    <xf numFmtId="9" fontId="5" fillId="6" borderId="8" xfId="5" applyNumberFormat="1" applyFont="1" applyFill="1" applyBorder="1" applyAlignment="1" applyProtection="1">
      <alignment vertical="center" wrapText="1"/>
    </xf>
    <xf numFmtId="1" fontId="5" fillId="6" borderId="8" xfId="0" applyNumberFormat="1" applyFont="1" applyFill="1" applyBorder="1" applyAlignment="1">
      <alignment horizontal="center" vertical="center" wrapText="1"/>
    </xf>
    <xf numFmtId="1" fontId="5" fillId="6" borderId="8" xfId="0" applyNumberFormat="1" applyFont="1" applyFill="1" applyBorder="1" applyAlignment="1">
      <alignment vertical="center" wrapText="1"/>
    </xf>
    <xf numFmtId="1" fontId="5" fillId="2" borderId="10" xfId="0" applyNumberFormat="1" applyFont="1" applyFill="1" applyBorder="1" applyAlignment="1">
      <alignment horizontal="center" vertical="center" wrapText="1"/>
    </xf>
    <xf numFmtId="9" fontId="5" fillId="6" borderId="8" xfId="6" applyFont="1" applyFill="1" applyBorder="1" applyAlignment="1" applyProtection="1">
      <alignment horizontal="center" vertical="center" wrapText="1"/>
      <protection locked="0"/>
    </xf>
    <xf numFmtId="1" fontId="5" fillId="2" borderId="8" xfId="0" applyNumberFormat="1" applyFont="1" applyFill="1" applyBorder="1" applyAlignment="1">
      <alignment vertical="center" wrapText="1"/>
    </xf>
    <xf numFmtId="1" fontId="5" fillId="6" borderId="9" xfId="0" applyNumberFormat="1" applyFont="1" applyFill="1" applyBorder="1" applyAlignment="1">
      <alignment vertical="center" wrapText="1"/>
    </xf>
    <xf numFmtId="9" fontId="5" fillId="6" borderId="9" xfId="6" applyFont="1" applyFill="1" applyBorder="1" applyAlignment="1" applyProtection="1">
      <alignment horizontal="center" vertical="center" wrapText="1"/>
      <protection locked="0"/>
    </xf>
    <xf numFmtId="1" fontId="5" fillId="2" borderId="9" xfId="0" applyNumberFormat="1" applyFont="1" applyFill="1" applyBorder="1" applyAlignment="1">
      <alignment vertical="center" wrapText="1"/>
    </xf>
    <xf numFmtId="9" fontId="5" fillId="6" borderId="1" xfId="5" applyNumberFormat="1" applyFont="1" applyFill="1" applyBorder="1" applyAlignment="1" applyProtection="1">
      <alignment horizontal="center" vertical="center" wrapText="1"/>
    </xf>
    <xf numFmtId="9" fontId="5" fillId="2" borderId="1" xfId="5" applyNumberFormat="1" applyFont="1" applyFill="1" applyBorder="1" applyAlignment="1" applyProtection="1">
      <alignment horizontal="center" vertical="center" wrapText="1"/>
    </xf>
    <xf numFmtId="9" fontId="5" fillId="6" borderId="9" xfId="5" applyNumberFormat="1" applyFont="1" applyFill="1" applyBorder="1" applyAlignment="1" applyProtection="1">
      <alignment horizontal="center" vertical="center" wrapText="1"/>
    </xf>
    <xf numFmtId="9" fontId="5" fillId="2" borderId="9" xfId="5" applyNumberFormat="1" applyFont="1" applyFill="1" applyBorder="1" applyAlignment="1" applyProtection="1">
      <alignment vertical="center" wrapText="1"/>
    </xf>
    <xf numFmtId="1" fontId="5" fillId="6" borderId="9" xfId="0" applyNumberFormat="1" applyFont="1" applyFill="1" applyBorder="1" applyAlignment="1">
      <alignment vertical="top" wrapText="1"/>
    </xf>
    <xf numFmtId="0" fontId="5" fillId="6" borderId="11" xfId="4" applyNumberFormat="1" applyFont="1" applyFill="1" applyBorder="1" applyAlignment="1" applyProtection="1">
      <alignment vertical="center" wrapText="1"/>
    </xf>
    <xf numFmtId="2" fontId="5" fillId="7" borderId="12" xfId="0" applyNumberFormat="1" applyFont="1" applyFill="1" applyBorder="1" applyAlignment="1">
      <alignment horizontal="center" vertical="center" wrapText="1"/>
    </xf>
    <xf numFmtId="0" fontId="5" fillId="6" borderId="1" xfId="3" applyNumberFormat="1" applyFont="1" applyFill="1" applyBorder="1" applyAlignment="1" applyProtection="1">
      <alignment vertical="center" wrapText="1"/>
      <protection locked="0"/>
    </xf>
    <xf numFmtId="0" fontId="5" fillId="6" borderId="13" xfId="3" applyNumberFormat="1" applyFont="1" applyFill="1" applyBorder="1" applyAlignment="1" applyProtection="1">
      <alignment vertical="center" wrapText="1"/>
      <protection locked="0"/>
    </xf>
    <xf numFmtId="0" fontId="5" fillId="6" borderId="1" xfId="3" applyNumberFormat="1" applyFont="1" applyFill="1" applyBorder="1" applyAlignment="1" applyProtection="1">
      <alignment horizontal="center" vertical="center" wrapText="1"/>
      <protection locked="0"/>
    </xf>
    <xf numFmtId="4" fontId="5" fillId="6" borderId="10" xfId="0" applyNumberFormat="1" applyFont="1" applyFill="1" applyBorder="1" applyAlignment="1">
      <alignment horizontal="center" vertical="center" wrapText="1"/>
    </xf>
    <xf numFmtId="4" fontId="4" fillId="6" borderId="1" xfId="0" applyNumberFormat="1" applyFont="1" applyFill="1" applyBorder="1" applyAlignment="1">
      <alignment vertical="center" wrapText="1"/>
    </xf>
    <xf numFmtId="4" fontId="5" fillId="6" borderId="1" xfId="0" applyNumberFormat="1" applyFont="1" applyFill="1" applyBorder="1" applyAlignment="1">
      <alignment vertical="center" wrapText="1"/>
    </xf>
    <xf numFmtId="44" fontId="5" fillId="6" borderId="1" xfId="2" applyFont="1" applyFill="1" applyBorder="1" applyAlignment="1" applyProtection="1">
      <alignment vertical="center" wrapText="1"/>
      <protection locked="0"/>
    </xf>
    <xf numFmtId="9" fontId="5" fillId="2" borderId="1" xfId="6" applyNumberFormat="1" applyFont="1" applyFill="1" applyBorder="1" applyAlignment="1" applyProtection="1">
      <alignment horizontal="center" vertical="center" wrapText="1"/>
      <protection locked="0"/>
    </xf>
    <xf numFmtId="0" fontId="5" fillId="6" borderId="8" xfId="3" applyNumberFormat="1" applyFont="1" applyFill="1" applyBorder="1" applyAlignment="1" applyProtection="1">
      <alignment vertical="center" wrapText="1"/>
      <protection locked="0"/>
    </xf>
    <xf numFmtId="0" fontId="5" fillId="6" borderId="11" xfId="3" applyNumberFormat="1" applyFont="1" applyFill="1" applyBorder="1" applyAlignment="1" applyProtection="1">
      <alignment vertical="center" wrapText="1"/>
      <protection locked="0"/>
    </xf>
    <xf numFmtId="0" fontId="5" fillId="2" borderId="8" xfId="3" applyNumberFormat="1" applyFont="1" applyFill="1" applyBorder="1" applyAlignment="1" applyProtection="1">
      <alignment vertical="center" wrapText="1"/>
      <protection locked="0"/>
    </xf>
    <xf numFmtId="4" fontId="4" fillId="6" borderId="8" xfId="0" applyNumberFormat="1" applyFont="1" applyFill="1" applyBorder="1" applyAlignment="1">
      <alignment vertical="center" wrapText="1"/>
    </xf>
    <xf numFmtId="0" fontId="4" fillId="6" borderId="8" xfId="3" applyNumberFormat="1" applyFont="1" applyFill="1" applyBorder="1" applyAlignment="1" applyProtection="1">
      <alignment vertical="center" wrapText="1"/>
      <protection locked="0"/>
    </xf>
    <xf numFmtId="9" fontId="5" fillId="2" borderId="8" xfId="6" applyNumberFormat="1" applyFont="1" applyFill="1" applyBorder="1" applyAlignment="1" applyProtection="1">
      <alignment horizontal="center" vertical="center" wrapText="1"/>
      <protection locked="0"/>
    </xf>
    <xf numFmtId="0" fontId="5" fillId="6" borderId="9" xfId="3" applyNumberFormat="1" applyFont="1" applyFill="1" applyBorder="1" applyAlignment="1" applyProtection="1">
      <alignment vertical="center" wrapText="1"/>
      <protection locked="0"/>
    </xf>
    <xf numFmtId="0" fontId="5" fillId="6" borderId="14" xfId="3" applyNumberFormat="1" applyFont="1" applyFill="1" applyBorder="1" applyAlignment="1" applyProtection="1">
      <alignment vertical="center" wrapText="1"/>
      <protection locked="0"/>
    </xf>
    <xf numFmtId="4" fontId="4" fillId="6" borderId="9" xfId="0" applyNumberFormat="1" applyFont="1" applyFill="1" applyBorder="1" applyAlignment="1">
      <alignment vertical="center" wrapText="1"/>
    </xf>
    <xf numFmtId="0" fontId="4" fillId="6" borderId="9" xfId="3" applyNumberFormat="1" applyFont="1" applyFill="1" applyBorder="1" applyAlignment="1" applyProtection="1">
      <alignment vertical="center" wrapText="1"/>
      <protection locked="0"/>
    </xf>
    <xf numFmtId="9" fontId="5" fillId="2" borderId="9" xfId="6" applyNumberFormat="1" applyFont="1" applyFill="1" applyBorder="1" applyAlignment="1" applyProtection="1">
      <alignment horizontal="center" vertical="center" wrapText="1"/>
      <protection locked="0"/>
    </xf>
    <xf numFmtId="0" fontId="5" fillId="6" borderId="10" xfId="4" applyNumberFormat="1" applyFont="1" applyFill="1" applyBorder="1" applyAlignment="1" applyProtection="1">
      <alignment vertical="center" wrapText="1"/>
    </xf>
    <xf numFmtId="165" fontId="5" fillId="6" borderId="10" xfId="0" applyNumberFormat="1" applyFont="1" applyFill="1" applyBorder="1" applyAlignment="1">
      <alignment horizontal="center" vertical="center" wrapText="1"/>
    </xf>
    <xf numFmtId="44" fontId="5" fillId="6" borderId="10" xfId="2" applyFont="1" applyFill="1" applyBorder="1" applyAlignment="1">
      <alignment horizontal="center" vertical="center" wrapText="1"/>
    </xf>
    <xf numFmtId="165" fontId="5" fillId="6" borderId="10" xfId="6" applyNumberFormat="1" applyFont="1" applyFill="1" applyBorder="1" applyAlignment="1">
      <alignment horizontal="center" vertical="center" wrapText="1"/>
    </xf>
    <xf numFmtId="0" fontId="4" fillId="2" borderId="10" xfId="4" applyNumberFormat="1" applyFont="1" applyFill="1" applyBorder="1" applyAlignment="1" applyProtection="1">
      <alignment vertical="center" wrapText="1"/>
    </xf>
    <xf numFmtId="166" fontId="4" fillId="2" borderId="10" xfId="1" applyNumberFormat="1" applyFont="1" applyFill="1" applyBorder="1" applyAlignment="1">
      <alignment horizontal="center" vertical="center" wrapText="1"/>
    </xf>
    <xf numFmtId="0" fontId="5" fillId="2" borderId="10" xfId="0" applyNumberFormat="1" applyFont="1" applyFill="1" applyBorder="1" applyAlignment="1" applyProtection="1">
      <alignment horizontal="center" vertical="center" wrapText="1"/>
    </xf>
    <xf numFmtId="0" fontId="5" fillId="2" borderId="10" xfId="5" applyNumberFormat="1" applyFont="1" applyFill="1" applyBorder="1" applyAlignment="1" applyProtection="1">
      <alignment horizontal="center" vertical="top" wrapText="1"/>
    </xf>
    <xf numFmtId="0" fontId="5" fillId="6" borderId="8" xfId="4" applyNumberFormat="1" applyFont="1" applyFill="1" applyBorder="1" applyAlignment="1" applyProtection="1">
      <alignment horizontal="center" vertical="center" wrapText="1"/>
    </xf>
    <xf numFmtId="0" fontId="5" fillId="6" borderId="10" xfId="4" applyNumberFormat="1" applyFont="1" applyFill="1" applyBorder="1" applyAlignment="1" applyProtection="1">
      <alignment horizontal="center" vertical="center" wrapText="1"/>
    </xf>
    <xf numFmtId="0" fontId="5" fillId="8" borderId="8" xfId="5" applyNumberFormat="1" applyFont="1" applyFill="1" applyBorder="1" applyAlignment="1" applyProtection="1">
      <alignment vertical="center" wrapText="1"/>
    </xf>
    <xf numFmtId="0" fontId="5" fillId="6" borderId="10" xfId="5" applyNumberFormat="1" applyFont="1" applyFill="1" applyBorder="1" applyAlignment="1" applyProtection="1">
      <alignment vertical="center" wrapText="1"/>
    </xf>
    <xf numFmtId="9" fontId="5" fillId="6" borderId="10" xfId="6" applyFont="1" applyFill="1" applyBorder="1" applyAlignment="1" applyProtection="1">
      <alignment horizontal="center" vertical="center" wrapText="1"/>
    </xf>
    <xf numFmtId="9" fontId="5" fillId="2" borderId="10" xfId="6" applyFont="1" applyFill="1" applyBorder="1" applyAlignment="1" applyProtection="1">
      <alignment horizontal="center" vertical="center" wrapText="1"/>
    </xf>
    <xf numFmtId="9" fontId="5" fillId="7" borderId="10" xfId="6" applyFont="1" applyFill="1" applyBorder="1" applyAlignment="1">
      <alignment vertical="center" wrapText="1"/>
    </xf>
    <xf numFmtId="165" fontId="5" fillId="7" borderId="9" xfId="6" applyNumberFormat="1" applyFont="1" applyFill="1" applyBorder="1" applyAlignment="1">
      <alignment horizontal="center" vertical="center" wrapText="1"/>
    </xf>
    <xf numFmtId="9" fontId="5" fillId="7" borderId="9" xfId="6" applyFont="1" applyFill="1" applyBorder="1" applyAlignment="1">
      <alignment horizontal="center" vertical="center" wrapText="1"/>
    </xf>
    <xf numFmtId="44" fontId="5" fillId="7" borderId="9" xfId="2" applyFont="1" applyFill="1" applyBorder="1" applyAlignment="1">
      <alignment horizontal="center" vertical="center" wrapText="1"/>
    </xf>
    <xf numFmtId="9" fontId="5" fillId="7" borderId="10" xfId="6" applyFont="1" applyFill="1" applyBorder="1" applyAlignment="1">
      <alignment horizontal="center" vertical="center" wrapText="1"/>
    </xf>
    <xf numFmtId="0" fontId="5" fillId="8" borderId="1" xfId="5" applyNumberFormat="1" applyFont="1" applyFill="1" applyBorder="1" applyAlignment="1" applyProtection="1">
      <alignment vertical="center" wrapText="1"/>
    </xf>
    <xf numFmtId="0" fontId="5" fillId="2" borderId="1" xfId="5" applyNumberFormat="1" applyFont="1" applyFill="1" applyBorder="1" applyAlignment="1" applyProtection="1">
      <alignment vertical="center" wrapText="1"/>
    </xf>
    <xf numFmtId="1" fontId="5" fillId="7" borderId="10" xfId="0" applyNumberFormat="1" applyFont="1" applyFill="1" applyBorder="1" applyAlignment="1">
      <alignment vertical="center" wrapText="1"/>
    </xf>
    <xf numFmtId="164" fontId="5" fillId="7" borderId="10" xfId="0" applyNumberFormat="1" applyFont="1" applyFill="1" applyBorder="1" applyAlignment="1">
      <alignment vertical="center" wrapText="1"/>
    </xf>
    <xf numFmtId="1" fontId="5" fillId="7" borderId="10" xfId="0" applyNumberFormat="1" applyFont="1" applyFill="1" applyBorder="1" applyAlignment="1">
      <alignment horizontal="center" vertical="center" wrapText="1"/>
    </xf>
    <xf numFmtId="9" fontId="5" fillId="2" borderId="8" xfId="5" applyNumberFormat="1" applyFont="1" applyFill="1" applyBorder="1" applyAlignment="1" applyProtection="1">
      <alignment vertical="center" wrapText="1"/>
    </xf>
    <xf numFmtId="165" fontId="5" fillId="7" borderId="10" xfId="0" applyNumberFormat="1" applyFont="1" applyFill="1" applyBorder="1" applyAlignment="1">
      <alignment horizontal="center" vertical="center" wrapText="1"/>
    </xf>
    <xf numFmtId="1" fontId="5" fillId="7" borderId="9" xfId="0" applyNumberFormat="1" applyFont="1" applyFill="1" applyBorder="1" applyAlignment="1">
      <alignment vertical="center" wrapText="1"/>
    </xf>
    <xf numFmtId="165" fontId="5" fillId="7" borderId="9" xfId="0" applyNumberFormat="1" applyFont="1" applyFill="1" applyBorder="1" applyAlignment="1">
      <alignment horizontal="center" vertical="center" wrapText="1"/>
    </xf>
    <xf numFmtId="1" fontId="5" fillId="7" borderId="9" xfId="0" applyNumberFormat="1" applyFont="1" applyFill="1" applyBorder="1" applyAlignment="1">
      <alignment horizontal="center" vertical="center" wrapText="1"/>
    </xf>
    <xf numFmtId="44" fontId="5" fillId="7" borderId="10" xfId="2" applyFont="1" applyFill="1" applyBorder="1" applyAlignment="1">
      <alignment horizontal="center" vertical="center" wrapText="1"/>
    </xf>
    <xf numFmtId="0" fontId="5" fillId="8" borderId="10" xfId="4" applyFont="1" applyFill="1" applyBorder="1" applyAlignment="1">
      <alignment horizontal="center" vertical="center" wrapText="1"/>
    </xf>
    <xf numFmtId="0" fontId="5" fillId="8" borderId="10" xfId="0" applyFont="1" applyFill="1" applyBorder="1" applyAlignment="1">
      <alignment horizontal="center" vertical="center" wrapText="1"/>
    </xf>
    <xf numFmtId="167" fontId="5" fillId="8" borderId="10" xfId="0" applyNumberFormat="1" applyFont="1" applyFill="1" applyBorder="1" applyAlignment="1">
      <alignment horizontal="center" vertical="center" wrapText="1"/>
    </xf>
    <xf numFmtId="0" fontId="5" fillId="6" borderId="1" xfId="5" applyNumberFormat="1" applyFont="1" applyFill="1" applyBorder="1" applyAlignment="1" applyProtection="1">
      <alignment vertical="center" wrapText="1"/>
    </xf>
    <xf numFmtId="0" fontId="5" fillId="6" borderId="1" xfId="5" applyNumberFormat="1" applyFont="1" applyFill="1" applyBorder="1" applyAlignment="1" applyProtection="1">
      <alignment horizontal="center" vertical="center" wrapText="1"/>
    </xf>
    <xf numFmtId="0" fontId="5" fillId="8" borderId="10" xfId="5" applyNumberFormat="1" applyFont="1" applyFill="1" applyBorder="1" applyAlignment="1" applyProtection="1">
      <alignment vertical="center" wrapText="1"/>
    </xf>
    <xf numFmtId="0" fontId="4" fillId="2" borderId="10" xfId="5" applyNumberFormat="1" applyFont="1" applyFill="1" applyBorder="1" applyAlignment="1" applyProtection="1">
      <alignment vertical="center" wrapText="1"/>
    </xf>
    <xf numFmtId="0" fontId="5" fillId="2" borderId="10" xfId="5" applyNumberFormat="1" applyFont="1" applyFill="1" applyBorder="1" applyAlignment="1" applyProtection="1">
      <alignment vertical="center" wrapText="1"/>
    </xf>
    <xf numFmtId="0" fontId="5" fillId="2" borderId="10" xfId="5" applyNumberFormat="1" applyFont="1" applyFill="1" applyBorder="1" applyAlignment="1" applyProtection="1">
      <alignment horizontal="center" vertical="center" wrapText="1"/>
    </xf>
    <xf numFmtId="166" fontId="4" fillId="2" borderId="10" xfId="1" applyNumberFormat="1" applyFont="1" applyFill="1" applyBorder="1" applyAlignment="1" applyProtection="1">
      <alignment horizontal="center" vertical="center" wrapText="1"/>
    </xf>
    <xf numFmtId="0" fontId="5" fillId="2" borderId="10" xfId="5" applyNumberFormat="1" applyFont="1" applyFill="1" applyBorder="1" applyAlignment="1" applyProtection="1">
      <alignment vertical="top" wrapText="1"/>
    </xf>
    <xf numFmtId="0" fontId="4" fillId="9" borderId="10" xfId="5" applyNumberFormat="1" applyFont="1" applyFill="1" applyBorder="1" applyAlignment="1" applyProtection="1">
      <alignment vertical="center" wrapText="1"/>
    </xf>
    <xf numFmtId="10" fontId="4" fillId="9" borderId="10" xfId="0" applyNumberFormat="1" applyFont="1" applyFill="1" applyBorder="1" applyAlignment="1" applyProtection="1">
      <alignment vertical="top"/>
    </xf>
    <xf numFmtId="43" fontId="4" fillId="9" borderId="10" xfId="1" applyFont="1" applyFill="1" applyBorder="1" applyAlignment="1" applyProtection="1">
      <alignment vertical="top"/>
    </xf>
    <xf numFmtId="10" fontId="4" fillId="2" borderId="10" xfId="0" applyNumberFormat="1" applyFont="1" applyFill="1" applyBorder="1" applyAlignment="1" applyProtection="1">
      <alignment vertical="top"/>
    </xf>
    <xf numFmtId="0" fontId="0" fillId="9" borderId="10" xfId="0" applyNumberFormat="1" applyFont="1" applyFill="1" applyBorder="1" applyAlignment="1" applyProtection="1">
      <alignment vertical="top"/>
    </xf>
    <xf numFmtId="0" fontId="4" fillId="3" borderId="10" xfId="5" applyNumberFormat="1" applyFont="1" applyFill="1" applyBorder="1" applyAlignment="1" applyProtection="1">
      <alignment vertical="center" wrapText="1"/>
    </xf>
    <xf numFmtId="0" fontId="4" fillId="3" borderId="10" xfId="3" applyNumberFormat="1" applyFont="1" applyFill="1" applyBorder="1" applyAlignment="1" applyProtection="1">
      <alignment horizontal="center" vertical="center" wrapText="1"/>
      <protection locked="0"/>
    </xf>
    <xf numFmtId="43" fontId="4" fillId="3" borderId="10" xfId="3" applyNumberFormat="1" applyFont="1" applyFill="1" applyBorder="1" applyAlignment="1" applyProtection="1">
      <alignment horizontal="center" vertical="center" wrapText="1"/>
      <protection locked="0"/>
    </xf>
    <xf numFmtId="0" fontId="4" fillId="2" borderId="10" xfId="3" applyNumberFormat="1" applyFont="1" applyFill="1" applyBorder="1" applyAlignment="1" applyProtection="1">
      <alignment horizontal="center" vertical="center" wrapText="1"/>
      <protection locked="0"/>
    </xf>
    <xf numFmtId="0" fontId="4" fillId="3" borderId="10" xfId="3" applyNumberFormat="1" applyFont="1" applyFill="1" applyBorder="1" applyAlignment="1" applyProtection="1">
      <alignment horizontal="center" vertical="top" wrapText="1"/>
      <protection locked="0"/>
    </xf>
    <xf numFmtId="0" fontId="5" fillId="10" borderId="1" xfId="5" applyNumberFormat="1" applyFont="1" applyFill="1" applyBorder="1" applyAlignment="1" applyProtection="1">
      <alignment vertical="center" wrapText="1"/>
    </xf>
    <xf numFmtId="0" fontId="5" fillId="10" borderId="8" xfId="5" applyNumberFormat="1" applyFont="1" applyFill="1" applyBorder="1" applyAlignment="1" applyProtection="1">
      <alignment vertical="center" wrapText="1"/>
    </xf>
    <xf numFmtId="0" fontId="5" fillId="10" borderId="10" xfId="5" applyNumberFormat="1" applyFont="1" applyFill="1" applyBorder="1" applyAlignment="1" applyProtection="1">
      <alignment horizontal="left" vertical="center" wrapText="1"/>
    </xf>
    <xf numFmtId="0" fontId="5" fillId="10" borderId="9" xfId="5" applyNumberFormat="1" applyFont="1" applyFill="1" applyBorder="1" applyAlignment="1" applyProtection="1">
      <alignment horizontal="left" vertical="center" wrapText="1"/>
    </xf>
    <xf numFmtId="0" fontId="5" fillId="10" borderId="9" xfId="5" applyNumberFormat="1" applyFont="1" applyFill="1" applyBorder="1" applyAlignment="1" applyProtection="1">
      <alignment horizontal="center" vertical="center" wrapText="1"/>
    </xf>
    <xf numFmtId="9" fontId="5" fillId="2" borderId="9" xfId="6" applyFont="1" applyFill="1" applyBorder="1" applyAlignment="1" applyProtection="1">
      <alignment horizontal="center" vertical="center" wrapText="1"/>
    </xf>
    <xf numFmtId="17" fontId="5" fillId="10" borderId="1" xfId="5" applyNumberFormat="1" applyFont="1" applyFill="1" applyBorder="1" applyAlignment="1" applyProtection="1">
      <alignment vertical="center" wrapText="1"/>
    </xf>
    <xf numFmtId="168" fontId="5" fillId="10" borderId="1" xfId="5" applyNumberFormat="1" applyFont="1" applyFill="1" applyBorder="1" applyAlignment="1" applyProtection="1">
      <alignment vertical="center" wrapText="1"/>
    </xf>
    <xf numFmtId="0" fontId="5" fillId="10" borderId="10" xfId="5" applyNumberFormat="1" applyFont="1" applyFill="1" applyBorder="1" applyAlignment="1" applyProtection="1">
      <alignment horizontal="center" vertical="center" wrapText="1"/>
    </xf>
    <xf numFmtId="17" fontId="5" fillId="10" borderId="8" xfId="5" applyNumberFormat="1" applyFont="1" applyFill="1" applyBorder="1" applyAlignment="1" applyProtection="1">
      <alignment vertical="center" wrapText="1"/>
    </xf>
    <xf numFmtId="17" fontId="5" fillId="2" borderId="8" xfId="5" applyNumberFormat="1" applyFont="1" applyFill="1" applyBorder="1" applyAlignment="1" applyProtection="1">
      <alignment vertical="center" wrapText="1"/>
    </xf>
    <xf numFmtId="0" fontId="5" fillId="10" borderId="10" xfId="5" applyNumberFormat="1" applyFont="1" applyFill="1" applyBorder="1" applyAlignment="1" applyProtection="1">
      <alignment vertical="top" wrapText="1"/>
    </xf>
    <xf numFmtId="2" fontId="5" fillId="7" borderId="1" xfId="0" applyNumberFormat="1" applyFont="1" applyFill="1" applyBorder="1" applyAlignment="1">
      <alignment horizontal="center" vertical="center" wrapText="1"/>
    </xf>
    <xf numFmtId="0" fontId="5" fillId="10" borderId="9" xfId="5" applyNumberFormat="1" applyFont="1" applyFill="1" applyBorder="1" applyAlignment="1" applyProtection="1">
      <alignment vertical="center" wrapText="1"/>
    </xf>
    <xf numFmtId="17" fontId="5" fillId="10" borderId="9" xfId="5" applyNumberFormat="1" applyFont="1" applyFill="1" applyBorder="1" applyAlignment="1" applyProtection="1">
      <alignment vertical="center" wrapText="1"/>
    </xf>
    <xf numFmtId="17" fontId="5" fillId="2" borderId="9" xfId="5" applyNumberFormat="1" applyFont="1" applyFill="1" applyBorder="1" applyAlignment="1" applyProtection="1">
      <alignment vertical="center" wrapText="1"/>
    </xf>
    <xf numFmtId="0" fontId="5" fillId="10" borderId="10" xfId="5" applyNumberFormat="1" applyFont="1" applyFill="1" applyBorder="1" applyAlignment="1" applyProtection="1">
      <alignment vertical="center" wrapText="1"/>
    </xf>
    <xf numFmtId="0" fontId="5" fillId="10" borderId="15" xfId="5" applyNumberFormat="1" applyFont="1" applyFill="1" applyBorder="1" applyAlignment="1" applyProtection="1">
      <alignment vertical="center" wrapText="1"/>
    </xf>
    <xf numFmtId="0" fontId="5" fillId="10" borderId="13" xfId="5" applyNumberFormat="1" applyFont="1" applyFill="1" applyBorder="1" applyAlignment="1" applyProtection="1">
      <alignment vertical="center" wrapText="1"/>
    </xf>
    <xf numFmtId="0" fontId="5" fillId="10" borderId="12" xfId="5" applyNumberFormat="1" applyFont="1" applyFill="1" applyBorder="1" applyAlignment="1" applyProtection="1">
      <alignment horizontal="left" vertical="center" wrapText="1"/>
    </xf>
    <xf numFmtId="17" fontId="5" fillId="10" borderId="9" xfId="5" applyNumberFormat="1" applyFont="1" applyFill="1" applyBorder="1" applyAlignment="1" applyProtection="1">
      <alignment horizontal="center" vertical="center" wrapText="1"/>
    </xf>
    <xf numFmtId="165" fontId="5" fillId="10" borderId="9" xfId="5" applyNumberFormat="1" applyFont="1" applyFill="1" applyBorder="1" applyAlignment="1" applyProtection="1">
      <alignment horizontal="center" vertical="center" wrapText="1"/>
    </xf>
    <xf numFmtId="167" fontId="5" fillId="10" borderId="9" xfId="5" applyNumberFormat="1" applyFont="1" applyFill="1" applyBorder="1" applyAlignment="1" applyProtection="1">
      <alignment horizontal="center" vertical="center" wrapText="1"/>
    </xf>
    <xf numFmtId="0" fontId="5" fillId="10" borderId="14" xfId="5" applyNumberFormat="1" applyFont="1" applyFill="1" applyBorder="1" applyAlignment="1" applyProtection="1">
      <alignment vertical="center" wrapText="1"/>
    </xf>
    <xf numFmtId="2" fontId="5" fillId="7" borderId="8" xfId="0" applyNumberFormat="1" applyFont="1" applyFill="1" applyBorder="1" applyAlignment="1">
      <alignment horizontal="center" vertical="center" wrapText="1"/>
    </xf>
    <xf numFmtId="0" fontId="5" fillId="10" borderId="16" xfId="5" applyNumberFormat="1" applyFont="1" applyFill="1" applyBorder="1" applyAlignment="1" applyProtection="1">
      <alignment horizontal="left" vertical="center" wrapText="1"/>
    </xf>
    <xf numFmtId="44" fontId="6" fillId="11" borderId="10" xfId="2" applyFont="1" applyFill="1" applyBorder="1" applyAlignment="1">
      <alignment horizontal="center" vertical="center" wrapText="1"/>
    </xf>
    <xf numFmtId="0" fontId="5" fillId="10" borderId="11" xfId="5" applyNumberFormat="1" applyFont="1" applyFill="1" applyBorder="1" applyAlignment="1" applyProtection="1">
      <alignment vertical="center" wrapText="1"/>
    </xf>
    <xf numFmtId="0" fontId="5" fillId="10" borderId="16" xfId="5" applyNumberFormat="1" applyFont="1" applyFill="1" applyBorder="1" applyAlignment="1" applyProtection="1">
      <alignment vertical="center" wrapText="1"/>
    </xf>
    <xf numFmtId="0" fontId="5" fillId="10" borderId="1" xfId="5" applyNumberFormat="1" applyFont="1" applyFill="1" applyBorder="1" applyAlignment="1" applyProtection="1">
      <alignment horizontal="center" vertical="center" wrapText="1"/>
    </xf>
    <xf numFmtId="17" fontId="5" fillId="10" borderId="1" xfId="5" applyNumberFormat="1" applyFont="1" applyFill="1" applyBorder="1" applyAlignment="1" applyProtection="1">
      <alignment horizontal="center" vertical="center" wrapText="1"/>
    </xf>
    <xf numFmtId="168" fontId="5" fillId="10" borderId="1" xfId="5" applyNumberFormat="1" applyFont="1" applyFill="1" applyBorder="1" applyAlignment="1" applyProtection="1">
      <alignment horizontal="center" vertical="center" wrapText="1"/>
    </xf>
    <xf numFmtId="2" fontId="5" fillId="7" borderId="9" xfId="0" applyNumberFormat="1" applyFont="1" applyFill="1" applyBorder="1" applyAlignment="1">
      <alignment horizontal="center" vertical="center" wrapText="1"/>
    </xf>
    <xf numFmtId="0" fontId="5" fillId="10" borderId="17" xfId="5" applyNumberFormat="1" applyFont="1" applyFill="1" applyBorder="1" applyAlignment="1" applyProtection="1">
      <alignment vertical="center" wrapText="1"/>
    </xf>
    <xf numFmtId="9" fontId="5" fillId="2" borderId="9" xfId="6" applyFont="1" applyFill="1" applyBorder="1" applyAlignment="1" applyProtection="1">
      <alignment vertical="center" wrapText="1"/>
    </xf>
    <xf numFmtId="0" fontId="5" fillId="10" borderId="1" xfId="5" applyNumberFormat="1" applyFont="1" applyFill="1" applyBorder="1" applyAlignment="1" applyProtection="1">
      <alignment vertical="top" wrapText="1"/>
    </xf>
    <xf numFmtId="0" fontId="5" fillId="12" borderId="2" xfId="0" applyNumberFormat="1" applyFont="1" applyFill="1" applyBorder="1" applyAlignment="1" applyProtection="1">
      <alignment vertical="center" wrapText="1"/>
    </xf>
    <xf numFmtId="0" fontId="5" fillId="12" borderId="2" xfId="0" applyNumberFormat="1" applyFont="1" applyFill="1" applyBorder="1" applyAlignment="1" applyProtection="1">
      <alignment horizontal="left" vertical="center" wrapText="1"/>
    </xf>
    <xf numFmtId="1" fontId="5" fillId="12" borderId="2" xfId="5" applyNumberFormat="1" applyFont="1" applyFill="1" applyBorder="1" applyAlignment="1" applyProtection="1">
      <alignment horizontal="center" vertical="center" wrapText="1"/>
    </xf>
    <xf numFmtId="9" fontId="5" fillId="2" borderId="2" xfId="6" applyFont="1" applyFill="1" applyBorder="1" applyAlignment="1" applyProtection="1">
      <alignment horizontal="center" vertical="center" wrapText="1"/>
    </xf>
    <xf numFmtId="165" fontId="5" fillId="12" borderId="2" xfId="5" applyNumberFormat="1" applyFont="1" applyFill="1" applyBorder="1" applyAlignment="1" applyProtection="1">
      <alignment horizontal="center" vertical="center" wrapText="1"/>
    </xf>
    <xf numFmtId="44" fontId="5" fillId="12" borderId="2" xfId="2" applyFont="1" applyFill="1" applyBorder="1" applyAlignment="1" applyProtection="1">
      <alignment horizontal="center" vertical="center" wrapText="1"/>
    </xf>
    <xf numFmtId="0" fontId="5" fillId="12" borderId="2" xfId="5" applyNumberFormat="1" applyFont="1" applyFill="1" applyBorder="1" applyAlignment="1" applyProtection="1">
      <alignment vertical="center" wrapText="1"/>
    </xf>
    <xf numFmtId="0" fontId="5" fillId="12" borderId="18" xfId="5" applyNumberFormat="1" applyFont="1" applyFill="1" applyBorder="1" applyAlignment="1" applyProtection="1">
      <alignment vertical="center" wrapText="1"/>
    </xf>
    <xf numFmtId="0" fontId="4" fillId="2" borderId="9" xfId="4" applyNumberFormat="1" applyFont="1" applyFill="1" applyBorder="1" applyAlignment="1" applyProtection="1">
      <alignment vertical="center" wrapText="1"/>
    </xf>
    <xf numFmtId="10" fontId="5" fillId="2" borderId="10" xfId="5" applyNumberFormat="1" applyFont="1" applyFill="1" applyBorder="1" applyAlignment="1" applyProtection="1">
      <alignment vertical="center" wrapText="1"/>
    </xf>
    <xf numFmtId="43" fontId="4" fillId="2" borderId="1" xfId="1" applyFont="1" applyFill="1" applyBorder="1" applyAlignment="1" applyProtection="1">
      <alignment horizontal="center" vertical="center" wrapText="1"/>
    </xf>
    <xf numFmtId="0" fontId="5" fillId="2" borderId="1" xfId="5" applyNumberFormat="1" applyFont="1" applyFill="1" applyBorder="1" applyAlignment="1" applyProtection="1">
      <alignment vertical="top" wrapText="1"/>
    </xf>
    <xf numFmtId="0" fontId="5" fillId="12" borderId="1" xfId="0" applyNumberFormat="1" applyFont="1" applyFill="1" applyBorder="1" applyAlignment="1" applyProtection="1">
      <alignment vertical="center" wrapText="1"/>
    </xf>
    <xf numFmtId="0" fontId="5" fillId="12" borderId="10" xfId="0" applyNumberFormat="1" applyFont="1" applyFill="1" applyBorder="1" applyAlignment="1" applyProtection="1">
      <alignment horizontal="left" vertical="center" wrapText="1"/>
    </xf>
    <xf numFmtId="0" fontId="5" fillId="12" borderId="10" xfId="5" applyNumberFormat="1" applyFont="1" applyFill="1" applyBorder="1" applyAlignment="1" applyProtection="1">
      <alignment vertical="center" wrapText="1"/>
    </xf>
    <xf numFmtId="0" fontId="5" fillId="12" borderId="10" xfId="5" applyNumberFormat="1" applyFont="1" applyFill="1" applyBorder="1" applyAlignment="1" applyProtection="1">
      <alignment vertical="top" wrapText="1"/>
    </xf>
    <xf numFmtId="1" fontId="5" fillId="12" borderId="10" xfId="5" applyNumberFormat="1" applyFont="1" applyFill="1" applyBorder="1" applyAlignment="1" applyProtection="1">
      <alignment horizontal="center" vertical="center" wrapText="1"/>
    </xf>
    <xf numFmtId="0" fontId="5" fillId="12" borderId="8" xfId="0" applyNumberFormat="1" applyFont="1" applyFill="1" applyBorder="1" applyAlignment="1" applyProtection="1">
      <alignment vertical="center" wrapText="1"/>
    </xf>
    <xf numFmtId="0" fontId="5" fillId="12" borderId="10" xfId="0" applyNumberFormat="1" applyFont="1" applyFill="1" applyBorder="1" applyAlignment="1" applyProtection="1">
      <alignment vertical="center" wrapText="1"/>
    </xf>
    <xf numFmtId="164" fontId="5" fillId="12" borderId="10" xfId="5" applyNumberFormat="1" applyFont="1" applyFill="1" applyBorder="1" applyAlignment="1" applyProtection="1">
      <alignment horizontal="center" vertical="center" wrapText="1"/>
    </xf>
    <xf numFmtId="165" fontId="5" fillId="12" borderId="1" xfId="5" applyNumberFormat="1" applyFont="1" applyFill="1" applyBorder="1" applyAlignment="1" applyProtection="1">
      <alignment vertical="center" wrapText="1"/>
    </xf>
    <xf numFmtId="1" fontId="5" fillId="12" borderId="1" xfId="5" applyNumberFormat="1" applyFont="1" applyFill="1" applyBorder="1" applyAlignment="1" applyProtection="1">
      <alignment vertical="center" wrapText="1"/>
    </xf>
    <xf numFmtId="44" fontId="5" fillId="12" borderId="1" xfId="2" applyFont="1" applyFill="1" applyBorder="1" applyAlignment="1" applyProtection="1">
      <alignment vertical="center" wrapText="1"/>
    </xf>
    <xf numFmtId="1" fontId="5" fillId="12" borderId="10" xfId="5" applyNumberFormat="1" applyFont="1" applyFill="1" applyBorder="1" applyAlignment="1" applyProtection="1">
      <alignment vertical="center" wrapText="1"/>
    </xf>
    <xf numFmtId="0" fontId="5" fillId="12" borderId="1" xfId="0" applyNumberFormat="1" applyFont="1" applyFill="1" applyBorder="1" applyAlignment="1" applyProtection="1">
      <alignment horizontal="left" vertical="center" wrapText="1"/>
    </xf>
    <xf numFmtId="0" fontId="5" fillId="12" borderId="13" xfId="0" applyNumberFormat="1" applyFont="1" applyFill="1" applyBorder="1" applyAlignment="1" applyProtection="1">
      <alignment horizontal="left" vertical="center" wrapText="1"/>
    </xf>
    <xf numFmtId="0" fontId="5" fillId="12" borderId="16" xfId="0" applyNumberFormat="1" applyFont="1" applyFill="1" applyBorder="1" applyAlignment="1" applyProtection="1">
      <alignment horizontal="left" vertical="center" wrapText="1"/>
    </xf>
    <xf numFmtId="2" fontId="5" fillId="7" borderId="1" xfId="0" applyNumberFormat="1" applyFont="1" applyFill="1" applyBorder="1" applyAlignment="1">
      <alignment vertical="center" wrapText="1"/>
    </xf>
    <xf numFmtId="1" fontId="5" fillId="7" borderId="1" xfId="0" applyNumberFormat="1" applyFont="1" applyFill="1" applyBorder="1" applyAlignment="1">
      <alignment horizontal="center" vertical="center" wrapText="1"/>
    </xf>
    <xf numFmtId="165" fontId="5" fillId="12" borderId="1" xfId="5" applyNumberFormat="1" applyFont="1" applyFill="1" applyBorder="1" applyAlignment="1" applyProtection="1">
      <alignment horizontal="center" vertical="center" wrapText="1"/>
    </xf>
    <xf numFmtId="0" fontId="5" fillId="12" borderId="11" xfId="0" applyNumberFormat="1" applyFont="1" applyFill="1" applyBorder="1" applyAlignment="1" applyProtection="1">
      <alignment vertical="center" wrapText="1"/>
    </xf>
    <xf numFmtId="0" fontId="5" fillId="12" borderId="14" xfId="0" applyNumberFormat="1" applyFont="1" applyFill="1" applyBorder="1" applyAlignment="1" applyProtection="1">
      <alignment horizontal="left" vertical="center" wrapText="1"/>
    </xf>
    <xf numFmtId="0" fontId="5" fillId="12" borderId="17" xfId="0" applyNumberFormat="1" applyFont="1" applyFill="1" applyBorder="1" applyAlignment="1" applyProtection="1">
      <alignment horizontal="left" vertical="center" wrapText="1"/>
    </xf>
    <xf numFmtId="2" fontId="5" fillId="7" borderId="9" xfId="0" applyNumberFormat="1" applyFont="1" applyFill="1" applyBorder="1" applyAlignment="1">
      <alignment vertical="center" wrapText="1"/>
    </xf>
    <xf numFmtId="2" fontId="5" fillId="2" borderId="9" xfId="0" applyNumberFormat="1" applyFont="1" applyFill="1" applyBorder="1" applyAlignment="1">
      <alignment vertical="center" wrapText="1"/>
    </xf>
    <xf numFmtId="165" fontId="5" fillId="12" borderId="9" xfId="5" applyNumberFormat="1" applyFont="1" applyFill="1" applyBorder="1" applyAlignment="1" applyProtection="1">
      <alignment vertical="center" wrapText="1"/>
    </xf>
    <xf numFmtId="165" fontId="5" fillId="2" borderId="9" xfId="5" applyNumberFormat="1" applyFont="1" applyFill="1" applyBorder="1" applyAlignment="1" applyProtection="1">
      <alignment vertical="center" wrapText="1"/>
    </xf>
    <xf numFmtId="0" fontId="5" fillId="12" borderId="9" xfId="0" applyNumberFormat="1" applyFont="1" applyFill="1" applyBorder="1" applyAlignment="1" applyProtection="1">
      <alignment vertical="center" wrapText="1"/>
    </xf>
    <xf numFmtId="0" fontId="5" fillId="12" borderId="10" xfId="5" applyNumberFormat="1" applyFont="1" applyFill="1" applyBorder="1" applyAlignment="1" applyProtection="1">
      <alignment horizontal="center" vertical="center" wrapText="1"/>
    </xf>
    <xf numFmtId="0" fontId="5" fillId="12" borderId="10" xfId="5" applyNumberFormat="1" applyFont="1" applyFill="1" applyBorder="1" applyAlignment="1" applyProtection="1">
      <alignment horizontal="center" vertical="top" wrapText="1"/>
    </xf>
    <xf numFmtId="0" fontId="5" fillId="2" borderId="10" xfId="0" applyNumberFormat="1" applyFont="1" applyFill="1" applyBorder="1" applyAlignment="1" applyProtection="1">
      <alignment vertical="center" wrapText="1"/>
    </xf>
    <xf numFmtId="0" fontId="5" fillId="2" borderId="10" xfId="0" applyNumberFormat="1" applyFont="1" applyFill="1" applyBorder="1" applyAlignment="1" applyProtection="1">
      <alignment horizontal="left" vertical="center" wrapText="1"/>
    </xf>
    <xf numFmtId="169" fontId="4" fillId="2" borderId="10" xfId="1" applyNumberFormat="1" applyFont="1" applyFill="1" applyBorder="1" applyAlignment="1" applyProtection="1">
      <alignment horizontal="center" vertical="center" wrapText="1"/>
    </xf>
    <xf numFmtId="0" fontId="5" fillId="2" borderId="10" xfId="5" applyNumberFormat="1" applyFont="1" applyFill="1" applyBorder="1" applyAlignment="1" applyProtection="1">
      <alignment horizontal="justify" vertical="top" wrapText="1"/>
    </xf>
    <xf numFmtId="1" fontId="5" fillId="2" borderId="10" xfId="5" applyNumberFormat="1" applyFont="1" applyFill="1" applyBorder="1" applyAlignment="1" applyProtection="1">
      <alignment horizontal="center" vertical="center" wrapText="1"/>
    </xf>
    <xf numFmtId="0" fontId="4" fillId="13" borderId="10" xfId="0" applyNumberFormat="1" applyFont="1" applyFill="1" applyBorder="1" applyAlignment="1" applyProtection="1">
      <alignment vertical="center" wrapText="1"/>
    </xf>
    <xf numFmtId="0" fontId="5" fillId="13" borderId="10" xfId="0" applyNumberFormat="1" applyFont="1" applyFill="1" applyBorder="1" applyAlignment="1" applyProtection="1">
      <alignment vertical="center" wrapText="1"/>
    </xf>
    <xf numFmtId="0" fontId="5" fillId="13" borderId="10" xfId="0" applyNumberFormat="1" applyFont="1" applyFill="1" applyBorder="1" applyAlignment="1" applyProtection="1">
      <alignment horizontal="left" vertical="center" wrapText="1"/>
    </xf>
    <xf numFmtId="43" fontId="4" fillId="13" borderId="10" xfId="1" applyFont="1" applyFill="1" applyBorder="1" applyAlignment="1" applyProtection="1">
      <alignment horizontal="left" vertical="center" wrapText="1"/>
    </xf>
    <xf numFmtId="0" fontId="5" fillId="13" borderId="10" xfId="5" applyNumberFormat="1" applyFont="1" applyFill="1" applyBorder="1" applyAlignment="1" applyProtection="1">
      <alignment horizontal="center" vertical="center" wrapText="1"/>
    </xf>
    <xf numFmtId="0" fontId="5" fillId="13" borderId="10" xfId="5" applyNumberFormat="1" applyFont="1" applyFill="1" applyBorder="1" applyAlignment="1" applyProtection="1">
      <alignment horizontal="justify" vertical="top" wrapText="1"/>
    </xf>
    <xf numFmtId="170" fontId="5" fillId="12" borderId="1" xfId="5" applyNumberFormat="1" applyFont="1" applyFill="1" applyBorder="1" applyAlignment="1" applyProtection="1">
      <alignment vertical="center" wrapText="1"/>
    </xf>
    <xf numFmtId="10" fontId="5" fillId="12" borderId="9" xfId="6" applyNumberFormat="1" applyFont="1" applyFill="1" applyBorder="1" applyAlignment="1" applyProtection="1">
      <alignment horizontal="justify" vertical="center" wrapText="1"/>
    </xf>
    <xf numFmtId="0" fontId="5" fillId="12" borderId="9" xfId="0" applyNumberFormat="1" applyFont="1" applyFill="1" applyBorder="1" applyAlignment="1" applyProtection="1">
      <alignment horizontal="left" vertical="center" wrapText="1"/>
    </xf>
    <xf numFmtId="0" fontId="5" fillId="12" borderId="1" xfId="5" applyNumberFormat="1" applyFont="1" applyFill="1" applyBorder="1" applyAlignment="1" applyProtection="1">
      <alignment horizontal="center" vertical="center" wrapText="1"/>
    </xf>
    <xf numFmtId="0" fontId="5" fillId="12" borderId="8" xfId="5" applyNumberFormat="1" applyFont="1" applyFill="1" applyBorder="1" applyAlignment="1" applyProtection="1">
      <alignment horizontal="center" vertical="center" wrapText="1"/>
    </xf>
    <xf numFmtId="0" fontId="5" fillId="12" borderId="9" xfId="5" applyNumberFormat="1" applyFont="1" applyFill="1" applyBorder="1" applyAlignment="1" applyProtection="1">
      <alignment horizontal="center" vertical="center" wrapText="1"/>
    </xf>
    <xf numFmtId="165" fontId="5" fillId="12" borderId="9" xfId="5" applyNumberFormat="1" applyFont="1" applyFill="1" applyBorder="1" applyAlignment="1" applyProtection="1">
      <alignment horizontal="center" vertical="center" wrapText="1"/>
    </xf>
    <xf numFmtId="44" fontId="5" fillId="12" borderId="9" xfId="2" applyFont="1" applyFill="1" applyBorder="1" applyAlignment="1" applyProtection="1">
      <alignment horizontal="center" vertical="center" wrapText="1"/>
    </xf>
    <xf numFmtId="0" fontId="5" fillId="12" borderId="9" xfId="5" applyNumberFormat="1" applyFont="1" applyFill="1" applyBorder="1" applyAlignment="1" applyProtection="1">
      <alignment horizontal="justify" vertical="center" wrapText="1"/>
    </xf>
    <xf numFmtId="170" fontId="5" fillId="12" borderId="8" xfId="5" applyNumberFormat="1" applyFont="1" applyFill="1" applyBorder="1" applyAlignment="1" applyProtection="1">
      <alignment vertical="center" wrapText="1"/>
    </xf>
    <xf numFmtId="9" fontId="5" fillId="12" borderId="10" xfId="6" applyFont="1" applyFill="1" applyBorder="1" applyAlignment="1" applyProtection="1">
      <alignment horizontal="center" vertical="center" wrapText="1"/>
    </xf>
    <xf numFmtId="9" fontId="5" fillId="12" borderId="1" xfId="6" applyFont="1" applyFill="1" applyBorder="1" applyAlignment="1" applyProtection="1">
      <alignment horizontal="center" vertical="center" wrapText="1"/>
    </xf>
    <xf numFmtId="165" fontId="5" fillId="12" borderId="1" xfId="6" applyNumberFormat="1" applyFont="1" applyFill="1" applyBorder="1" applyAlignment="1" applyProtection="1">
      <alignment horizontal="center" vertical="center" wrapText="1"/>
    </xf>
    <xf numFmtId="44" fontId="5" fillId="12" borderId="1" xfId="2" applyFont="1" applyFill="1" applyBorder="1" applyAlignment="1" applyProtection="1">
      <alignment horizontal="center" vertical="center" wrapText="1"/>
    </xf>
    <xf numFmtId="0" fontId="5" fillId="12" borderId="1" xfId="5" applyNumberFormat="1" applyFont="1" applyFill="1" applyBorder="1" applyAlignment="1" applyProtection="1">
      <alignment horizontal="justify" vertical="center" wrapText="1"/>
    </xf>
    <xf numFmtId="10" fontId="5" fillId="12" borderId="1" xfId="0" applyNumberFormat="1" applyFont="1" applyFill="1" applyBorder="1" applyAlignment="1" applyProtection="1">
      <alignment vertical="center" wrapText="1"/>
    </xf>
    <xf numFmtId="10" fontId="5" fillId="12" borderId="1" xfId="0" applyNumberFormat="1" applyFont="1" applyFill="1" applyBorder="1" applyAlignment="1" applyProtection="1">
      <alignment vertical="top" wrapText="1"/>
    </xf>
    <xf numFmtId="0" fontId="5" fillId="2" borderId="10" xfId="4" applyNumberFormat="1" applyFont="1" applyFill="1" applyBorder="1" applyAlignment="1" applyProtection="1">
      <alignment horizontal="center" vertical="center" wrapText="1"/>
    </xf>
    <xf numFmtId="43" fontId="4" fillId="2" borderId="10" xfId="1" applyFont="1" applyFill="1" applyBorder="1" applyAlignment="1" applyProtection="1">
      <alignment horizontal="center" vertical="center" wrapText="1"/>
    </xf>
    <xf numFmtId="169" fontId="5" fillId="2" borderId="10" xfId="7" applyNumberFormat="1" applyFont="1" applyFill="1" applyBorder="1" applyAlignment="1" applyProtection="1">
      <alignment horizontal="center" vertical="center" wrapText="1"/>
    </xf>
    <xf numFmtId="9" fontId="5" fillId="6" borderId="8" xfId="6" applyFont="1" applyFill="1" applyBorder="1" applyAlignment="1" applyProtection="1">
      <alignment horizontal="center" vertical="center" wrapText="1"/>
    </xf>
    <xf numFmtId="0" fontId="5" fillId="6" borderId="10" xfId="5" applyNumberFormat="1" applyFont="1" applyFill="1" applyBorder="1" applyAlignment="1" applyProtection="1">
      <alignment horizontal="center" vertical="center" wrapText="1"/>
    </xf>
    <xf numFmtId="0" fontId="5" fillId="6" borderId="8" xfId="5" applyNumberFormat="1" applyFont="1" applyFill="1" applyBorder="1" applyAlignment="1" applyProtection="1">
      <alignment vertical="center" wrapText="1"/>
    </xf>
    <xf numFmtId="165" fontId="5" fillId="6" borderId="10" xfId="6" applyNumberFormat="1" applyFont="1" applyFill="1" applyBorder="1" applyAlignment="1" applyProtection="1">
      <alignment horizontal="center" vertical="center" wrapText="1"/>
    </xf>
    <xf numFmtId="44" fontId="5" fillId="6" borderId="10" xfId="2" applyFont="1" applyFill="1" applyBorder="1" applyAlignment="1" applyProtection="1">
      <alignment horizontal="center" vertical="center" wrapText="1"/>
    </xf>
    <xf numFmtId="0" fontId="5" fillId="6" borderId="11" xfId="5" applyNumberFormat="1" applyFont="1" applyFill="1" applyBorder="1" applyAlignment="1" applyProtection="1">
      <alignment horizontal="center" vertical="center" wrapText="1"/>
    </xf>
    <xf numFmtId="0" fontId="5" fillId="6" borderId="19" xfId="5" applyNumberFormat="1" applyFont="1" applyFill="1" applyBorder="1" applyAlignment="1" applyProtection="1">
      <alignment horizontal="center" vertical="center" wrapText="1"/>
    </xf>
    <xf numFmtId="171" fontId="5" fillId="6" borderId="1" xfId="4" applyNumberFormat="1" applyFont="1" applyFill="1" applyBorder="1" applyAlignment="1" applyProtection="1">
      <alignment horizontal="center" vertical="center" wrapText="1"/>
    </xf>
    <xf numFmtId="3" fontId="5" fillId="6" borderId="10" xfId="5" applyNumberFormat="1" applyFont="1" applyFill="1" applyBorder="1" applyAlignment="1" applyProtection="1">
      <alignment horizontal="center" vertical="center" wrapText="1"/>
    </xf>
    <xf numFmtId="3" fontId="5" fillId="6" borderId="1" xfId="5" applyNumberFormat="1" applyFont="1" applyFill="1" applyBorder="1" applyAlignment="1" applyProtection="1">
      <alignment vertical="center" wrapText="1"/>
    </xf>
    <xf numFmtId="44" fontId="5" fillId="6" borderId="1" xfId="2" applyFont="1" applyFill="1" applyBorder="1" applyAlignment="1" applyProtection="1">
      <alignment vertical="center" wrapText="1"/>
    </xf>
    <xf numFmtId="3" fontId="5" fillId="6" borderId="9" xfId="5" applyNumberFormat="1" applyFont="1" applyFill="1" applyBorder="1" applyAlignment="1" applyProtection="1">
      <alignment vertical="center" wrapText="1"/>
    </xf>
    <xf numFmtId="3" fontId="5" fillId="2" borderId="9" xfId="5" applyNumberFormat="1" applyFont="1" applyFill="1" applyBorder="1" applyAlignment="1" applyProtection="1">
      <alignment vertical="center" wrapText="1"/>
    </xf>
    <xf numFmtId="170" fontId="5" fillId="12" borderId="9" xfId="5" applyNumberFormat="1" applyFont="1" applyFill="1" applyBorder="1" applyAlignment="1" applyProtection="1">
      <alignment vertical="center" wrapText="1"/>
    </xf>
    <xf numFmtId="0" fontId="5" fillId="6" borderId="9" xfId="5" applyNumberFormat="1" applyFont="1" applyFill="1" applyBorder="1" applyAlignment="1" applyProtection="1">
      <alignment vertical="center" wrapText="1"/>
    </xf>
    <xf numFmtId="0" fontId="4" fillId="13" borderId="10" xfId="5" applyNumberFormat="1" applyFont="1" applyFill="1" applyBorder="1" applyAlignment="1" applyProtection="1">
      <alignment vertical="center" wrapText="1"/>
    </xf>
    <xf numFmtId="0" fontId="5" fillId="13" borderId="10" xfId="5" applyNumberFormat="1" applyFont="1" applyFill="1" applyBorder="1" applyAlignment="1" applyProtection="1">
      <alignment vertical="center" wrapText="1"/>
    </xf>
    <xf numFmtId="43" fontId="4" fillId="13" borderId="10" xfId="5" applyNumberFormat="1" applyFont="1" applyFill="1" applyBorder="1" applyAlignment="1" applyProtection="1">
      <alignment vertical="center" wrapText="1"/>
    </xf>
    <xf numFmtId="0" fontId="5" fillId="13" borderId="10" xfId="5" applyNumberFormat="1" applyFont="1" applyFill="1" applyBorder="1" applyAlignment="1" applyProtection="1">
      <alignment vertical="top" wrapText="1"/>
    </xf>
    <xf numFmtId="0" fontId="5" fillId="6" borderId="6" xfId="5" applyNumberFormat="1" applyFont="1" applyFill="1" applyBorder="1" applyAlignment="1" applyProtection="1">
      <alignment vertical="center" wrapText="1"/>
    </xf>
    <xf numFmtId="2" fontId="5" fillId="6" borderId="10" xfId="5" applyNumberFormat="1" applyFont="1" applyFill="1" applyBorder="1" applyAlignment="1" applyProtection="1">
      <alignment horizontal="center" vertical="center" wrapText="1"/>
    </xf>
    <xf numFmtId="0" fontId="5" fillId="6" borderId="6" xfId="5" applyNumberFormat="1" applyFont="1" applyFill="1" applyBorder="1" applyAlignment="1" applyProtection="1">
      <alignment horizontal="center" vertical="center" wrapText="1"/>
    </xf>
    <xf numFmtId="165" fontId="5" fillId="6" borderId="10" xfId="5" applyNumberFormat="1" applyFont="1" applyFill="1" applyBorder="1" applyAlignment="1" applyProtection="1">
      <alignment horizontal="center" vertical="center" wrapText="1"/>
    </xf>
    <xf numFmtId="0" fontId="5" fillId="6" borderId="9" xfId="5" applyNumberFormat="1" applyFont="1" applyFill="1" applyBorder="1" applyAlignment="1" applyProtection="1">
      <alignment horizontal="center" vertical="center" wrapText="1"/>
    </xf>
    <xf numFmtId="44" fontId="5" fillId="6" borderId="9" xfId="2" applyFont="1" applyFill="1" applyBorder="1" applyAlignment="1" applyProtection="1">
      <alignment horizontal="center" vertical="center" wrapText="1"/>
    </xf>
    <xf numFmtId="10" fontId="5" fillId="2" borderId="9" xfId="6" applyNumberFormat="1" applyFont="1" applyFill="1" applyBorder="1" applyAlignment="1" applyProtection="1">
      <alignment horizontal="center" vertical="center" wrapText="1"/>
    </xf>
    <xf numFmtId="0" fontId="5" fillId="2" borderId="8" xfId="5" applyNumberFormat="1" applyFont="1" applyFill="1" applyBorder="1" applyAlignment="1" applyProtection="1">
      <alignment vertical="center" wrapText="1"/>
    </xf>
    <xf numFmtId="165" fontId="5" fillId="6" borderId="9" xfId="5" applyNumberFormat="1" applyFont="1" applyFill="1" applyBorder="1" applyAlignment="1" applyProtection="1">
      <alignment horizontal="center" vertical="center" wrapText="1"/>
    </xf>
    <xf numFmtId="0" fontId="5" fillId="2" borderId="9" xfId="5" applyNumberFormat="1" applyFont="1" applyFill="1" applyBorder="1" applyAlignment="1" applyProtection="1">
      <alignment vertical="center" wrapText="1"/>
    </xf>
    <xf numFmtId="0" fontId="5" fillId="6" borderId="10" xfId="0" applyNumberFormat="1" applyFont="1" applyFill="1" applyBorder="1" applyAlignment="1" applyProtection="1">
      <alignment horizontal="left" vertical="center" wrapText="1"/>
    </xf>
    <xf numFmtId="0" fontId="5" fillId="6" borderId="10" xfId="0" applyNumberFormat="1" applyFont="1" applyFill="1" applyBorder="1" applyAlignment="1" applyProtection="1">
      <alignment vertical="center" wrapText="1"/>
    </xf>
    <xf numFmtId="165" fontId="5" fillId="6" borderId="10" xfId="0" applyNumberFormat="1" applyFont="1" applyFill="1" applyBorder="1" applyAlignment="1" applyProtection="1">
      <alignment horizontal="left" vertical="center" wrapText="1"/>
    </xf>
    <xf numFmtId="172" fontId="5" fillId="6" borderId="10" xfId="0" applyNumberFormat="1" applyFont="1" applyFill="1" applyBorder="1" applyAlignment="1" applyProtection="1">
      <alignment horizontal="left" vertical="center" wrapText="1"/>
    </xf>
    <xf numFmtId="0" fontId="6" fillId="6" borderId="10" xfId="0" applyFont="1" applyFill="1" applyBorder="1" applyAlignment="1">
      <alignment vertical="center" wrapText="1"/>
    </xf>
    <xf numFmtId="0" fontId="5" fillId="6" borderId="9" xfId="0" applyNumberFormat="1" applyFont="1" applyFill="1" applyBorder="1" applyAlignment="1" applyProtection="1">
      <alignment horizontal="left" vertical="center" wrapText="1"/>
    </xf>
    <xf numFmtId="0" fontId="5" fillId="6" borderId="10" xfId="4" applyFont="1" applyFill="1" applyBorder="1" applyAlignment="1">
      <alignment horizontal="center" vertical="center" wrapText="1"/>
    </xf>
    <xf numFmtId="0" fontId="5" fillId="6" borderId="10" xfId="0" applyFont="1" applyFill="1" applyBorder="1" applyAlignment="1">
      <alignment horizontal="center" vertical="center" wrapText="1"/>
    </xf>
    <xf numFmtId="167" fontId="5" fillId="6" borderId="10" xfId="0" applyNumberFormat="1" applyFont="1" applyFill="1" applyBorder="1" applyAlignment="1">
      <alignment horizontal="center" vertical="center" wrapText="1"/>
    </xf>
    <xf numFmtId="10" fontId="5" fillId="2" borderId="10" xfId="6" applyNumberFormat="1" applyFont="1" applyFill="1" applyBorder="1" applyAlignment="1">
      <alignment horizontal="center" vertical="center" wrapText="1"/>
    </xf>
    <xf numFmtId="0" fontId="5" fillId="6" borderId="10" xfId="5" applyNumberFormat="1" applyFont="1" applyFill="1" applyBorder="1" applyAlignment="1" applyProtection="1">
      <alignment vertical="top" wrapText="1"/>
    </xf>
    <xf numFmtId="0" fontId="5" fillId="6" borderId="15" xfId="5" applyNumberFormat="1" applyFont="1" applyFill="1" applyBorder="1" applyAlignment="1" applyProtection="1">
      <alignment vertical="center" wrapText="1"/>
    </xf>
    <xf numFmtId="2" fontId="5" fillId="6" borderId="12" xfId="5" applyNumberFormat="1" applyFont="1" applyFill="1" applyBorder="1" applyAlignment="1" applyProtection="1">
      <alignment horizontal="center" vertical="center" wrapText="1"/>
    </xf>
    <xf numFmtId="164" fontId="5" fillId="6" borderId="10" xfId="5" applyNumberFormat="1" applyFont="1" applyFill="1" applyBorder="1" applyAlignment="1" applyProtection="1">
      <alignment horizontal="center" vertical="center" wrapText="1"/>
    </xf>
    <xf numFmtId="0" fontId="5" fillId="6" borderId="10" xfId="0" applyFont="1" applyFill="1" applyBorder="1" applyAlignment="1">
      <alignment vertical="center" wrapText="1"/>
    </xf>
    <xf numFmtId="167" fontId="5" fillId="6" borderId="10" xfId="1" applyNumberFormat="1" applyFont="1" applyFill="1" applyBorder="1" applyAlignment="1">
      <alignment vertical="center" wrapText="1"/>
    </xf>
    <xf numFmtId="165" fontId="5" fillId="6" borderId="9" xfId="0" applyNumberFormat="1" applyFont="1" applyFill="1" applyBorder="1" applyAlignment="1" applyProtection="1">
      <alignment horizontal="left" vertical="center" wrapText="1"/>
    </xf>
    <xf numFmtId="165" fontId="5" fillId="6" borderId="1" xfId="5" applyNumberFormat="1" applyFont="1" applyFill="1" applyBorder="1" applyAlignment="1" applyProtection="1">
      <alignment vertical="center" wrapText="1"/>
    </xf>
    <xf numFmtId="10" fontId="5" fillId="2" borderId="1" xfId="6" applyNumberFormat="1" applyFont="1" applyFill="1" applyBorder="1" applyAlignment="1" applyProtection="1">
      <alignment horizontal="center" vertical="center" wrapText="1"/>
    </xf>
    <xf numFmtId="165" fontId="5" fillId="6" borderId="9" xfId="5" applyNumberFormat="1" applyFont="1" applyFill="1" applyBorder="1" applyAlignment="1" applyProtection="1">
      <alignment vertical="center" wrapText="1"/>
    </xf>
    <xf numFmtId="43" fontId="4" fillId="2" borderId="10" xfId="1" applyFont="1" applyFill="1" applyBorder="1" applyAlignment="1" applyProtection="1">
      <alignment vertical="center" wrapText="1"/>
    </xf>
    <xf numFmtId="3" fontId="5" fillId="2" borderId="10" xfId="5" applyNumberFormat="1" applyFont="1" applyFill="1" applyBorder="1" applyAlignment="1" applyProtection="1">
      <alignment horizontal="center" vertical="center" wrapText="1"/>
    </xf>
    <xf numFmtId="0" fontId="5" fillId="12" borderId="1" xfId="5" applyNumberFormat="1" applyFont="1" applyFill="1" applyBorder="1" applyAlignment="1" applyProtection="1">
      <alignment vertical="center" wrapText="1"/>
    </xf>
    <xf numFmtId="2" fontId="5" fillId="12" borderId="10" xfId="5" applyNumberFormat="1" applyFont="1" applyFill="1" applyBorder="1" applyAlignment="1" applyProtection="1">
      <alignment horizontal="center" vertical="center" wrapText="1"/>
    </xf>
    <xf numFmtId="165" fontId="5" fillId="12" borderId="10" xfId="5" applyNumberFormat="1" applyFont="1" applyFill="1" applyBorder="1" applyAlignment="1" applyProtection="1">
      <alignment horizontal="center" vertical="center" wrapText="1"/>
    </xf>
    <xf numFmtId="44" fontId="5" fillId="12" borderId="10" xfId="2" applyFont="1" applyFill="1" applyBorder="1" applyAlignment="1" applyProtection="1">
      <alignment horizontal="center" vertical="center" wrapText="1"/>
    </xf>
    <xf numFmtId="0" fontId="5" fillId="12" borderId="8" xfId="5" applyNumberFormat="1" applyFont="1" applyFill="1" applyBorder="1" applyAlignment="1" applyProtection="1">
      <alignment vertical="center" wrapText="1"/>
    </xf>
    <xf numFmtId="0" fontId="5" fillId="12" borderId="10" xfId="4" applyNumberFormat="1" applyFont="1" applyFill="1" applyBorder="1" applyAlignment="1" applyProtection="1">
      <alignment horizontal="center" vertical="center" wrapText="1"/>
    </xf>
    <xf numFmtId="0" fontId="5" fillId="12" borderId="1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14" borderId="10" xfId="0" applyFont="1" applyFill="1" applyBorder="1" applyAlignment="1">
      <alignment vertical="center" wrapText="1"/>
    </xf>
    <xf numFmtId="0" fontId="5" fillId="14" borderId="10" xfId="0" applyNumberFormat="1" applyFont="1" applyFill="1" applyBorder="1" applyAlignment="1" applyProtection="1">
      <alignment horizontal="left" vertical="center" wrapText="1"/>
    </xf>
    <xf numFmtId="0" fontId="5" fillId="14" borderId="10" xfId="0" applyNumberFormat="1" applyFont="1" applyFill="1" applyBorder="1" applyAlignment="1" applyProtection="1">
      <alignment horizontal="center" vertical="center" wrapText="1"/>
    </xf>
    <xf numFmtId="43" fontId="5" fillId="14" borderId="10" xfId="1" applyNumberFormat="1" applyFont="1" applyFill="1" applyBorder="1" applyAlignment="1">
      <alignment vertical="center" wrapText="1"/>
    </xf>
    <xf numFmtId="165" fontId="5" fillId="14" borderId="10" xfId="0" applyNumberFormat="1" applyFont="1" applyFill="1" applyBorder="1" applyAlignment="1" applyProtection="1">
      <alignment horizontal="left" vertical="center" wrapText="1"/>
    </xf>
    <xf numFmtId="165" fontId="5" fillId="14" borderId="10" xfId="0" applyNumberFormat="1" applyFont="1" applyFill="1" applyBorder="1" applyAlignment="1" applyProtection="1">
      <alignment horizontal="center" vertical="center" wrapText="1"/>
    </xf>
    <xf numFmtId="0" fontId="5" fillId="12" borderId="10" xfId="0" applyNumberFormat="1" applyFont="1" applyFill="1" applyBorder="1" applyAlignment="1" applyProtection="1">
      <alignment horizontal="center" vertical="center" wrapText="1"/>
    </xf>
    <xf numFmtId="0" fontId="5" fillId="12" borderId="10" xfId="5" applyNumberFormat="1" applyFont="1" applyFill="1" applyBorder="1" applyAlignment="1" applyProtection="1">
      <alignment horizontal="justify" vertical="top" wrapText="1"/>
    </xf>
    <xf numFmtId="0" fontId="5" fillId="12" borderId="9" xfId="5" applyNumberFormat="1" applyFont="1" applyFill="1" applyBorder="1" applyAlignment="1" applyProtection="1">
      <alignment vertical="center" wrapText="1"/>
    </xf>
    <xf numFmtId="165" fontId="5" fillId="12" borderId="10" xfId="6" applyNumberFormat="1" applyFont="1" applyFill="1" applyBorder="1" applyAlignment="1" applyProtection="1">
      <alignment horizontal="center" vertical="center" wrapText="1"/>
    </xf>
    <xf numFmtId="0" fontId="4" fillId="2" borderId="1" xfId="4" applyNumberFormat="1" applyFont="1" applyFill="1" applyBorder="1" applyAlignment="1" applyProtection="1">
      <alignment vertical="center" wrapText="1"/>
    </xf>
    <xf numFmtId="169" fontId="4" fillId="2" borderId="1" xfId="1" applyNumberFormat="1" applyFont="1" applyFill="1" applyBorder="1" applyAlignment="1" applyProtection="1">
      <alignment vertical="center" wrapText="1"/>
    </xf>
    <xf numFmtId="0" fontId="5" fillId="13" borderId="9" xfId="0" applyNumberFormat="1" applyFont="1" applyFill="1" applyBorder="1" applyAlignment="1" applyProtection="1">
      <alignment vertical="center" wrapText="1"/>
    </xf>
    <xf numFmtId="0" fontId="5" fillId="13" borderId="10" xfId="0" applyNumberFormat="1" applyFont="1" applyFill="1" applyBorder="1" applyAlignment="1" applyProtection="1">
      <alignment horizontal="center" vertical="center" wrapText="1"/>
    </xf>
    <xf numFmtId="0" fontId="5" fillId="13" borderId="1" xfId="0" applyNumberFormat="1" applyFont="1" applyFill="1" applyBorder="1" applyAlignment="1" applyProtection="1">
      <alignment horizontal="center" vertical="center" wrapText="1"/>
    </xf>
    <xf numFmtId="9" fontId="4" fillId="13" borderId="1" xfId="6" applyFont="1" applyFill="1" applyBorder="1" applyAlignment="1" applyProtection="1">
      <alignment vertical="center" wrapText="1"/>
    </xf>
    <xf numFmtId="0" fontId="5" fillId="13" borderId="10" xfId="5" applyNumberFormat="1" applyFont="1" applyFill="1" applyBorder="1" applyAlignment="1" applyProtection="1">
      <alignment horizontal="center" vertical="top" wrapText="1"/>
    </xf>
    <xf numFmtId="1" fontId="5" fillId="13" borderId="10" xfId="5" applyNumberFormat="1" applyFont="1" applyFill="1" applyBorder="1" applyAlignment="1" applyProtection="1">
      <alignment horizontal="center" vertical="center" wrapText="1"/>
    </xf>
    <xf numFmtId="0" fontId="4" fillId="15" borderId="10" xfId="5" applyNumberFormat="1" applyFont="1" applyFill="1" applyBorder="1" applyAlignment="1" applyProtection="1">
      <alignment vertical="center" wrapText="1"/>
    </xf>
    <xf numFmtId="0" fontId="5" fillId="15" borderId="10" xfId="0" applyNumberFormat="1" applyFont="1" applyFill="1" applyBorder="1" applyAlignment="1" applyProtection="1">
      <alignment vertical="center" wrapText="1"/>
    </xf>
    <xf numFmtId="0" fontId="5" fillId="15" borderId="10" xfId="0" applyNumberFormat="1" applyFont="1" applyFill="1" applyBorder="1" applyAlignment="1" applyProtection="1">
      <alignment horizontal="center" vertical="center" wrapText="1"/>
    </xf>
    <xf numFmtId="9" fontId="4" fillId="15" borderId="10" xfId="6" applyFont="1" applyFill="1" applyBorder="1" applyAlignment="1" applyProtection="1">
      <alignment vertical="center" wrapText="1"/>
    </xf>
    <xf numFmtId="0" fontId="5" fillId="15" borderId="10" xfId="5" applyNumberFormat="1" applyFont="1" applyFill="1" applyBorder="1" applyAlignment="1" applyProtection="1">
      <alignment horizontal="center" vertical="center" wrapText="1"/>
    </xf>
    <xf numFmtId="0" fontId="5" fillId="15" borderId="10" xfId="5" applyNumberFormat="1" applyFont="1" applyFill="1" applyBorder="1" applyAlignment="1" applyProtection="1">
      <alignment horizontal="center" vertical="top" wrapText="1"/>
    </xf>
    <xf numFmtId="170" fontId="5" fillId="15" borderId="10" xfId="5" applyNumberFormat="1" applyFont="1" applyFill="1" applyBorder="1" applyAlignment="1" applyProtection="1">
      <alignment horizontal="center" vertical="center" wrapText="1"/>
    </xf>
    <xf numFmtId="10" fontId="5" fillId="6" borderId="1" xfId="5" applyNumberFormat="1" applyFont="1" applyFill="1" applyBorder="1" applyAlignment="1" applyProtection="1">
      <alignment vertical="center" wrapText="1"/>
    </xf>
    <xf numFmtId="43" fontId="5" fillId="6" borderId="10" xfId="1" applyFont="1" applyFill="1" applyBorder="1" applyAlignment="1" applyProtection="1">
      <alignment horizontal="center" vertical="center" wrapText="1"/>
    </xf>
    <xf numFmtId="9" fontId="5" fillId="2" borderId="1" xfId="6" applyFont="1" applyFill="1" applyBorder="1" applyAlignment="1" applyProtection="1">
      <alignment vertical="center" wrapText="1"/>
    </xf>
    <xf numFmtId="0" fontId="5" fillId="6" borderId="8" xfId="5" applyNumberFormat="1" applyFont="1" applyFill="1" applyBorder="1" applyAlignment="1" applyProtection="1">
      <alignment vertical="center" textRotation="255" wrapText="1"/>
    </xf>
    <xf numFmtId="10" fontId="5" fillId="6" borderId="8" xfId="5" applyNumberFormat="1" applyFont="1" applyFill="1" applyBorder="1" applyAlignment="1" applyProtection="1">
      <alignment vertical="center" wrapText="1"/>
    </xf>
    <xf numFmtId="0" fontId="5" fillId="6" borderId="1" xfId="5" applyNumberFormat="1" applyFont="1" applyFill="1" applyBorder="1" applyAlignment="1" applyProtection="1">
      <alignment horizontal="center" vertical="top" wrapText="1"/>
    </xf>
    <xf numFmtId="0" fontId="5" fillId="6" borderId="1" xfId="0" applyNumberFormat="1" applyFont="1" applyFill="1" applyBorder="1" applyAlignment="1" applyProtection="1">
      <alignment horizontal="center" vertical="center" wrapText="1"/>
    </xf>
    <xf numFmtId="10" fontId="5" fillId="6" borderId="10" xfId="5" applyNumberFormat="1" applyFont="1" applyFill="1" applyBorder="1" applyAlignment="1" applyProtection="1">
      <alignment horizontal="center" vertical="center" wrapText="1"/>
    </xf>
    <xf numFmtId="0" fontId="5" fillId="6" borderId="10" xfId="0" applyNumberFormat="1" applyFont="1" applyFill="1" applyBorder="1" applyAlignment="1" applyProtection="1">
      <alignment vertical="top" wrapText="1"/>
    </xf>
    <xf numFmtId="0" fontId="5" fillId="6" borderId="15" xfId="0" applyNumberFormat="1" applyFont="1" applyFill="1" applyBorder="1" applyAlignment="1" applyProtection="1">
      <alignment horizontal="center" vertical="center" wrapText="1"/>
    </xf>
    <xf numFmtId="9" fontId="5" fillId="6" borderId="1" xfId="6" applyFont="1" applyFill="1" applyBorder="1" applyAlignment="1" applyProtection="1">
      <alignment horizontal="center" vertical="center" wrapText="1"/>
    </xf>
    <xf numFmtId="9" fontId="5" fillId="6" borderId="1" xfId="6" applyFont="1" applyFill="1" applyBorder="1" applyAlignment="1" applyProtection="1">
      <alignment vertical="center" wrapText="1"/>
    </xf>
    <xf numFmtId="164" fontId="5" fillId="6" borderId="1" xfId="6" applyNumberFormat="1" applyFont="1" applyFill="1" applyBorder="1" applyAlignment="1" applyProtection="1">
      <alignment vertical="center" wrapText="1"/>
    </xf>
    <xf numFmtId="172" fontId="5" fillId="6" borderId="10" xfId="2" applyNumberFormat="1" applyFont="1" applyFill="1" applyBorder="1" applyAlignment="1" applyProtection="1">
      <alignment horizontal="center" vertical="center" wrapText="1"/>
    </xf>
    <xf numFmtId="10" fontId="5" fillId="6" borderId="9" xfId="5" applyNumberFormat="1" applyFont="1" applyFill="1" applyBorder="1" applyAlignment="1" applyProtection="1">
      <alignment vertical="center" wrapText="1"/>
    </xf>
    <xf numFmtId="9" fontId="5" fillId="6" borderId="9" xfId="6" applyFont="1" applyFill="1" applyBorder="1" applyAlignment="1" applyProtection="1">
      <alignment vertical="center" wrapText="1"/>
    </xf>
    <xf numFmtId="164" fontId="5" fillId="6" borderId="9" xfId="6" applyNumberFormat="1" applyFont="1" applyFill="1" applyBorder="1" applyAlignment="1" applyProtection="1">
      <alignment vertical="center" wrapText="1"/>
    </xf>
    <xf numFmtId="172" fontId="5" fillId="6" borderId="10" xfId="2" applyNumberFormat="1" applyFont="1" applyFill="1" applyBorder="1" applyAlignment="1" applyProtection="1">
      <alignment horizontal="center" vertical="top" wrapText="1"/>
    </xf>
    <xf numFmtId="2" fontId="5" fillId="6" borderId="1" xfId="5" applyNumberFormat="1" applyFont="1" applyFill="1" applyBorder="1" applyAlignment="1" applyProtection="1">
      <alignment horizontal="center" vertical="center" wrapText="1"/>
    </xf>
    <xf numFmtId="0" fontId="5" fillId="6" borderId="11" xfId="5" applyNumberFormat="1" applyFont="1" applyFill="1" applyBorder="1" applyAlignment="1" applyProtection="1">
      <alignment vertical="center" wrapText="1"/>
    </xf>
    <xf numFmtId="0" fontId="5" fillId="6" borderId="19" xfId="5" applyNumberFormat="1" applyFont="1" applyFill="1" applyBorder="1" applyAlignment="1" applyProtection="1">
      <alignment vertical="center" wrapText="1"/>
    </xf>
    <xf numFmtId="165" fontId="5" fillId="6" borderId="10" xfId="0" applyNumberFormat="1" applyFont="1" applyFill="1" applyBorder="1" applyAlignment="1" applyProtection="1">
      <alignment horizontal="center" vertical="center" wrapText="1"/>
    </xf>
    <xf numFmtId="2" fontId="5" fillId="6" borderId="8" xfId="5" applyNumberFormat="1" applyFont="1" applyFill="1" applyBorder="1" applyAlignment="1" applyProtection="1">
      <alignment horizontal="center" vertical="center" wrapText="1"/>
    </xf>
    <xf numFmtId="0" fontId="5" fillId="6" borderId="1" xfId="0" applyFont="1" applyFill="1" applyBorder="1" applyAlignment="1">
      <alignment vertical="center" wrapText="1"/>
    </xf>
    <xf numFmtId="9" fontId="5" fillId="6" borderId="1" xfId="6" applyFont="1" applyFill="1" applyBorder="1" applyAlignment="1">
      <alignment horizontal="center" vertical="center" wrapText="1"/>
    </xf>
    <xf numFmtId="2" fontId="5" fillId="6" borderId="9" xfId="5" applyNumberFormat="1" applyFont="1" applyFill="1" applyBorder="1" applyAlignment="1" applyProtection="1">
      <alignment horizontal="center" vertical="center" wrapText="1"/>
    </xf>
    <xf numFmtId="0" fontId="5" fillId="6" borderId="9" xfId="0" applyFont="1" applyFill="1" applyBorder="1" applyAlignment="1">
      <alignment vertical="center" wrapText="1"/>
    </xf>
    <xf numFmtId="0" fontId="6" fillId="16" borderId="10" xfId="0" applyFont="1" applyFill="1" applyBorder="1" applyAlignment="1">
      <alignment vertical="center" wrapText="1"/>
    </xf>
    <xf numFmtId="0" fontId="5" fillId="16" borderId="10" xfId="0" applyNumberFormat="1" applyFont="1" applyFill="1" applyBorder="1" applyAlignment="1" applyProtection="1">
      <alignment horizontal="left" vertical="center" wrapText="1"/>
    </xf>
    <xf numFmtId="9" fontId="5" fillId="16" borderId="10" xfId="0" applyNumberFormat="1" applyFont="1" applyFill="1" applyBorder="1" applyAlignment="1" applyProtection="1">
      <alignment horizontal="center" vertical="center" wrapText="1"/>
    </xf>
    <xf numFmtId="167" fontId="6" fillId="16" borderId="10" xfId="1" applyNumberFormat="1" applyFont="1" applyFill="1" applyBorder="1" applyAlignment="1">
      <alignment horizontal="center" vertical="center" wrapText="1"/>
    </xf>
    <xf numFmtId="165" fontId="5" fillId="16" borderId="10" xfId="0" applyNumberFormat="1" applyFont="1" applyFill="1" applyBorder="1" applyAlignment="1" applyProtection="1">
      <alignment horizontal="left" vertical="center" wrapText="1"/>
    </xf>
    <xf numFmtId="0" fontId="5" fillId="16" borderId="10" xfId="0" applyNumberFormat="1" applyFont="1" applyFill="1" applyBorder="1" applyAlignment="1" applyProtection="1">
      <alignment horizontal="center" vertical="center" wrapText="1"/>
    </xf>
    <xf numFmtId="0" fontId="5" fillId="6" borderId="10" xfId="0" applyFont="1" applyFill="1" applyBorder="1" applyAlignment="1">
      <alignment horizontal="left" vertical="center" wrapText="1"/>
    </xf>
    <xf numFmtId="164" fontId="5" fillId="6" borderId="10" xfId="6" applyNumberFormat="1" applyFont="1" applyFill="1" applyBorder="1" applyAlignment="1" applyProtection="1">
      <alignment horizontal="center" vertical="center" wrapText="1"/>
    </xf>
    <xf numFmtId="0" fontId="5" fillId="6" borderId="8" xfId="5" applyNumberFormat="1" applyFont="1" applyFill="1" applyBorder="1" applyAlignment="1" applyProtection="1">
      <alignment horizontal="center" vertical="center" wrapText="1"/>
    </xf>
    <xf numFmtId="0" fontId="5" fillId="10" borderId="10" xfId="0" applyNumberFormat="1" applyFont="1" applyFill="1" applyBorder="1" applyAlignment="1" applyProtection="1">
      <alignment horizontal="center" vertical="center" wrapText="1"/>
    </xf>
    <xf numFmtId="10" fontId="5" fillId="10" borderId="10" xfId="5" applyNumberFormat="1" applyFont="1" applyFill="1" applyBorder="1" applyAlignment="1" applyProtection="1">
      <alignment horizontal="center" vertical="center" wrapText="1"/>
    </xf>
    <xf numFmtId="9" fontId="5" fillId="10" borderId="10" xfId="6" applyFont="1" applyFill="1" applyBorder="1" applyAlignment="1" applyProtection="1">
      <alignment horizontal="center" vertical="center" wrapText="1"/>
    </xf>
    <xf numFmtId="2" fontId="5" fillId="10" borderId="10" xfId="5" applyNumberFormat="1" applyFont="1" applyFill="1" applyBorder="1" applyAlignment="1" applyProtection="1">
      <alignment horizontal="center" vertical="center" wrapText="1"/>
    </xf>
    <xf numFmtId="165" fontId="5" fillId="10" borderId="10" xfId="5" applyNumberFormat="1" applyFont="1" applyFill="1" applyBorder="1" applyAlignment="1" applyProtection="1">
      <alignment horizontal="center" vertical="center" wrapText="1"/>
    </xf>
    <xf numFmtId="0" fontId="5" fillId="10" borderId="1" xfId="0" applyNumberFormat="1" applyFont="1" applyFill="1" applyBorder="1" applyAlignment="1" applyProtection="1">
      <alignment vertical="center" wrapText="1"/>
    </xf>
    <xf numFmtId="10" fontId="5" fillId="10" borderId="1" xfId="5" applyNumberFormat="1" applyFont="1" applyFill="1" applyBorder="1" applyAlignment="1" applyProtection="1">
      <alignment horizontal="center" vertical="center" wrapText="1"/>
    </xf>
    <xf numFmtId="10" fontId="5" fillId="10" borderId="1" xfId="5" applyNumberFormat="1" applyFont="1" applyFill="1" applyBorder="1" applyAlignment="1" applyProtection="1">
      <alignment vertical="center" wrapText="1"/>
    </xf>
    <xf numFmtId="165" fontId="5" fillId="10" borderId="1" xfId="5" applyNumberFormat="1" applyFont="1" applyFill="1" applyBorder="1" applyAlignment="1" applyProtection="1">
      <alignment vertical="center" wrapText="1"/>
    </xf>
    <xf numFmtId="0" fontId="5" fillId="10" borderId="8" xfId="0" applyNumberFormat="1" applyFont="1" applyFill="1" applyBorder="1" applyAlignment="1" applyProtection="1">
      <alignment vertical="center" wrapText="1"/>
    </xf>
    <xf numFmtId="0" fontId="5" fillId="10" borderId="1" xfId="0" applyNumberFormat="1" applyFont="1" applyFill="1" applyBorder="1" applyAlignment="1" applyProtection="1">
      <alignment horizontal="center" vertical="center" wrapText="1"/>
    </xf>
    <xf numFmtId="10" fontId="5" fillId="10" borderId="9" xfId="5" applyNumberFormat="1" applyFont="1" applyFill="1" applyBorder="1" applyAlignment="1" applyProtection="1">
      <alignment vertical="center" wrapText="1"/>
    </xf>
    <xf numFmtId="165" fontId="5" fillId="10" borderId="8" xfId="5" applyNumberFormat="1" applyFont="1" applyFill="1" applyBorder="1" applyAlignment="1" applyProtection="1">
      <alignment vertical="center" wrapText="1"/>
    </xf>
    <xf numFmtId="165" fontId="5" fillId="10" borderId="9" xfId="5" applyNumberFormat="1" applyFont="1" applyFill="1" applyBorder="1" applyAlignment="1" applyProtection="1">
      <alignment vertical="center" wrapText="1"/>
    </xf>
    <xf numFmtId="10" fontId="5" fillId="10" borderId="8" xfId="5" applyNumberFormat="1" applyFont="1" applyFill="1" applyBorder="1" applyAlignment="1" applyProtection="1">
      <alignment horizontal="center" vertical="center" wrapText="1"/>
    </xf>
    <xf numFmtId="10" fontId="5" fillId="10" borderId="9" xfId="5" applyNumberFormat="1" applyFont="1" applyFill="1" applyBorder="1" applyAlignment="1" applyProtection="1">
      <alignment horizontal="center" vertical="center" wrapText="1"/>
    </xf>
    <xf numFmtId="0" fontId="5" fillId="10" borderId="8" xfId="5" applyNumberFormat="1" applyFont="1" applyFill="1" applyBorder="1" applyAlignment="1" applyProtection="1">
      <alignment horizontal="center" vertical="center" wrapText="1"/>
    </xf>
    <xf numFmtId="0" fontId="5" fillId="10" borderId="11" xfId="0" applyNumberFormat="1" applyFont="1" applyFill="1" applyBorder="1" applyAlignment="1" applyProtection="1">
      <alignment vertical="center" wrapText="1"/>
    </xf>
    <xf numFmtId="2" fontId="5" fillId="10" borderId="12" xfId="5" applyNumberFormat="1" applyFont="1" applyFill="1" applyBorder="1" applyAlignment="1" applyProtection="1">
      <alignment horizontal="center" vertical="center" wrapText="1"/>
    </xf>
    <xf numFmtId="9" fontId="5" fillId="10" borderId="1" xfId="6" applyFont="1" applyFill="1" applyBorder="1" applyAlignment="1" applyProtection="1">
      <alignment horizontal="center" vertical="center" wrapText="1"/>
    </xf>
    <xf numFmtId="9" fontId="5" fillId="10" borderId="1" xfId="6" applyFont="1" applyFill="1" applyBorder="1" applyAlignment="1" applyProtection="1">
      <alignment vertical="center" wrapText="1"/>
    </xf>
    <xf numFmtId="0" fontId="5" fillId="10" borderId="8" xfId="0" applyNumberFormat="1" applyFont="1" applyFill="1" applyBorder="1" applyAlignment="1" applyProtection="1">
      <alignment horizontal="center" vertical="center" wrapText="1"/>
    </xf>
    <xf numFmtId="10" fontId="5" fillId="2" borderId="8" xfId="5" applyNumberFormat="1" applyFont="1" applyFill="1" applyBorder="1" applyAlignment="1" applyProtection="1">
      <alignment vertical="center" wrapText="1"/>
    </xf>
    <xf numFmtId="10" fontId="5" fillId="10" borderId="8" xfId="5" applyNumberFormat="1" applyFont="1" applyFill="1" applyBorder="1" applyAlignment="1" applyProtection="1">
      <alignment vertical="center" wrapText="1"/>
    </xf>
    <xf numFmtId="165" fontId="5" fillId="2" borderId="8" xfId="5" applyNumberFormat="1" applyFont="1" applyFill="1" applyBorder="1" applyAlignment="1" applyProtection="1">
      <alignment vertical="center" wrapText="1"/>
    </xf>
    <xf numFmtId="0" fontId="5" fillId="10" borderId="9" xfId="0" applyNumberFormat="1" applyFont="1" applyFill="1" applyBorder="1" applyAlignment="1" applyProtection="1">
      <alignment horizontal="center" vertical="center" wrapText="1"/>
    </xf>
    <xf numFmtId="0" fontId="5" fillId="10" borderId="9" xfId="0" applyNumberFormat="1" applyFont="1" applyFill="1" applyBorder="1" applyAlignment="1" applyProtection="1">
      <alignment vertical="center" wrapText="1"/>
    </xf>
    <xf numFmtId="10" fontId="5" fillId="2" borderId="9" xfId="5" applyNumberFormat="1" applyFont="1" applyFill="1" applyBorder="1" applyAlignment="1" applyProtection="1">
      <alignment vertical="center" wrapText="1"/>
    </xf>
    <xf numFmtId="10" fontId="5" fillId="2" borderId="1" xfId="5" applyNumberFormat="1" applyFont="1" applyFill="1" applyBorder="1" applyAlignment="1" applyProtection="1">
      <alignment horizontal="center" vertical="center" wrapText="1"/>
    </xf>
    <xf numFmtId="2" fontId="5" fillId="10" borderId="1" xfId="5" applyNumberFormat="1" applyFont="1" applyFill="1" applyBorder="1" applyAlignment="1" applyProtection="1">
      <alignment vertical="center" wrapText="1"/>
    </xf>
    <xf numFmtId="2" fontId="5" fillId="10" borderId="8" xfId="5" applyNumberFormat="1" applyFont="1" applyFill="1" applyBorder="1" applyAlignment="1" applyProtection="1">
      <alignment vertical="center" wrapText="1"/>
    </xf>
    <xf numFmtId="2" fontId="5" fillId="10" borderId="9" xfId="5" applyNumberFormat="1" applyFont="1" applyFill="1" applyBorder="1" applyAlignment="1" applyProtection="1">
      <alignment vertical="center" wrapText="1"/>
    </xf>
    <xf numFmtId="1" fontId="5" fillId="10" borderId="10" xfId="5" applyNumberFormat="1" applyFont="1" applyFill="1" applyBorder="1" applyAlignment="1" applyProtection="1">
      <alignment horizontal="center" vertical="center" wrapText="1"/>
    </xf>
    <xf numFmtId="1" fontId="5" fillId="10" borderId="9" xfId="5" applyNumberFormat="1" applyFont="1" applyFill="1" applyBorder="1" applyAlignment="1" applyProtection="1">
      <alignment horizontal="center" vertical="center" wrapText="1"/>
    </xf>
    <xf numFmtId="168" fontId="5" fillId="10" borderId="8" xfId="0" applyNumberFormat="1" applyFont="1" applyFill="1" applyBorder="1" applyAlignment="1" applyProtection="1">
      <alignment vertical="center" wrapText="1"/>
    </xf>
    <xf numFmtId="171" fontId="5" fillId="10" borderId="10" xfId="5" applyNumberFormat="1" applyFont="1" applyFill="1" applyBorder="1" applyAlignment="1" applyProtection="1">
      <alignment horizontal="center" vertical="center" wrapText="1"/>
    </xf>
    <xf numFmtId="0" fontId="5" fillId="10" borderId="10" xfId="0" applyNumberFormat="1" applyFont="1" applyFill="1" applyBorder="1" applyAlignment="1" applyProtection="1">
      <alignment vertical="center" wrapText="1"/>
    </xf>
    <xf numFmtId="165" fontId="5" fillId="10" borderId="10" xfId="6" applyNumberFormat="1" applyFont="1" applyFill="1" applyBorder="1" applyAlignment="1" applyProtection="1">
      <alignment horizontal="center" vertical="center" wrapText="1"/>
    </xf>
    <xf numFmtId="9" fontId="5" fillId="10" borderId="9" xfId="6" applyFont="1" applyFill="1" applyBorder="1" applyAlignment="1" applyProtection="1">
      <alignment horizontal="center" vertical="center" wrapText="1"/>
    </xf>
    <xf numFmtId="0" fontId="5" fillId="10" borderId="10" xfId="5" applyNumberFormat="1" applyFont="1" applyFill="1" applyBorder="1" applyAlignment="1" applyProtection="1">
      <alignment horizontal="center" vertical="top" wrapText="1"/>
    </xf>
    <xf numFmtId="9" fontId="5" fillId="10" borderId="10" xfId="5" applyNumberFormat="1" applyFont="1" applyFill="1" applyBorder="1" applyAlignment="1" applyProtection="1">
      <alignment horizontal="center" vertical="center" wrapText="1"/>
    </xf>
    <xf numFmtId="9" fontId="5" fillId="10" borderId="1" xfId="5" applyNumberFormat="1" applyFont="1" applyFill="1" applyBorder="1" applyAlignment="1" applyProtection="1">
      <alignment vertical="center" wrapText="1"/>
    </xf>
    <xf numFmtId="173" fontId="5" fillId="10" borderId="1" xfId="5" applyNumberFormat="1" applyFont="1" applyFill="1" applyBorder="1" applyAlignment="1" applyProtection="1">
      <alignment vertical="center" wrapText="1"/>
    </xf>
    <xf numFmtId="9" fontId="5" fillId="2" borderId="1" xfId="5" applyNumberFormat="1" applyFont="1" applyFill="1" applyBorder="1" applyAlignment="1" applyProtection="1">
      <alignment vertical="center" wrapText="1"/>
    </xf>
    <xf numFmtId="9" fontId="5" fillId="10" borderId="8" xfId="5" applyNumberFormat="1" applyFont="1" applyFill="1" applyBorder="1" applyAlignment="1" applyProtection="1">
      <alignment vertical="center" wrapText="1"/>
    </xf>
    <xf numFmtId="0" fontId="5" fillId="10" borderId="1" xfId="5" applyNumberFormat="1" applyFont="1" applyFill="1" applyBorder="1" applyAlignment="1" applyProtection="1">
      <alignment horizontal="center" vertical="top" wrapText="1"/>
    </xf>
    <xf numFmtId="9" fontId="5" fillId="10" borderId="9" xfId="5" applyNumberFormat="1" applyFont="1" applyFill="1" applyBorder="1" applyAlignment="1" applyProtection="1">
      <alignment vertical="center" wrapText="1"/>
    </xf>
    <xf numFmtId="9" fontId="5" fillId="10" borderId="1" xfId="0" applyNumberFormat="1" applyFont="1" applyFill="1" applyBorder="1" applyAlignment="1" applyProtection="1">
      <alignment horizontal="center" vertical="center" wrapText="1"/>
    </xf>
    <xf numFmtId="0" fontId="5" fillId="2" borderId="9" xfId="0" applyNumberFormat="1" applyFont="1" applyFill="1" applyBorder="1" applyAlignment="1" applyProtection="1">
      <alignment vertical="center" wrapText="1"/>
    </xf>
    <xf numFmtId="9" fontId="5" fillId="10" borderId="10" xfId="5" applyNumberFormat="1" applyFont="1" applyFill="1" applyBorder="1" applyAlignment="1" applyProtection="1">
      <alignment vertical="center" wrapText="1"/>
    </xf>
    <xf numFmtId="164" fontId="5" fillId="10" borderId="10" xfId="5" applyNumberFormat="1" applyFont="1" applyFill="1" applyBorder="1" applyAlignment="1" applyProtection="1">
      <alignment vertical="center" wrapText="1"/>
    </xf>
    <xf numFmtId="164" fontId="5" fillId="10" borderId="10" xfId="5" applyNumberFormat="1" applyFont="1" applyFill="1" applyBorder="1" applyAlignment="1" applyProtection="1">
      <alignment horizontal="center" vertical="center" wrapText="1"/>
    </xf>
    <xf numFmtId="44" fontId="5" fillId="10" borderId="10" xfId="2" applyFont="1" applyFill="1" applyBorder="1" applyAlignment="1" applyProtection="1">
      <alignment horizontal="center" vertical="center" wrapText="1"/>
    </xf>
    <xf numFmtId="43" fontId="5" fillId="10" borderId="1" xfId="1" applyFont="1" applyFill="1" applyBorder="1" applyAlignment="1" applyProtection="1">
      <alignment horizontal="center" vertical="center" wrapText="1"/>
    </xf>
    <xf numFmtId="9" fontId="5" fillId="10" borderId="1" xfId="5" applyNumberFormat="1" applyFont="1" applyFill="1" applyBorder="1" applyAlignment="1" applyProtection="1">
      <alignment horizontal="center" vertical="center" wrapText="1"/>
    </xf>
    <xf numFmtId="0" fontId="5" fillId="2" borderId="8" xfId="0" applyNumberFormat="1" applyFont="1" applyFill="1" applyBorder="1" applyAlignment="1" applyProtection="1">
      <alignment vertical="center" wrapText="1"/>
    </xf>
    <xf numFmtId="2" fontId="5" fillId="10" borderId="15" xfId="5" applyNumberFormat="1" applyFont="1" applyFill="1" applyBorder="1" applyAlignment="1" applyProtection="1">
      <alignment horizontal="center" vertical="center" wrapText="1"/>
    </xf>
    <xf numFmtId="10" fontId="5" fillId="10" borderId="12" xfId="5" applyNumberFormat="1" applyFont="1" applyFill="1" applyBorder="1" applyAlignment="1" applyProtection="1">
      <alignment horizontal="center" vertical="center" wrapText="1"/>
    </xf>
    <xf numFmtId="0" fontId="5" fillId="10" borderId="13" xfId="0" applyNumberFormat="1" applyFont="1" applyFill="1" applyBorder="1" applyAlignment="1" applyProtection="1">
      <alignment vertical="center" wrapText="1"/>
    </xf>
    <xf numFmtId="2" fontId="5" fillId="10" borderId="1" xfId="5" applyNumberFormat="1" applyFont="1" applyFill="1" applyBorder="1" applyAlignment="1" applyProtection="1">
      <alignment horizontal="center" vertical="center" wrapText="1"/>
    </xf>
    <xf numFmtId="0" fontId="5" fillId="10" borderId="11" xfId="0" applyNumberFormat="1" applyFont="1" applyFill="1" applyBorder="1" applyAlignment="1" applyProtection="1">
      <alignment horizontal="center" vertical="center" wrapText="1"/>
    </xf>
    <xf numFmtId="0" fontId="5" fillId="10" borderId="19" xfId="0" applyNumberFormat="1" applyFont="1" applyFill="1" applyBorder="1" applyAlignment="1" applyProtection="1">
      <alignment horizontal="center" vertical="center" wrapText="1"/>
    </xf>
    <xf numFmtId="164" fontId="5" fillId="10" borderId="1" xfId="5" applyNumberFormat="1" applyFont="1" applyFill="1" applyBorder="1" applyAlignment="1" applyProtection="1">
      <alignment vertical="center" wrapText="1"/>
    </xf>
    <xf numFmtId="2" fontId="5" fillId="10" borderId="8" xfId="5" applyNumberFormat="1" applyFont="1" applyFill="1" applyBorder="1" applyAlignment="1" applyProtection="1">
      <alignment horizontal="center" vertical="center" wrapText="1"/>
    </xf>
    <xf numFmtId="9" fontId="5" fillId="10" borderId="8" xfId="5" applyNumberFormat="1" applyFont="1" applyFill="1" applyBorder="1" applyAlignment="1" applyProtection="1">
      <alignment horizontal="center" vertical="center" wrapText="1"/>
    </xf>
    <xf numFmtId="9" fontId="5" fillId="2" borderId="8" xfId="5" applyNumberFormat="1" applyFont="1" applyFill="1" applyBorder="1" applyAlignment="1" applyProtection="1">
      <alignment horizontal="center" vertical="center" wrapText="1"/>
    </xf>
    <xf numFmtId="164" fontId="5" fillId="10" borderId="8" xfId="5" applyNumberFormat="1" applyFont="1" applyFill="1" applyBorder="1" applyAlignment="1" applyProtection="1">
      <alignment vertical="center" wrapText="1"/>
    </xf>
    <xf numFmtId="164" fontId="5" fillId="2" borderId="8" xfId="5" applyNumberFormat="1" applyFont="1" applyFill="1" applyBorder="1" applyAlignment="1" applyProtection="1">
      <alignment vertical="center" wrapText="1"/>
    </xf>
    <xf numFmtId="2" fontId="5" fillId="10" borderId="9" xfId="5" applyNumberFormat="1" applyFont="1" applyFill="1" applyBorder="1" applyAlignment="1" applyProtection="1">
      <alignment horizontal="center" vertical="center" wrapText="1"/>
    </xf>
    <xf numFmtId="9" fontId="5" fillId="10" borderId="9" xfId="5" applyNumberFormat="1" applyFont="1" applyFill="1" applyBorder="1" applyAlignment="1" applyProtection="1">
      <alignment horizontal="center" vertical="center" wrapText="1"/>
    </xf>
    <xf numFmtId="9" fontId="5" fillId="2" borderId="9" xfId="5" applyNumberFormat="1" applyFont="1" applyFill="1" applyBorder="1" applyAlignment="1" applyProtection="1">
      <alignment horizontal="center" vertical="center" wrapText="1"/>
    </xf>
    <xf numFmtId="164" fontId="5" fillId="10" borderId="9" xfId="5" applyNumberFormat="1" applyFont="1" applyFill="1" applyBorder="1" applyAlignment="1" applyProtection="1">
      <alignment vertical="center" wrapText="1"/>
    </xf>
    <xf numFmtId="164" fontId="5" fillId="2" borderId="9" xfId="5" applyNumberFormat="1" applyFont="1" applyFill="1" applyBorder="1" applyAlignment="1" applyProtection="1">
      <alignment vertical="center" wrapText="1"/>
    </xf>
    <xf numFmtId="174" fontId="5" fillId="10" borderId="10" xfId="5" applyNumberFormat="1" applyFont="1" applyFill="1" applyBorder="1" applyAlignment="1" applyProtection="1">
      <alignment horizontal="center" vertical="center" wrapText="1"/>
    </xf>
    <xf numFmtId="168" fontId="5" fillId="10" borderId="1" xfId="0" applyNumberFormat="1" applyFont="1" applyFill="1" applyBorder="1" applyAlignment="1" applyProtection="1">
      <alignment vertical="center" wrapText="1"/>
    </xf>
    <xf numFmtId="164" fontId="5" fillId="10" borderId="1" xfId="6" applyNumberFormat="1" applyFont="1" applyFill="1" applyBorder="1" applyAlignment="1" applyProtection="1">
      <alignment vertical="center" wrapText="1"/>
    </xf>
    <xf numFmtId="164" fontId="5" fillId="10" borderId="9" xfId="6" applyNumberFormat="1" applyFont="1" applyFill="1" applyBorder="1" applyAlignment="1" applyProtection="1">
      <alignment vertical="center" wrapText="1"/>
    </xf>
    <xf numFmtId="10" fontId="5" fillId="2" borderId="10" xfId="5" applyNumberFormat="1" applyFont="1" applyFill="1" applyBorder="1" applyAlignment="1" applyProtection="1">
      <alignment horizontal="center" vertical="center" wrapText="1"/>
    </xf>
    <xf numFmtId="0" fontId="5" fillId="17" borderId="1" xfId="5" applyNumberFormat="1" applyFont="1" applyFill="1" applyBorder="1" applyAlignment="1" applyProtection="1">
      <alignment vertical="center" wrapText="1"/>
    </xf>
    <xf numFmtId="0" fontId="5" fillId="17" borderId="8" xfId="5" applyNumberFormat="1" applyFont="1" applyFill="1" applyBorder="1" applyAlignment="1" applyProtection="1">
      <alignment vertical="center" wrapText="1"/>
    </xf>
    <xf numFmtId="0" fontId="5" fillId="17" borderId="10" xfId="4" applyNumberFormat="1" applyFont="1" applyFill="1" applyBorder="1" applyAlignment="1" applyProtection="1">
      <alignment horizontal="center" vertical="center" wrapText="1"/>
    </xf>
    <xf numFmtId="2" fontId="5" fillId="17" borderId="10" xfId="4" applyNumberFormat="1" applyFont="1" applyFill="1" applyBorder="1" applyAlignment="1" applyProtection="1">
      <alignment horizontal="center" vertical="center" wrapText="1"/>
    </xf>
    <xf numFmtId="0" fontId="5" fillId="17" borderId="10" xfId="5" applyNumberFormat="1" applyFont="1" applyFill="1" applyBorder="1" applyAlignment="1" applyProtection="1">
      <alignment horizontal="center" vertical="center" wrapText="1"/>
    </xf>
    <xf numFmtId="0" fontId="5" fillId="17" borderId="10" xfId="5" applyNumberFormat="1" applyFont="1" applyFill="1" applyBorder="1" applyAlignment="1" applyProtection="1">
      <alignment horizontal="center" vertical="top" wrapText="1"/>
    </xf>
    <xf numFmtId="0" fontId="5" fillId="17" borderId="10" xfId="5" applyNumberFormat="1" applyFont="1" applyFill="1" applyBorder="1" applyAlignment="1" applyProtection="1">
      <alignment vertical="center" wrapText="1"/>
    </xf>
    <xf numFmtId="0" fontId="5" fillId="17" borderId="1" xfId="4" applyNumberFormat="1" applyFont="1" applyFill="1" applyBorder="1" applyAlignment="1" applyProtection="1">
      <alignment horizontal="center" vertical="center" wrapText="1"/>
    </xf>
    <xf numFmtId="9" fontId="5" fillId="17" borderId="10" xfId="6" applyFont="1" applyFill="1" applyBorder="1" applyAlignment="1" applyProtection="1">
      <alignment horizontal="center" vertical="center" wrapText="1"/>
    </xf>
    <xf numFmtId="165" fontId="5" fillId="17" borderId="1" xfId="6" applyNumberFormat="1" applyFont="1" applyFill="1" applyBorder="1" applyAlignment="1" applyProtection="1">
      <alignment vertical="center" wrapText="1"/>
    </xf>
    <xf numFmtId="0" fontId="5" fillId="17" borderId="13" xfId="5" applyNumberFormat="1" applyFont="1" applyFill="1" applyBorder="1" applyAlignment="1" applyProtection="1">
      <alignment vertical="center" wrapText="1"/>
    </xf>
    <xf numFmtId="2" fontId="5" fillId="17" borderId="12" xfId="4" applyNumberFormat="1" applyFont="1" applyFill="1" applyBorder="1" applyAlignment="1" applyProtection="1">
      <alignment horizontal="center" vertical="center" wrapText="1"/>
    </xf>
    <xf numFmtId="2" fontId="5" fillId="17" borderId="1" xfId="4" applyNumberFormat="1" applyFont="1" applyFill="1" applyBorder="1" applyAlignment="1" applyProtection="1">
      <alignment horizontal="center" vertical="center" wrapText="1"/>
    </xf>
    <xf numFmtId="165" fontId="5" fillId="17" borderId="9" xfId="6" applyNumberFormat="1" applyFont="1" applyFill="1" applyBorder="1" applyAlignment="1" applyProtection="1">
      <alignment vertical="center" wrapText="1"/>
    </xf>
    <xf numFmtId="165" fontId="5" fillId="2" borderId="9" xfId="6" applyNumberFormat="1" applyFont="1" applyFill="1" applyBorder="1" applyAlignment="1" applyProtection="1">
      <alignment vertical="center" wrapText="1"/>
    </xf>
    <xf numFmtId="0" fontId="5" fillId="17" borderId="15" xfId="5" applyNumberFormat="1" applyFont="1" applyFill="1" applyBorder="1" applyAlignment="1" applyProtection="1">
      <alignment vertical="center" wrapText="1"/>
    </xf>
    <xf numFmtId="0" fontId="5" fillId="17" borderId="9" xfId="4" applyNumberFormat="1" applyFont="1" applyFill="1" applyBorder="1" applyAlignment="1" applyProtection="1">
      <alignment horizontal="center" vertical="center" wrapText="1"/>
    </xf>
    <xf numFmtId="2" fontId="5" fillId="17" borderId="9" xfId="4" applyNumberFormat="1" applyFont="1" applyFill="1" applyBorder="1" applyAlignment="1" applyProtection="1">
      <alignment horizontal="center" vertical="center" wrapText="1"/>
    </xf>
    <xf numFmtId="2" fontId="5" fillId="2" borderId="9" xfId="4" applyNumberFormat="1" applyFont="1" applyFill="1" applyBorder="1" applyAlignment="1" applyProtection="1">
      <alignment horizontal="center" vertical="center" wrapText="1"/>
    </xf>
    <xf numFmtId="164" fontId="5" fillId="17" borderId="10" xfId="4" applyNumberFormat="1" applyFont="1" applyFill="1" applyBorder="1" applyAlignment="1" applyProtection="1">
      <alignment horizontal="center" vertical="center" wrapText="1"/>
    </xf>
    <xf numFmtId="44" fontId="5" fillId="17" borderId="10" xfId="2" applyFont="1" applyFill="1" applyBorder="1" applyAlignment="1" applyProtection="1">
      <alignment horizontal="center" vertical="center" wrapText="1"/>
    </xf>
    <xf numFmtId="0" fontId="5" fillId="17" borderId="8" xfId="4" applyNumberFormat="1" applyFont="1" applyFill="1" applyBorder="1" applyAlignment="1" applyProtection="1">
      <alignment horizontal="center" vertical="center" wrapText="1"/>
    </xf>
    <xf numFmtId="165" fontId="5" fillId="17" borderId="10" xfId="6" applyNumberFormat="1" applyFont="1" applyFill="1" applyBorder="1" applyAlignment="1" applyProtection="1">
      <alignment horizontal="center" vertical="center" wrapText="1"/>
    </xf>
    <xf numFmtId="0" fontId="5" fillId="17" borderId="8" xfId="5" applyNumberFormat="1" applyFont="1" applyFill="1" applyBorder="1" applyAlignment="1" applyProtection="1">
      <alignment horizontal="center" vertical="center" wrapText="1"/>
    </xf>
    <xf numFmtId="9" fontId="5" fillId="17" borderId="8" xfId="5" applyNumberFormat="1" applyFont="1" applyFill="1" applyBorder="1" applyAlignment="1" applyProtection="1">
      <alignment horizontal="center" vertical="center" wrapText="1"/>
    </xf>
    <xf numFmtId="175" fontId="5" fillId="17" borderId="8" xfId="5" applyNumberFormat="1" applyFont="1" applyFill="1" applyBorder="1" applyAlignment="1" applyProtection="1">
      <alignment vertical="center" wrapText="1"/>
    </xf>
    <xf numFmtId="0" fontId="5" fillId="17" borderId="9" xfId="5" applyNumberFormat="1" applyFont="1" applyFill="1" applyBorder="1" applyAlignment="1" applyProtection="1">
      <alignment vertical="center" wrapText="1"/>
    </xf>
    <xf numFmtId="165" fontId="5" fillId="17" borderId="10" xfId="4" applyNumberFormat="1" applyFont="1" applyFill="1" applyBorder="1" applyAlignment="1" applyProtection="1">
      <alignment horizontal="center" vertical="center" wrapText="1"/>
    </xf>
    <xf numFmtId="0" fontId="5" fillId="17" borderId="1" xfId="4" applyNumberFormat="1" applyFont="1" applyFill="1" applyBorder="1" applyAlignment="1" applyProtection="1">
      <alignment vertical="center" wrapText="1"/>
    </xf>
    <xf numFmtId="9" fontId="5" fillId="17" borderId="1" xfId="6" applyFont="1" applyFill="1" applyBorder="1" applyAlignment="1" applyProtection="1">
      <alignment horizontal="center" vertical="center" wrapText="1"/>
    </xf>
    <xf numFmtId="9" fontId="5" fillId="17" borderId="1" xfId="6" applyFont="1" applyFill="1" applyBorder="1" applyAlignment="1" applyProtection="1">
      <alignment vertical="center" wrapText="1"/>
    </xf>
    <xf numFmtId="0" fontId="5" fillId="17" borderId="9" xfId="4" applyNumberFormat="1" applyFont="1" applyFill="1" applyBorder="1" applyAlignment="1" applyProtection="1">
      <alignment vertical="center" wrapText="1"/>
    </xf>
    <xf numFmtId="9" fontId="5" fillId="17" borderId="9" xfId="6" applyFont="1" applyFill="1" applyBorder="1" applyAlignment="1" applyProtection="1">
      <alignment horizontal="center" vertical="center" wrapText="1"/>
    </xf>
    <xf numFmtId="164" fontId="5" fillId="17" borderId="10" xfId="6" applyNumberFormat="1" applyFont="1" applyFill="1" applyBorder="1" applyAlignment="1" applyProtection="1">
      <alignment horizontal="center" vertical="center" wrapText="1"/>
    </xf>
    <xf numFmtId="9" fontId="5" fillId="17" borderId="9" xfId="6" applyFont="1" applyFill="1" applyBorder="1" applyAlignment="1" applyProtection="1">
      <alignment vertical="center" wrapText="1"/>
    </xf>
    <xf numFmtId="168" fontId="5" fillId="17" borderId="1" xfId="4" applyNumberFormat="1" applyFont="1" applyFill="1" applyBorder="1" applyAlignment="1" applyProtection="1">
      <alignment vertical="center" wrapText="1"/>
    </xf>
    <xf numFmtId="0" fontId="5" fillId="17" borderId="8" xfId="4" applyNumberFormat="1" applyFont="1" applyFill="1" applyBorder="1" applyAlignment="1" applyProtection="1">
      <alignment vertical="center" wrapText="1"/>
    </xf>
    <xf numFmtId="2" fontId="5" fillId="17" borderId="8" xfId="4" applyNumberFormat="1" applyFont="1" applyFill="1" applyBorder="1" applyAlignment="1" applyProtection="1">
      <alignment vertical="center" wrapText="1"/>
    </xf>
    <xf numFmtId="0" fontId="5" fillId="2" borderId="8" xfId="4" applyNumberFormat="1" applyFont="1" applyFill="1" applyBorder="1" applyAlignment="1" applyProtection="1">
      <alignment vertical="center" wrapText="1"/>
    </xf>
    <xf numFmtId="0" fontId="5" fillId="17" borderId="10" xfId="4" applyNumberFormat="1" applyFont="1" applyFill="1" applyBorder="1" applyAlignment="1" applyProtection="1">
      <alignment vertical="center" wrapText="1"/>
    </xf>
    <xf numFmtId="165" fontId="5" fillId="17" borderId="1" xfId="5" applyNumberFormat="1" applyFont="1" applyFill="1" applyBorder="1" applyAlignment="1" applyProtection="1">
      <alignment vertical="center" wrapText="1"/>
    </xf>
    <xf numFmtId="164" fontId="5" fillId="17" borderId="8" xfId="4" applyNumberFormat="1" applyFont="1" applyFill="1" applyBorder="1" applyAlignment="1" applyProtection="1">
      <alignment vertical="center" wrapText="1"/>
    </xf>
    <xf numFmtId="165" fontId="5" fillId="17" borderId="8" xfId="5" applyNumberFormat="1" applyFont="1" applyFill="1" applyBorder="1" applyAlignment="1" applyProtection="1">
      <alignment vertical="center" wrapText="1"/>
    </xf>
    <xf numFmtId="164" fontId="5" fillId="17" borderId="9" xfId="4" applyNumberFormat="1" applyFont="1" applyFill="1" applyBorder="1" applyAlignment="1" applyProtection="1">
      <alignment vertical="center" wrapText="1"/>
    </xf>
    <xf numFmtId="165" fontId="5" fillId="17" borderId="9" xfId="5" applyNumberFormat="1" applyFont="1" applyFill="1" applyBorder="1" applyAlignment="1" applyProtection="1">
      <alignment vertical="center" wrapText="1"/>
    </xf>
    <xf numFmtId="0" fontId="5" fillId="2" borderId="1" xfId="5" applyNumberFormat="1" applyFont="1" applyFill="1" applyBorder="1" applyAlignment="1" applyProtection="1">
      <alignment horizontal="center" vertical="center" wrapText="1"/>
    </xf>
    <xf numFmtId="0" fontId="5" fillId="2" borderId="1" xfId="5" applyNumberFormat="1" applyFont="1" applyFill="1" applyBorder="1" applyAlignment="1" applyProtection="1">
      <alignment horizontal="center" vertical="top" wrapText="1"/>
    </xf>
    <xf numFmtId="0" fontId="5" fillId="17" borderId="1" xfId="5" applyNumberFormat="1" applyFont="1" applyFill="1" applyBorder="1" applyAlignment="1" applyProtection="1">
      <alignment horizontal="center" vertical="center" wrapText="1"/>
    </xf>
    <xf numFmtId="2" fontId="5" fillId="17" borderId="1" xfId="5" applyNumberFormat="1" applyFont="1" applyFill="1" applyBorder="1" applyAlignment="1" applyProtection="1">
      <alignment horizontal="center" vertical="center" wrapText="1"/>
    </xf>
    <xf numFmtId="168" fontId="5" fillId="17" borderId="1" xfId="5" applyNumberFormat="1" applyFont="1" applyFill="1" applyBorder="1" applyAlignment="1" applyProtection="1">
      <alignment vertical="center" wrapText="1"/>
    </xf>
    <xf numFmtId="9" fontId="5" fillId="17" borderId="8" xfId="6" applyFont="1" applyFill="1" applyBorder="1" applyAlignment="1" applyProtection="1">
      <alignment horizontal="center" vertical="center" wrapText="1"/>
    </xf>
    <xf numFmtId="10" fontId="5" fillId="17" borderId="1" xfId="5" applyNumberFormat="1" applyFont="1" applyFill="1" applyBorder="1" applyAlignment="1" applyProtection="1">
      <alignment vertical="center" wrapText="1"/>
    </xf>
    <xf numFmtId="164" fontId="5" fillId="17" borderId="10" xfId="5" applyNumberFormat="1" applyFont="1" applyFill="1" applyBorder="1" applyAlignment="1" applyProtection="1">
      <alignment vertical="center" wrapText="1"/>
    </xf>
    <xf numFmtId="2" fontId="5" fillId="17" borderId="8" xfId="5" applyNumberFormat="1" applyFont="1" applyFill="1" applyBorder="1" applyAlignment="1" applyProtection="1">
      <alignment vertical="center" wrapText="1"/>
    </xf>
    <xf numFmtId="10" fontId="5" fillId="17" borderId="8" xfId="5" applyNumberFormat="1" applyFont="1" applyFill="1" applyBorder="1" applyAlignment="1" applyProtection="1">
      <alignment vertical="center" wrapText="1"/>
    </xf>
    <xf numFmtId="165" fontId="5" fillId="17" borderId="9" xfId="5" applyNumberFormat="1" applyFont="1" applyFill="1" applyBorder="1" applyAlignment="1" applyProtection="1">
      <alignment horizontal="center" vertical="center" wrapText="1"/>
    </xf>
    <xf numFmtId="0" fontId="5" fillId="17" borderId="9" xfId="5" applyNumberFormat="1" applyFont="1" applyFill="1" applyBorder="1" applyAlignment="1" applyProtection="1">
      <alignment horizontal="center" vertical="center" wrapText="1"/>
    </xf>
    <xf numFmtId="2" fontId="5" fillId="17" borderId="9" xfId="5" applyNumberFormat="1" applyFont="1" applyFill="1" applyBorder="1" applyAlignment="1" applyProtection="1">
      <alignment vertical="center" wrapText="1"/>
    </xf>
    <xf numFmtId="10" fontId="5" fillId="17" borderId="9" xfId="5" applyNumberFormat="1" applyFont="1" applyFill="1" applyBorder="1" applyAlignment="1" applyProtection="1">
      <alignment vertical="center" wrapText="1"/>
    </xf>
    <xf numFmtId="0" fontId="5" fillId="2" borderId="9" xfId="4" applyNumberFormat="1" applyFont="1" applyFill="1" applyBorder="1" applyAlignment="1" applyProtection="1">
      <alignment horizontal="center" vertical="center" wrapText="1"/>
    </xf>
    <xf numFmtId="0" fontId="5" fillId="2" borderId="9" xfId="5" applyNumberFormat="1" applyFont="1" applyFill="1" applyBorder="1" applyAlignment="1" applyProtection="1">
      <alignment horizontal="center" vertical="center" wrapText="1"/>
    </xf>
    <xf numFmtId="0" fontId="5" fillId="2" borderId="9" xfId="5" applyNumberFormat="1" applyFont="1" applyFill="1" applyBorder="1" applyAlignment="1" applyProtection="1">
      <alignment horizontal="center" vertical="top" wrapText="1"/>
    </xf>
    <xf numFmtId="0" fontId="7" fillId="13" borderId="10" xfId="5" applyNumberFormat="1" applyFont="1" applyFill="1" applyBorder="1" applyAlignment="1" applyProtection="1">
      <alignment vertical="center" wrapText="1"/>
    </xf>
    <xf numFmtId="43" fontId="4" fillId="2" borderId="10" xfId="5" applyNumberFormat="1" applyFont="1" applyFill="1" applyBorder="1" applyAlignment="1" applyProtection="1">
      <alignment vertical="center" wrapText="1"/>
    </xf>
    <xf numFmtId="0" fontId="7" fillId="13" borderId="10" xfId="5" applyNumberFormat="1" applyFont="1" applyFill="1" applyBorder="1" applyAlignment="1" applyProtection="1">
      <alignment horizontal="center" vertical="center" wrapText="1"/>
    </xf>
    <xf numFmtId="0" fontId="7" fillId="13" borderId="10" xfId="5" applyNumberFormat="1" applyFont="1" applyFill="1" applyBorder="1" applyAlignment="1" applyProtection="1">
      <alignment horizontal="center" vertical="top" wrapText="1"/>
    </xf>
    <xf numFmtId="0" fontId="5" fillId="18" borderId="1" xfId="5" applyNumberFormat="1" applyFont="1" applyFill="1" applyBorder="1" applyAlignment="1" applyProtection="1">
      <alignment vertical="center" wrapText="1"/>
    </xf>
    <xf numFmtId="0" fontId="5" fillId="18" borderId="8" xfId="5" applyNumberFormat="1" applyFont="1" applyFill="1" applyBorder="1" applyAlignment="1" applyProtection="1">
      <alignment vertical="center" wrapText="1"/>
    </xf>
    <xf numFmtId="0" fontId="5" fillId="18" borderId="8" xfId="5" applyNumberFormat="1" applyFont="1" applyFill="1" applyBorder="1" applyAlignment="1" applyProtection="1">
      <alignment horizontal="center" vertical="center" wrapText="1"/>
    </xf>
    <xf numFmtId="0" fontId="5" fillId="18" borderId="9" xfId="4" applyNumberFormat="1" applyFont="1" applyFill="1" applyBorder="1" applyAlignment="1" applyProtection="1">
      <alignment horizontal="center" vertical="center" wrapText="1"/>
    </xf>
    <xf numFmtId="0" fontId="5" fillId="18" borderId="9" xfId="5" applyNumberFormat="1" applyFont="1" applyFill="1" applyBorder="1" applyAlignment="1" applyProtection="1">
      <alignment horizontal="center" vertical="center" wrapText="1"/>
    </xf>
    <xf numFmtId="0" fontId="5" fillId="18" borderId="9" xfId="5" applyNumberFormat="1" applyFont="1" applyFill="1" applyBorder="1" applyAlignment="1" applyProtection="1">
      <alignment horizontal="center" vertical="top" wrapText="1"/>
    </xf>
    <xf numFmtId="1" fontId="5" fillId="18" borderId="9" xfId="5" applyNumberFormat="1" applyFont="1" applyFill="1" applyBorder="1" applyAlignment="1" applyProtection="1">
      <alignment horizontal="center" vertical="center" wrapText="1"/>
    </xf>
    <xf numFmtId="0" fontId="5" fillId="18" borderId="13" xfId="5" applyNumberFormat="1" applyFont="1" applyFill="1" applyBorder="1" applyAlignment="1" applyProtection="1">
      <alignment vertical="center" wrapText="1"/>
    </xf>
    <xf numFmtId="0" fontId="5" fillId="18" borderId="13" xfId="5" applyNumberFormat="1" applyFont="1" applyFill="1" applyBorder="1" applyAlignment="1" applyProtection="1">
      <alignment horizontal="center" vertical="center" wrapText="1"/>
    </xf>
    <xf numFmtId="0" fontId="5" fillId="18" borderId="1" xfId="5" applyNumberFormat="1" applyFont="1" applyFill="1" applyBorder="1" applyAlignment="1" applyProtection="1">
      <alignment horizontal="center" vertical="center" wrapText="1"/>
    </xf>
    <xf numFmtId="0" fontId="5" fillId="18" borderId="16" xfId="5" applyNumberFormat="1" applyFont="1" applyFill="1" applyBorder="1" applyAlignment="1" applyProtection="1">
      <alignment horizontal="center" vertical="center" wrapText="1"/>
    </xf>
    <xf numFmtId="2" fontId="5" fillId="18" borderId="1" xfId="5" applyNumberFormat="1" applyFont="1" applyFill="1" applyBorder="1" applyAlignment="1" applyProtection="1">
      <alignment horizontal="center" vertical="center" wrapText="1"/>
    </xf>
    <xf numFmtId="1" fontId="5" fillId="18" borderId="1" xfId="5" applyNumberFormat="1" applyFont="1" applyFill="1" applyBorder="1" applyAlignment="1" applyProtection="1">
      <alignment vertical="center" wrapText="1"/>
    </xf>
    <xf numFmtId="165" fontId="5" fillId="18" borderId="9" xfId="5" applyNumberFormat="1" applyFont="1" applyFill="1" applyBorder="1" applyAlignment="1" applyProtection="1">
      <alignment horizontal="center" vertical="center" wrapText="1"/>
    </xf>
    <xf numFmtId="44" fontId="5" fillId="18" borderId="9" xfId="2" applyFont="1" applyFill="1" applyBorder="1" applyAlignment="1" applyProtection="1">
      <alignment horizontal="center" vertical="center" wrapText="1"/>
    </xf>
    <xf numFmtId="0" fontId="5" fillId="18" borderId="10" xfId="5" applyNumberFormat="1" applyFont="1" applyFill="1" applyBorder="1" applyAlignment="1" applyProtection="1">
      <alignment vertical="center" wrapText="1"/>
    </xf>
    <xf numFmtId="0" fontId="5" fillId="18" borderId="14" xfId="5" applyNumberFormat="1" applyFont="1" applyFill="1" applyBorder="1" applyAlignment="1" applyProtection="1">
      <alignment horizontal="center" vertical="center" wrapText="1"/>
    </xf>
    <xf numFmtId="0" fontId="5" fillId="18" borderId="17" xfId="5" applyNumberFormat="1" applyFont="1" applyFill="1" applyBorder="1" applyAlignment="1" applyProtection="1">
      <alignment horizontal="center" vertical="center" wrapText="1"/>
    </xf>
    <xf numFmtId="1" fontId="5" fillId="18" borderId="9" xfId="5" applyNumberFormat="1" applyFont="1" applyFill="1" applyBorder="1" applyAlignment="1" applyProtection="1">
      <alignment vertical="center" wrapText="1"/>
    </xf>
    <xf numFmtId="1" fontId="5" fillId="2" borderId="9" xfId="5" applyNumberFormat="1" applyFont="1" applyFill="1" applyBorder="1" applyAlignment="1" applyProtection="1">
      <alignment vertical="center" wrapText="1"/>
    </xf>
    <xf numFmtId="165" fontId="5" fillId="18" borderId="1" xfId="5" applyNumberFormat="1" applyFont="1" applyFill="1" applyBorder="1" applyAlignment="1" applyProtection="1">
      <alignment vertical="center" wrapText="1"/>
    </xf>
    <xf numFmtId="165" fontId="5" fillId="2" borderId="1" xfId="5" applyNumberFormat="1" applyFont="1" applyFill="1" applyBorder="1" applyAlignment="1" applyProtection="1">
      <alignment vertical="center" wrapText="1"/>
    </xf>
    <xf numFmtId="0" fontId="5" fillId="18" borderId="9" xfId="5" applyNumberFormat="1" applyFont="1" applyFill="1" applyBorder="1" applyAlignment="1" applyProtection="1">
      <alignment vertical="center" wrapText="1"/>
    </xf>
    <xf numFmtId="0" fontId="5" fillId="16" borderId="10" xfId="0" applyFont="1" applyFill="1" applyBorder="1" applyAlignment="1">
      <alignment vertical="center" wrapText="1"/>
    </xf>
    <xf numFmtId="167" fontId="5" fillId="16" borderId="10" xfId="0" applyNumberFormat="1" applyFont="1" applyFill="1" applyBorder="1" applyAlignment="1" applyProtection="1">
      <alignment horizontal="center" vertical="center" wrapText="1"/>
    </xf>
    <xf numFmtId="0" fontId="5" fillId="2" borderId="10" xfId="0" applyNumberFormat="1" applyFont="1" applyFill="1" applyBorder="1" applyAlignment="1" applyProtection="1">
      <alignment horizontal="center" vertical="top" wrapText="1"/>
    </xf>
    <xf numFmtId="1" fontId="5" fillId="18" borderId="10" xfId="5" applyNumberFormat="1" applyFont="1" applyFill="1" applyBorder="1" applyAlignment="1" applyProtection="1">
      <alignment horizontal="center" vertical="center" wrapText="1"/>
    </xf>
    <xf numFmtId="1" fontId="5" fillId="18" borderId="1" xfId="5" applyNumberFormat="1" applyFont="1" applyFill="1" applyBorder="1" applyAlignment="1" applyProtection="1">
      <alignment horizontal="center" vertical="center" wrapText="1"/>
    </xf>
    <xf numFmtId="165" fontId="5" fillId="18" borderId="9" xfId="5" applyNumberFormat="1" applyFont="1" applyFill="1" applyBorder="1" applyAlignment="1" applyProtection="1">
      <alignment vertical="center" wrapText="1"/>
    </xf>
    <xf numFmtId="165" fontId="5" fillId="18" borderId="10" xfId="5" applyNumberFormat="1" applyFont="1" applyFill="1" applyBorder="1" applyAlignment="1" applyProtection="1">
      <alignment horizontal="center" vertical="center" wrapText="1"/>
    </xf>
    <xf numFmtId="44" fontId="5" fillId="18" borderId="10" xfId="2" applyFont="1" applyFill="1" applyBorder="1" applyAlignment="1" applyProtection="1">
      <alignment horizontal="center" vertical="center" wrapText="1"/>
    </xf>
    <xf numFmtId="164" fontId="5" fillId="18" borderId="10" xfId="5" applyNumberFormat="1" applyFont="1" applyFill="1" applyBorder="1" applyAlignment="1" applyProtection="1">
      <alignment horizontal="center" vertical="center" wrapText="1"/>
    </xf>
    <xf numFmtId="0" fontId="5" fillId="16" borderId="10" xfId="0" applyFont="1" applyFill="1" applyBorder="1" applyAlignment="1">
      <alignment horizontal="justify" vertical="center" wrapText="1"/>
    </xf>
    <xf numFmtId="43" fontId="5" fillId="18" borderId="1" xfId="1" applyFont="1" applyFill="1" applyBorder="1" applyAlignment="1" applyProtection="1">
      <alignment horizontal="center" vertical="center" wrapText="1"/>
    </xf>
    <xf numFmtId="2" fontId="5" fillId="18" borderId="9" xfId="5" applyNumberFormat="1" applyFont="1" applyFill="1" applyBorder="1" applyAlignment="1" applyProtection="1">
      <alignment vertical="center" wrapText="1"/>
    </xf>
    <xf numFmtId="165" fontId="5" fillId="18" borderId="10" xfId="5" applyNumberFormat="1" applyFont="1" applyFill="1" applyBorder="1" applyAlignment="1" applyProtection="1">
      <alignment vertical="center" wrapText="1"/>
    </xf>
    <xf numFmtId="0" fontId="5" fillId="18" borderId="8" xfId="5" applyNumberFormat="1" applyFont="1" applyFill="1" applyBorder="1" applyAlignment="1" applyProtection="1">
      <alignment horizontal="center" vertical="top" wrapText="1"/>
    </xf>
    <xf numFmtId="0" fontId="5" fillId="18" borderId="10" xfId="5" applyNumberFormat="1" applyFont="1" applyFill="1" applyBorder="1" applyAlignment="1" applyProtection="1">
      <alignment horizontal="center" vertical="center" wrapText="1"/>
    </xf>
    <xf numFmtId="1" fontId="5" fillId="18" borderId="8" xfId="5" applyNumberFormat="1" applyFont="1" applyFill="1" applyBorder="1" applyAlignment="1" applyProtection="1">
      <alignment vertical="center" wrapText="1"/>
    </xf>
    <xf numFmtId="9" fontId="5" fillId="2" borderId="8" xfId="6" applyFont="1" applyFill="1" applyBorder="1" applyAlignment="1" applyProtection="1">
      <alignment horizontal="center" vertical="center" wrapText="1"/>
    </xf>
    <xf numFmtId="1" fontId="5" fillId="2" borderId="8" xfId="5" applyNumberFormat="1" applyFont="1" applyFill="1" applyBorder="1" applyAlignment="1" applyProtection="1">
      <alignment vertical="center" wrapText="1"/>
    </xf>
    <xf numFmtId="44" fontId="6" fillId="19" borderId="10" xfId="2" applyFont="1" applyFill="1" applyBorder="1" applyAlignment="1">
      <alignment horizontal="center" vertical="center" wrapText="1"/>
    </xf>
    <xf numFmtId="43" fontId="5" fillId="8" borderId="1" xfId="1" applyFont="1" applyFill="1" applyBorder="1" applyAlignment="1" applyProtection="1">
      <alignment horizontal="center" vertical="center" wrapText="1"/>
    </xf>
    <xf numFmtId="43" fontId="5" fillId="8" borderId="8" xfId="1" applyFont="1" applyFill="1" applyBorder="1" applyAlignment="1" applyProtection="1">
      <alignment horizontal="center" vertical="center" wrapText="1"/>
    </xf>
    <xf numFmtId="0" fontId="5" fillId="8" borderId="10" xfId="0" applyNumberFormat="1" applyFont="1" applyFill="1" applyBorder="1" applyAlignment="1" applyProtection="1">
      <alignment vertical="center" wrapText="1"/>
    </xf>
    <xf numFmtId="2" fontId="5" fillId="8" borderId="10" xfId="0" applyNumberFormat="1" applyFont="1" applyFill="1" applyBorder="1" applyAlignment="1" applyProtection="1">
      <alignment horizontal="center" vertical="center" wrapText="1"/>
    </xf>
    <xf numFmtId="0" fontId="5" fillId="8" borderId="10" xfId="5" applyNumberFormat="1" applyFont="1" applyFill="1" applyBorder="1" applyAlignment="1" applyProtection="1">
      <alignment vertical="top" wrapText="1"/>
    </xf>
    <xf numFmtId="1" fontId="5" fillId="8" borderId="10" xfId="0" applyNumberFormat="1" applyFont="1" applyFill="1" applyBorder="1" applyAlignment="1" applyProtection="1">
      <alignment horizontal="center" vertical="center" wrapText="1"/>
    </xf>
    <xf numFmtId="0" fontId="5" fillId="8" borderId="10" xfId="0" applyNumberFormat="1" applyFont="1" applyFill="1" applyBorder="1" applyAlignment="1" applyProtection="1">
      <alignment horizontal="center" vertical="center" wrapText="1"/>
    </xf>
    <xf numFmtId="0" fontId="5" fillId="8" borderId="1" xfId="0" applyNumberFormat="1" applyFont="1" applyFill="1" applyBorder="1" applyAlignment="1" applyProtection="1">
      <alignment horizontal="center" vertical="center" wrapText="1"/>
    </xf>
    <xf numFmtId="43" fontId="5" fillId="8" borderId="10" xfId="1" applyFont="1" applyFill="1" applyBorder="1" applyAlignment="1" applyProtection="1">
      <alignment horizontal="center" vertical="center" wrapText="1"/>
    </xf>
    <xf numFmtId="165" fontId="5" fillId="8" borderId="10" xfId="0" applyNumberFormat="1" applyFont="1" applyFill="1" applyBorder="1" applyAlignment="1" applyProtection="1">
      <alignment horizontal="center" vertical="center" wrapText="1"/>
    </xf>
    <xf numFmtId="44" fontId="5" fillId="8" borderId="10" xfId="2"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169" fontId="4" fillId="2" borderId="10" xfId="1" applyNumberFormat="1" applyFont="1" applyFill="1" applyBorder="1" applyAlignment="1" applyProtection="1">
      <alignment vertical="center" wrapText="1"/>
    </xf>
    <xf numFmtId="0" fontId="5" fillId="20" borderId="10" xfId="4" applyFont="1" applyFill="1" applyBorder="1" applyAlignment="1">
      <alignment horizontal="left" vertical="center" wrapText="1"/>
    </xf>
    <xf numFmtId="0" fontId="5" fillId="20" borderId="10" xfId="0" applyFont="1" applyFill="1" applyBorder="1" applyAlignment="1">
      <alignment horizontal="left" vertical="center" wrapText="1"/>
    </xf>
    <xf numFmtId="0" fontId="5" fillId="20" borderId="1" xfId="0" applyFont="1" applyFill="1" applyBorder="1" applyAlignment="1">
      <alignment vertical="center" wrapText="1"/>
    </xf>
    <xf numFmtId="9" fontId="5" fillId="20" borderId="1" xfId="6" applyFont="1" applyFill="1" applyBorder="1" applyAlignment="1">
      <alignment vertical="center" wrapText="1"/>
    </xf>
    <xf numFmtId="1" fontId="5" fillId="20" borderId="1" xfId="0" applyNumberFormat="1" applyFont="1" applyFill="1" applyBorder="1" applyAlignment="1">
      <alignment horizontal="center" vertical="center" wrapText="1"/>
    </xf>
    <xf numFmtId="1" fontId="5" fillId="8" borderId="10" xfId="5" applyNumberFormat="1" applyFont="1" applyFill="1" applyBorder="1" applyAlignment="1" applyProtection="1">
      <alignment horizontal="center" vertical="center" wrapText="1"/>
    </xf>
    <xf numFmtId="165" fontId="5" fillId="8" borderId="10" xfId="5" applyNumberFormat="1" applyFont="1" applyFill="1" applyBorder="1" applyAlignment="1" applyProtection="1">
      <alignment horizontal="center" vertical="center" wrapText="1"/>
    </xf>
    <xf numFmtId="0" fontId="5" fillId="20" borderId="8" xfId="0" applyFont="1" applyFill="1" applyBorder="1" applyAlignment="1">
      <alignment vertical="center" wrapText="1"/>
    </xf>
    <xf numFmtId="0" fontId="5" fillId="2" borderId="8" xfId="0" applyFont="1" applyFill="1" applyBorder="1" applyAlignment="1">
      <alignment vertical="center" wrapText="1"/>
    </xf>
    <xf numFmtId="0" fontId="5" fillId="20" borderId="0" xfId="0" applyNumberFormat="1" applyFont="1" applyFill="1" applyBorder="1" applyAlignment="1" applyProtection="1">
      <alignment vertical="center" wrapText="1"/>
    </xf>
    <xf numFmtId="0" fontId="5" fillId="21" borderId="10" xfId="0" applyFont="1" applyFill="1" applyBorder="1" applyAlignment="1">
      <alignment vertical="center" wrapText="1"/>
    </xf>
    <xf numFmtId="164" fontId="5" fillId="8" borderId="10" xfId="5" applyNumberFormat="1" applyFont="1" applyFill="1" applyBorder="1" applyAlignment="1" applyProtection="1">
      <alignment horizontal="center" vertical="center" wrapText="1"/>
    </xf>
    <xf numFmtId="0" fontId="5" fillId="20" borderId="1" xfId="4" applyFont="1" applyFill="1" applyBorder="1" applyAlignment="1">
      <alignment horizontal="left" vertical="center" wrapText="1"/>
    </xf>
    <xf numFmtId="0" fontId="5" fillId="20" borderId="10" xfId="8" applyFont="1" applyFill="1" applyBorder="1" applyAlignment="1">
      <alignment horizontal="left" vertical="center" wrapText="1"/>
    </xf>
    <xf numFmtId="0" fontId="5" fillId="20" borderId="9" xfId="0" applyFont="1" applyFill="1" applyBorder="1" applyAlignment="1">
      <alignment vertical="center" wrapText="1"/>
    </xf>
    <xf numFmtId="0" fontId="5" fillId="2" borderId="9" xfId="0" applyFont="1" applyFill="1" applyBorder="1" applyAlignment="1">
      <alignment vertical="center" wrapText="1"/>
    </xf>
    <xf numFmtId="10" fontId="7" fillId="13" borderId="10" xfId="5" applyNumberFormat="1" applyFont="1" applyFill="1" applyBorder="1" applyAlignment="1" applyProtection="1">
      <alignment vertical="center" wrapText="1"/>
    </xf>
    <xf numFmtId="43" fontId="4" fillId="13" borderId="10" xfId="1" applyNumberFormat="1" applyFont="1" applyFill="1" applyBorder="1" applyAlignment="1" applyProtection="1">
      <alignment horizontal="center" vertical="center" wrapText="1"/>
    </xf>
    <xf numFmtId="10" fontId="7" fillId="2" borderId="10" xfId="5" applyNumberFormat="1" applyFont="1" applyFill="1" applyBorder="1" applyAlignment="1" applyProtection="1">
      <alignment vertical="center" wrapText="1"/>
    </xf>
    <xf numFmtId="10" fontId="7" fillId="13" borderId="10" xfId="5" applyNumberFormat="1" applyFont="1" applyFill="1" applyBorder="1" applyAlignment="1" applyProtection="1">
      <alignment vertical="top" wrapText="1"/>
    </xf>
    <xf numFmtId="0" fontId="5" fillId="8" borderId="8" xfId="0" applyNumberFormat="1" applyFont="1" applyFill="1" applyBorder="1" applyAlignment="1" applyProtection="1">
      <alignment horizontal="center" vertical="center" wrapText="1"/>
    </xf>
    <xf numFmtId="0" fontId="5" fillId="8" borderId="1" xfId="0" applyNumberFormat="1" applyFont="1" applyFill="1" applyBorder="1" applyAlignment="1" applyProtection="1">
      <alignment vertical="center" wrapText="1"/>
    </xf>
    <xf numFmtId="0" fontId="5" fillId="8" borderId="9" xfId="0" applyNumberFormat="1" applyFont="1" applyFill="1" applyBorder="1" applyAlignment="1" applyProtection="1">
      <alignment vertical="center" wrapText="1"/>
    </xf>
    <xf numFmtId="0" fontId="5" fillId="8" borderId="9" xfId="0" applyNumberFormat="1" applyFont="1" applyFill="1" applyBorder="1" applyAlignment="1" applyProtection="1">
      <alignment horizontal="center" vertical="center" wrapText="1"/>
    </xf>
    <xf numFmtId="17" fontId="5" fillId="8" borderId="9" xfId="0" applyNumberFormat="1" applyFont="1" applyFill="1" applyBorder="1" applyAlignment="1" applyProtection="1">
      <alignment horizontal="center" vertical="center" wrapText="1"/>
    </xf>
    <xf numFmtId="164" fontId="5" fillId="8" borderId="9" xfId="0" applyNumberFormat="1" applyFont="1" applyFill="1" applyBorder="1" applyAlignment="1" applyProtection="1">
      <alignment horizontal="center" vertical="center" wrapText="1"/>
    </xf>
    <xf numFmtId="165" fontId="5" fillId="8" borderId="9" xfId="0" applyNumberFormat="1" applyFont="1" applyFill="1" applyBorder="1" applyAlignment="1" applyProtection="1">
      <alignment horizontal="center" vertical="center" wrapText="1"/>
    </xf>
    <xf numFmtId="44" fontId="5" fillId="8" borderId="9" xfId="2" applyFont="1" applyFill="1" applyBorder="1" applyAlignment="1" applyProtection="1">
      <alignment horizontal="center" vertical="center" wrapText="1"/>
    </xf>
    <xf numFmtId="0" fontId="5" fillId="8" borderId="10" xfId="0" applyNumberFormat="1" applyFont="1" applyFill="1" applyBorder="1" applyAlignment="1" applyProtection="1">
      <alignment horizontal="center" vertical="top" wrapText="1"/>
    </xf>
    <xf numFmtId="0" fontId="5" fillId="8" borderId="8" xfId="0" applyNumberFormat="1" applyFont="1" applyFill="1" applyBorder="1" applyAlignment="1" applyProtection="1">
      <alignment vertical="center" wrapText="1"/>
    </xf>
    <xf numFmtId="17" fontId="5" fillId="8" borderId="1" xfId="0" applyNumberFormat="1" applyFont="1" applyFill="1" applyBorder="1" applyAlignment="1" applyProtection="1">
      <alignment horizontal="center" vertical="center" wrapText="1"/>
    </xf>
    <xf numFmtId="44" fontId="5" fillId="8" borderId="1" xfId="2" applyFont="1" applyFill="1" applyBorder="1" applyAlignment="1" applyProtection="1">
      <alignment vertical="center" wrapText="1"/>
    </xf>
    <xf numFmtId="17" fontId="5" fillId="8" borderId="9" xfId="0" applyNumberFormat="1" applyFont="1" applyFill="1" applyBorder="1" applyAlignment="1" applyProtection="1">
      <alignment vertical="center" wrapText="1"/>
    </xf>
    <xf numFmtId="44" fontId="5" fillId="8" borderId="9" xfId="2" applyFont="1" applyFill="1" applyBorder="1" applyAlignment="1" applyProtection="1">
      <alignment vertical="center" wrapText="1"/>
    </xf>
    <xf numFmtId="2" fontId="5" fillId="8" borderId="8" xfId="0" applyNumberFormat="1" applyFont="1" applyFill="1" applyBorder="1" applyAlignment="1" applyProtection="1">
      <alignment horizontal="center" vertical="center" wrapText="1"/>
    </xf>
    <xf numFmtId="165" fontId="5" fillId="8" borderId="8" xfId="0" applyNumberFormat="1" applyFont="1" applyFill="1" applyBorder="1" applyAlignment="1" applyProtection="1">
      <alignment horizontal="center" vertical="center" wrapText="1"/>
    </xf>
    <xf numFmtId="44" fontId="5" fillId="8" borderId="8" xfId="2" applyFont="1" applyFill="1" applyBorder="1" applyAlignment="1" applyProtection="1">
      <alignment horizontal="center" vertical="center" wrapText="1"/>
    </xf>
    <xf numFmtId="0" fontId="5" fillId="8" borderId="1" xfId="0" applyNumberFormat="1" applyFont="1" applyFill="1" applyBorder="1" applyAlignment="1" applyProtection="1">
      <alignment horizontal="center" vertical="top" wrapText="1"/>
    </xf>
    <xf numFmtId="0" fontId="5" fillId="8" borderId="11" xfId="0" applyNumberFormat="1" applyFont="1" applyFill="1" applyBorder="1" applyAlignment="1" applyProtection="1">
      <alignment horizontal="center" vertical="center" wrapText="1"/>
    </xf>
    <xf numFmtId="0" fontId="5" fillId="22" borderId="1" xfId="0" applyNumberFormat="1" applyFont="1" applyFill="1" applyBorder="1" applyAlignment="1" applyProtection="1">
      <alignment horizontal="center" vertical="center" wrapText="1"/>
    </xf>
    <xf numFmtId="164" fontId="5" fillId="8" borderId="10" xfId="0" applyNumberFormat="1" applyFont="1" applyFill="1" applyBorder="1" applyAlignment="1" applyProtection="1">
      <alignment horizontal="center" vertical="center" wrapText="1"/>
    </xf>
    <xf numFmtId="44" fontId="5" fillId="8" borderId="8" xfId="2" applyFont="1" applyFill="1" applyBorder="1" applyAlignment="1" applyProtection="1">
      <alignment horizontal="center" vertical="top" wrapText="1"/>
    </xf>
    <xf numFmtId="0" fontId="5" fillId="2" borderId="8" xfId="0" applyNumberFormat="1" applyFont="1" applyFill="1" applyBorder="1" applyAlignment="1" applyProtection="1">
      <alignment horizontal="center" vertical="center" wrapText="1"/>
    </xf>
    <xf numFmtId="17" fontId="5" fillId="8" borderId="10" xfId="0" applyNumberFormat="1" applyFont="1" applyFill="1" applyBorder="1" applyAlignment="1" applyProtection="1">
      <alignment horizontal="center" vertical="center" wrapText="1"/>
    </xf>
    <xf numFmtId="44" fontId="5" fillId="8" borderId="11" xfId="2" applyFont="1" applyFill="1" applyBorder="1" applyAlignment="1" applyProtection="1">
      <alignment horizontal="center" vertical="top" wrapText="1"/>
    </xf>
    <xf numFmtId="0" fontId="5" fillId="12" borderId="10" xfId="0" applyFont="1" applyFill="1" applyBorder="1" applyAlignment="1">
      <alignment horizontal="left" vertical="center" wrapText="1"/>
    </xf>
    <xf numFmtId="0" fontId="5" fillId="22" borderId="8"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top" wrapText="1"/>
    </xf>
    <xf numFmtId="2" fontId="5" fillId="8" borderId="1" xfId="0" applyNumberFormat="1" applyFont="1" applyFill="1" applyBorder="1" applyAlignment="1" applyProtection="1">
      <alignment horizontal="center" vertical="center" wrapText="1"/>
    </xf>
    <xf numFmtId="165" fontId="5" fillId="8" borderId="1" xfId="0" applyNumberFormat="1" applyFont="1" applyFill="1" applyBorder="1" applyAlignment="1" applyProtection="1">
      <alignment horizontal="center" vertical="center" wrapText="1"/>
    </xf>
    <xf numFmtId="2" fontId="5" fillId="8" borderId="9" xfId="0" applyNumberFormat="1" applyFont="1" applyFill="1" applyBorder="1" applyAlignment="1" applyProtection="1">
      <alignment horizontal="center" vertical="center" wrapText="1"/>
    </xf>
    <xf numFmtId="44" fontId="5" fillId="8" borderId="1" xfId="2" applyFont="1" applyFill="1" applyBorder="1" applyAlignment="1" applyProtection="1">
      <alignment horizontal="center" vertical="center" wrapText="1"/>
    </xf>
    <xf numFmtId="172" fontId="5" fillId="6" borderId="9" xfId="0" applyNumberFormat="1" applyFont="1" applyFill="1" applyBorder="1" applyAlignment="1" applyProtection="1">
      <alignment horizontal="left" vertical="center" wrapText="1"/>
    </xf>
    <xf numFmtId="43" fontId="4" fillId="2" borderId="9" xfId="1" applyFont="1" applyFill="1" applyBorder="1" applyAlignment="1" applyProtection="1">
      <alignment horizontal="center" vertical="center" wrapText="1"/>
    </xf>
    <xf numFmtId="0" fontId="4" fillId="13" borderId="1" xfId="5" applyNumberFormat="1" applyFont="1" applyFill="1" applyBorder="1" applyAlignment="1" applyProtection="1">
      <alignment vertical="center" wrapText="1"/>
    </xf>
    <xf numFmtId="176" fontId="4" fillId="13" borderId="1" xfId="5" applyNumberFormat="1" applyFont="1" applyFill="1" applyBorder="1" applyAlignment="1" applyProtection="1">
      <alignment horizontal="center" vertical="center" wrapText="1"/>
    </xf>
    <xf numFmtId="0" fontId="4" fillId="13" borderId="10" xfId="5" applyNumberFormat="1" applyFont="1" applyFill="1" applyBorder="1" applyAlignment="1" applyProtection="1">
      <alignment vertical="top" wrapText="1"/>
    </xf>
    <xf numFmtId="0" fontId="5" fillId="8" borderId="6" xfId="0" applyNumberFormat="1" applyFont="1" applyFill="1" applyBorder="1" applyAlignment="1" applyProtection="1">
      <alignment vertical="center" wrapText="1"/>
    </xf>
    <xf numFmtId="0" fontId="5" fillId="8" borderId="13" xfId="0" applyNumberFormat="1" applyFont="1" applyFill="1" applyBorder="1" applyAlignment="1" applyProtection="1">
      <alignment horizontal="center" vertical="center" wrapText="1"/>
    </xf>
    <xf numFmtId="0" fontId="5" fillId="8" borderId="16" xfId="0" applyNumberFormat="1" applyFont="1" applyFill="1" applyBorder="1" applyAlignment="1" applyProtection="1">
      <alignment horizontal="center" vertical="center" wrapText="1"/>
    </xf>
    <xf numFmtId="0" fontId="5" fillId="8" borderId="6" xfId="0" applyNumberFormat="1" applyFont="1" applyFill="1" applyBorder="1" applyAlignment="1" applyProtection="1">
      <alignment horizontal="center" vertical="center" wrapText="1"/>
    </xf>
    <xf numFmtId="9" fontId="5" fillId="2" borderId="6" xfId="6" applyFont="1" applyFill="1" applyBorder="1" applyAlignment="1" applyProtection="1">
      <alignment horizontal="center" vertical="center" wrapText="1"/>
    </xf>
    <xf numFmtId="165" fontId="5" fillId="8" borderId="6" xfId="0" applyNumberFormat="1" applyFont="1" applyFill="1" applyBorder="1" applyAlignment="1" applyProtection="1">
      <alignment vertical="center" wrapText="1"/>
    </xf>
    <xf numFmtId="44" fontId="5" fillId="8" borderId="6" xfId="2" applyFont="1" applyFill="1" applyBorder="1" applyAlignment="1" applyProtection="1">
      <alignment vertical="center" wrapText="1"/>
    </xf>
    <xf numFmtId="9" fontId="5" fillId="2" borderId="6" xfId="6" applyFont="1" applyFill="1" applyBorder="1" applyAlignment="1" applyProtection="1">
      <alignment vertical="center" wrapText="1"/>
    </xf>
    <xf numFmtId="9" fontId="5" fillId="8" borderId="6" xfId="6" applyFont="1" applyFill="1" applyBorder="1" applyAlignment="1" applyProtection="1">
      <alignment vertical="center" wrapText="1"/>
    </xf>
    <xf numFmtId="0" fontId="5" fillId="8" borderId="19" xfId="0" applyNumberFormat="1" applyFont="1" applyFill="1" applyBorder="1" applyAlignment="1" applyProtection="1">
      <alignment horizontal="center" vertical="center" wrapText="1"/>
    </xf>
    <xf numFmtId="165" fontId="5" fillId="8" borderId="8" xfId="0" applyNumberFormat="1" applyFont="1" applyFill="1" applyBorder="1" applyAlignment="1" applyProtection="1">
      <alignment vertical="center" wrapText="1"/>
    </xf>
    <xf numFmtId="44" fontId="5" fillId="8" borderId="8" xfId="2" applyFont="1" applyFill="1" applyBorder="1" applyAlignment="1" applyProtection="1">
      <alignment vertical="center" wrapText="1"/>
    </xf>
    <xf numFmtId="9" fontId="5" fillId="2" borderId="8" xfId="6" applyFont="1" applyFill="1" applyBorder="1" applyAlignment="1" applyProtection="1">
      <alignment vertical="center" wrapText="1"/>
    </xf>
    <xf numFmtId="9" fontId="5" fillId="8" borderId="8" xfId="6" applyFont="1" applyFill="1" applyBorder="1" applyAlignment="1" applyProtection="1">
      <alignment vertical="center" wrapText="1"/>
    </xf>
    <xf numFmtId="0" fontId="5" fillId="8" borderId="14" xfId="0" applyNumberFormat="1" applyFont="1" applyFill="1" applyBorder="1" applyAlignment="1" applyProtection="1">
      <alignment horizontal="center" vertical="center" wrapText="1"/>
    </xf>
    <xf numFmtId="0" fontId="5" fillId="8" borderId="17" xfId="0" applyNumberFormat="1" applyFont="1" applyFill="1" applyBorder="1" applyAlignment="1" applyProtection="1">
      <alignment horizontal="center" vertical="center" wrapText="1"/>
    </xf>
    <xf numFmtId="165" fontId="5" fillId="8" borderId="9" xfId="0" applyNumberFormat="1" applyFont="1" applyFill="1" applyBorder="1" applyAlignment="1" applyProtection="1">
      <alignment vertical="center" wrapText="1"/>
    </xf>
    <xf numFmtId="9" fontId="5" fillId="8" borderId="9" xfId="6" applyFont="1" applyFill="1" applyBorder="1" applyAlignment="1" applyProtection="1">
      <alignment vertical="center" wrapText="1"/>
    </xf>
    <xf numFmtId="164" fontId="5" fillId="8" borderId="1" xfId="0" applyNumberFormat="1" applyFont="1" applyFill="1" applyBorder="1" applyAlignment="1" applyProtection="1">
      <alignment horizontal="center" vertical="center" wrapText="1"/>
    </xf>
    <xf numFmtId="165" fontId="5" fillId="8" borderId="1" xfId="0" applyNumberFormat="1" applyFont="1" applyFill="1" applyBorder="1" applyAlignment="1" applyProtection="1">
      <alignment vertical="center" wrapText="1"/>
    </xf>
    <xf numFmtId="0" fontId="5" fillId="2" borderId="1" xfId="0" applyNumberFormat="1" applyFont="1" applyFill="1" applyBorder="1" applyAlignment="1" applyProtection="1">
      <alignment vertical="center" wrapText="1"/>
    </xf>
    <xf numFmtId="164" fontId="5" fillId="8" borderId="10" xfId="0" applyNumberFormat="1" applyFont="1" applyFill="1" applyBorder="1" applyAlignment="1" applyProtection="1">
      <alignment vertical="center" wrapText="1"/>
    </xf>
    <xf numFmtId="164" fontId="5" fillId="8" borderId="9" xfId="0" applyNumberFormat="1" applyFont="1" applyFill="1" applyBorder="1" applyAlignment="1" applyProtection="1">
      <alignment vertical="center" wrapText="1"/>
    </xf>
    <xf numFmtId="165" fontId="5" fillId="2" borderId="9" xfId="0" applyNumberFormat="1" applyFont="1" applyFill="1" applyBorder="1" applyAlignment="1" applyProtection="1">
      <alignment vertical="center" wrapText="1"/>
    </xf>
    <xf numFmtId="9" fontId="5" fillId="2" borderId="7" xfId="6" applyFont="1" applyFill="1" applyBorder="1" applyAlignment="1" applyProtection="1">
      <alignment vertical="center" wrapText="1"/>
    </xf>
    <xf numFmtId="165" fontId="5" fillId="8" borderId="10" xfId="0" applyNumberFormat="1" applyFont="1" applyFill="1" applyBorder="1" applyAlignment="1" applyProtection="1">
      <alignment vertical="center" wrapText="1"/>
    </xf>
    <xf numFmtId="9" fontId="5" fillId="2" borderId="7" xfId="6" applyFont="1" applyFill="1" applyBorder="1" applyAlignment="1" applyProtection="1">
      <alignment horizontal="center" vertical="center" wrapText="1"/>
    </xf>
    <xf numFmtId="0" fontId="5" fillId="8" borderId="13" xfId="0" applyNumberFormat="1" applyFont="1" applyFill="1" applyBorder="1" applyAlignment="1" applyProtection="1">
      <alignment vertical="center" wrapText="1"/>
    </xf>
    <xf numFmtId="0" fontId="5" fillId="8" borderId="16" xfId="0" applyNumberFormat="1" applyFont="1" applyFill="1" applyBorder="1" applyAlignment="1" applyProtection="1">
      <alignment vertical="center" wrapText="1"/>
    </xf>
    <xf numFmtId="44" fontId="5" fillId="2" borderId="8" xfId="2" applyFont="1" applyFill="1" applyBorder="1" applyAlignment="1" applyProtection="1">
      <alignment vertical="center" wrapText="1"/>
    </xf>
    <xf numFmtId="44" fontId="5" fillId="2" borderId="9" xfId="2" applyFont="1" applyFill="1" applyBorder="1" applyAlignment="1" applyProtection="1">
      <alignment vertical="center" wrapText="1"/>
    </xf>
    <xf numFmtId="0" fontId="5" fillId="8" borderId="11" xfId="0" applyNumberFormat="1" applyFont="1" applyFill="1" applyBorder="1" applyAlignment="1" applyProtection="1">
      <alignment vertical="center" wrapText="1"/>
    </xf>
    <xf numFmtId="0" fontId="5" fillId="8" borderId="19" xfId="0" applyNumberFormat="1" applyFont="1" applyFill="1" applyBorder="1" applyAlignment="1" applyProtection="1">
      <alignment vertical="center" wrapText="1"/>
    </xf>
    <xf numFmtId="0" fontId="0" fillId="0" borderId="14" xfId="0" applyNumberFormat="1" applyFont="1" applyFill="1" applyBorder="1" applyAlignment="1" applyProtection="1">
      <alignment vertical="top"/>
    </xf>
    <xf numFmtId="0" fontId="0" fillId="0" borderId="9" xfId="0" applyNumberFormat="1" applyFont="1" applyFill="1" applyBorder="1" applyAlignment="1" applyProtection="1">
      <alignment vertical="top"/>
    </xf>
    <xf numFmtId="0" fontId="0" fillId="0" borderId="17" xfId="0" applyNumberFormat="1" applyFont="1" applyFill="1" applyBorder="1" applyAlignment="1" applyProtection="1">
      <alignment vertical="top"/>
    </xf>
    <xf numFmtId="9" fontId="5" fillId="2" borderId="10" xfId="6" applyFont="1" applyFill="1" applyBorder="1" applyAlignment="1" applyProtection="1">
      <alignment vertical="center" wrapText="1"/>
    </xf>
    <xf numFmtId="0" fontId="5" fillId="2" borderId="9" xfId="0" applyNumberFormat="1" applyFont="1" applyFill="1" applyBorder="1" applyAlignment="1" applyProtection="1">
      <alignment horizontal="center" vertical="center" wrapText="1"/>
    </xf>
    <xf numFmtId="9" fontId="5" fillId="2" borderId="2" xfId="6" applyFont="1" applyFill="1" applyBorder="1" applyAlignment="1" applyProtection="1">
      <alignment vertical="center" wrapText="1"/>
    </xf>
    <xf numFmtId="0" fontId="5" fillId="8" borderId="9" xfId="0" applyNumberFormat="1" applyFont="1" applyFill="1" applyBorder="1" applyAlignment="1" applyProtection="1">
      <alignment horizontal="center" vertical="top" wrapText="1"/>
    </xf>
    <xf numFmtId="17" fontId="5" fillId="8" borderId="8" xfId="0" applyNumberFormat="1" applyFont="1" applyFill="1" applyBorder="1" applyAlignment="1" applyProtection="1">
      <alignment horizontal="center" vertical="center" wrapText="1"/>
    </xf>
    <xf numFmtId="171" fontId="4" fillId="13" borderId="10" xfId="5" applyNumberFormat="1" applyFont="1" applyFill="1" applyBorder="1" applyAlignment="1" applyProtection="1">
      <alignment vertical="center" wrapText="1"/>
    </xf>
    <xf numFmtId="0" fontId="5" fillId="23" borderId="1" xfId="5" applyNumberFormat="1" applyFont="1" applyFill="1" applyBorder="1" applyAlignment="1" applyProtection="1">
      <alignment vertical="center" wrapText="1"/>
    </xf>
    <xf numFmtId="43" fontId="5" fillId="23" borderId="1" xfId="1" applyFont="1" applyFill="1" applyBorder="1" applyAlignment="1" applyProtection="1">
      <alignment vertical="center" wrapText="1"/>
    </xf>
    <xf numFmtId="0" fontId="5" fillId="24" borderId="1" xfId="0" applyNumberFormat="1" applyFont="1" applyFill="1" applyBorder="1" applyAlignment="1" applyProtection="1">
      <alignment vertical="center" wrapText="1"/>
    </xf>
    <xf numFmtId="0" fontId="6" fillId="23" borderId="10" xfId="0" applyFont="1" applyFill="1" applyBorder="1" applyAlignment="1">
      <alignment horizontal="center" vertical="center" wrapText="1"/>
    </xf>
    <xf numFmtId="2" fontId="5" fillId="23" borderId="10" xfId="5" applyNumberFormat="1" applyFont="1" applyFill="1" applyBorder="1" applyAlignment="1" applyProtection="1">
      <alignment horizontal="center" vertical="center" wrapText="1"/>
    </xf>
    <xf numFmtId="0" fontId="5" fillId="24" borderId="10" xfId="0" applyNumberFormat="1" applyFont="1" applyFill="1" applyBorder="1" applyAlignment="1" applyProtection="1">
      <alignment horizontal="center" vertical="center" wrapText="1"/>
    </xf>
    <xf numFmtId="168" fontId="5" fillId="24" borderId="1" xfId="0" applyNumberFormat="1" applyFont="1" applyFill="1" applyBorder="1" applyAlignment="1" applyProtection="1">
      <alignment vertical="center" wrapText="1"/>
    </xf>
    <xf numFmtId="44" fontId="6" fillId="24" borderId="1" xfId="2" applyFont="1" applyFill="1" applyBorder="1" applyAlignment="1">
      <alignment vertical="center" wrapText="1"/>
    </xf>
    <xf numFmtId="43" fontId="6" fillId="24" borderId="1" xfId="1" applyNumberFormat="1" applyFont="1" applyFill="1" applyBorder="1" applyAlignment="1">
      <alignment vertical="center" wrapText="1"/>
    </xf>
    <xf numFmtId="165" fontId="5" fillId="24" borderId="1" xfId="0" applyNumberFormat="1" applyFont="1" applyFill="1" applyBorder="1" applyAlignment="1" applyProtection="1">
      <alignment vertical="center" wrapText="1"/>
    </xf>
    <xf numFmtId="172" fontId="5" fillId="24" borderId="1" xfId="0" applyNumberFormat="1" applyFont="1" applyFill="1" applyBorder="1" applyAlignment="1" applyProtection="1">
      <alignment vertical="center" wrapText="1"/>
    </xf>
    <xf numFmtId="1" fontId="5" fillId="23" borderId="10" xfId="5" applyNumberFormat="1" applyFont="1" applyFill="1" applyBorder="1" applyAlignment="1" applyProtection="1">
      <alignment horizontal="center" vertical="center" wrapText="1"/>
    </xf>
    <xf numFmtId="0" fontId="5" fillId="23" borderId="8" xfId="5" applyNumberFormat="1" applyFont="1" applyFill="1" applyBorder="1" applyAlignment="1" applyProtection="1">
      <alignment vertical="center" wrapText="1"/>
    </xf>
    <xf numFmtId="43" fontId="5" fillId="23" borderId="8" xfId="1" applyFont="1" applyFill="1" applyBorder="1" applyAlignment="1" applyProtection="1">
      <alignment vertical="center" wrapText="1"/>
    </xf>
    <xf numFmtId="0" fontId="5" fillId="12" borderId="6" xfId="0" applyNumberFormat="1" applyFont="1" applyFill="1" applyBorder="1" applyAlignment="1" applyProtection="1">
      <alignment vertical="center" wrapText="1"/>
    </xf>
    <xf numFmtId="0" fontId="6" fillId="23" borderId="8" xfId="0" applyFont="1" applyFill="1" applyBorder="1" applyAlignment="1">
      <alignment horizontal="center" vertical="center" wrapText="1"/>
    </xf>
    <xf numFmtId="2" fontId="5" fillId="23" borderId="8" xfId="5" applyNumberFormat="1" applyFont="1" applyFill="1" applyBorder="1" applyAlignment="1" applyProtection="1">
      <alignment horizontal="center" vertical="center" wrapText="1"/>
    </xf>
    <xf numFmtId="2" fontId="5" fillId="23" borderId="1" xfId="5" applyNumberFormat="1" applyFont="1" applyFill="1" applyBorder="1" applyAlignment="1" applyProtection="1">
      <alignment horizontal="center" vertical="center" wrapText="1"/>
    </xf>
    <xf numFmtId="0" fontId="5" fillId="24" borderId="1" xfId="0" applyNumberFormat="1" applyFont="1" applyFill="1" applyBorder="1" applyAlignment="1" applyProtection="1">
      <alignment horizontal="center" vertical="center" wrapText="1"/>
    </xf>
    <xf numFmtId="1" fontId="5" fillId="12" borderId="6" xfId="5" applyNumberFormat="1" applyFont="1" applyFill="1" applyBorder="1" applyAlignment="1" applyProtection="1">
      <alignment vertical="center" wrapText="1"/>
    </xf>
    <xf numFmtId="168" fontId="5" fillId="12" borderId="6" xfId="5" applyNumberFormat="1" applyFont="1" applyFill="1" applyBorder="1" applyAlignment="1" applyProtection="1">
      <alignment vertical="center" wrapText="1"/>
    </xf>
    <xf numFmtId="177" fontId="5" fillId="12" borderId="6" xfId="5" applyNumberFormat="1" applyFont="1" applyFill="1" applyBorder="1" applyAlignment="1" applyProtection="1">
      <alignment vertical="center" wrapText="1"/>
    </xf>
    <xf numFmtId="43" fontId="5" fillId="23" borderId="10" xfId="1" applyFont="1" applyFill="1" applyBorder="1" applyAlignment="1" applyProtection="1">
      <alignment vertical="center" wrapText="1"/>
    </xf>
    <xf numFmtId="43" fontId="5" fillId="23" borderId="8" xfId="1" applyFont="1" applyFill="1" applyBorder="1" applyAlignment="1" applyProtection="1">
      <alignment horizontal="center" vertical="center" wrapText="1"/>
    </xf>
    <xf numFmtId="2" fontId="5" fillId="23" borderId="1" xfId="5" applyNumberFormat="1" applyFont="1" applyFill="1" applyBorder="1" applyAlignment="1" applyProtection="1">
      <alignment vertical="center" wrapText="1"/>
    </xf>
    <xf numFmtId="1" fontId="5" fillId="23" borderId="1" xfId="5" applyNumberFormat="1" applyFont="1" applyFill="1" applyBorder="1" applyAlignment="1" applyProtection="1">
      <alignment horizontal="center" vertical="center" wrapText="1"/>
    </xf>
    <xf numFmtId="9" fontId="5" fillId="23" borderId="1" xfId="6" applyFont="1" applyFill="1" applyBorder="1" applyAlignment="1" applyProtection="1">
      <alignment horizontal="center" vertical="center" wrapText="1"/>
    </xf>
    <xf numFmtId="1" fontId="5" fillId="23" borderId="1" xfId="5" applyNumberFormat="1" applyFont="1" applyFill="1" applyBorder="1" applyAlignment="1" applyProtection="1">
      <alignment vertical="center" wrapText="1"/>
    </xf>
    <xf numFmtId="165" fontId="5" fillId="23" borderId="10" xfId="5" applyNumberFormat="1" applyFont="1" applyFill="1" applyBorder="1" applyAlignment="1" applyProtection="1">
      <alignment horizontal="center" vertical="center" wrapText="1"/>
    </xf>
    <xf numFmtId="10" fontId="5" fillId="23" borderId="10" xfId="6" applyNumberFormat="1" applyFont="1" applyFill="1" applyBorder="1" applyAlignment="1" applyProtection="1">
      <alignment vertical="center" wrapText="1"/>
    </xf>
    <xf numFmtId="2" fontId="5" fillId="23" borderId="9" xfId="5" applyNumberFormat="1" applyFont="1" applyFill="1" applyBorder="1" applyAlignment="1" applyProtection="1">
      <alignment horizontal="center" vertical="center" wrapText="1"/>
    </xf>
    <xf numFmtId="2" fontId="5" fillId="23" borderId="9" xfId="5" applyNumberFormat="1" applyFont="1" applyFill="1" applyBorder="1" applyAlignment="1" applyProtection="1">
      <alignment vertical="center" wrapText="1"/>
    </xf>
    <xf numFmtId="1" fontId="5" fillId="23" borderId="9" xfId="5" applyNumberFormat="1" applyFont="1" applyFill="1" applyBorder="1" applyAlignment="1" applyProtection="1">
      <alignment vertical="center" wrapText="1"/>
    </xf>
    <xf numFmtId="1" fontId="5" fillId="23" borderId="10" xfId="5" applyNumberFormat="1" applyFont="1" applyFill="1" applyBorder="1" applyAlignment="1" applyProtection="1">
      <alignment vertical="center" wrapText="1"/>
    </xf>
    <xf numFmtId="44" fontId="5" fillId="23" borderId="10" xfId="2" applyFont="1" applyFill="1" applyBorder="1" applyAlignment="1" applyProtection="1">
      <alignment horizontal="center" vertical="center" wrapText="1"/>
    </xf>
    <xf numFmtId="165" fontId="5" fillId="23" borderId="1" xfId="5" applyNumberFormat="1" applyFont="1" applyFill="1" applyBorder="1" applyAlignment="1" applyProtection="1">
      <alignment vertical="center" wrapText="1"/>
    </xf>
    <xf numFmtId="165" fontId="5" fillId="23" borderId="10" xfId="5" applyNumberFormat="1" applyFont="1" applyFill="1" applyBorder="1" applyAlignment="1" applyProtection="1">
      <alignment vertical="center" wrapText="1"/>
    </xf>
    <xf numFmtId="2" fontId="5" fillId="2" borderId="10" xfId="5" applyNumberFormat="1" applyFont="1" applyFill="1" applyBorder="1" applyAlignment="1" applyProtection="1">
      <alignment horizontal="center" vertical="center" wrapText="1"/>
    </xf>
    <xf numFmtId="0" fontId="5" fillId="23" borderId="10" xfId="5" applyNumberFormat="1" applyFont="1" applyFill="1" applyBorder="1" applyAlignment="1" applyProtection="1">
      <alignment vertical="center" wrapText="1"/>
    </xf>
    <xf numFmtId="0" fontId="5" fillId="23" borderId="10" xfId="5" applyNumberFormat="1" applyFont="1" applyFill="1" applyBorder="1" applyAlignment="1" applyProtection="1">
      <alignment vertical="top" wrapText="1"/>
    </xf>
    <xf numFmtId="0" fontId="6" fillId="2" borderId="10" xfId="0" applyFont="1" applyFill="1" applyBorder="1" applyAlignment="1">
      <alignment horizontal="center" vertical="center" wrapText="1"/>
    </xf>
    <xf numFmtId="43" fontId="8" fillId="2" borderId="10" xfId="1" applyFont="1" applyFill="1" applyBorder="1" applyAlignment="1">
      <alignment horizontal="center" vertical="center" wrapText="1"/>
    </xf>
    <xf numFmtId="0" fontId="6" fillId="23" borderId="1" xfId="0" applyFont="1" applyFill="1" applyBorder="1" applyAlignment="1">
      <alignment vertical="center" wrapText="1"/>
    </xf>
    <xf numFmtId="0" fontId="6" fillId="23" borderId="9" xfId="0" applyFont="1" applyFill="1" applyBorder="1" applyAlignment="1">
      <alignment horizontal="center" vertical="center" wrapText="1"/>
    </xf>
    <xf numFmtId="1" fontId="5" fillId="23" borderId="9" xfId="5" applyNumberFormat="1" applyFont="1" applyFill="1" applyBorder="1" applyAlignment="1" applyProtection="1">
      <alignment horizontal="center" vertical="center" wrapText="1"/>
    </xf>
    <xf numFmtId="44" fontId="5" fillId="23" borderId="1" xfId="2" applyFont="1" applyFill="1" applyBorder="1" applyAlignment="1" applyProtection="1">
      <alignment vertical="center" wrapText="1"/>
    </xf>
    <xf numFmtId="43" fontId="5" fillId="23" borderId="9" xfId="1" applyFont="1" applyFill="1" applyBorder="1" applyAlignment="1" applyProtection="1">
      <alignment vertical="center" wrapText="1"/>
    </xf>
    <xf numFmtId="165" fontId="5" fillId="23" borderId="9" xfId="5" applyNumberFormat="1" applyFont="1" applyFill="1" applyBorder="1" applyAlignment="1" applyProtection="1">
      <alignment vertical="center" wrapText="1"/>
    </xf>
    <xf numFmtId="0" fontId="5" fillId="23" borderId="9" xfId="5" applyNumberFormat="1" applyFont="1" applyFill="1" applyBorder="1" applyAlignment="1" applyProtection="1">
      <alignment vertical="center" wrapText="1"/>
    </xf>
    <xf numFmtId="0" fontId="5" fillId="23" borderId="9" xfId="5" applyNumberFormat="1" applyFont="1" applyFill="1" applyBorder="1" applyAlignment="1" applyProtection="1">
      <alignment horizontal="center" vertical="center" wrapText="1"/>
    </xf>
    <xf numFmtId="165" fontId="5" fillId="23" borderId="9" xfId="5" applyNumberFormat="1" applyFont="1" applyFill="1" applyBorder="1" applyAlignment="1" applyProtection="1">
      <alignment horizontal="center" vertical="center" wrapText="1"/>
    </xf>
    <xf numFmtId="44" fontId="5" fillId="23" borderId="9" xfId="2" applyFont="1" applyFill="1" applyBorder="1" applyAlignment="1" applyProtection="1">
      <alignment horizontal="center" vertical="center" wrapText="1"/>
    </xf>
    <xf numFmtId="165" fontId="5" fillId="23" borderId="9" xfId="2" applyNumberFormat="1" applyFont="1" applyFill="1" applyBorder="1" applyAlignment="1" applyProtection="1">
      <alignment horizontal="center" vertical="center" wrapText="1"/>
    </xf>
    <xf numFmtId="0" fontId="5" fillId="23" borderId="9" xfId="5" applyNumberFormat="1" applyFont="1" applyFill="1" applyBorder="1" applyAlignment="1" applyProtection="1">
      <alignment vertical="top" wrapText="1"/>
    </xf>
    <xf numFmtId="0" fontId="5" fillId="25" borderId="10" xfId="0" applyFont="1" applyFill="1" applyBorder="1" applyAlignment="1">
      <alignment horizontal="justify" vertical="top" wrapText="1"/>
    </xf>
    <xf numFmtId="0" fontId="5" fillId="23" borderId="6" xfId="5" applyNumberFormat="1" applyFont="1" applyFill="1" applyBorder="1" applyAlignment="1" applyProtection="1">
      <alignment vertical="center" wrapText="1"/>
    </xf>
    <xf numFmtId="165" fontId="5" fillId="23" borderId="6" xfId="5" applyNumberFormat="1" applyFont="1" applyFill="1" applyBorder="1" applyAlignment="1" applyProtection="1">
      <alignment vertical="center" wrapText="1"/>
    </xf>
    <xf numFmtId="44" fontId="5" fillId="23" borderId="6" xfId="2" applyFont="1" applyFill="1" applyBorder="1" applyAlignment="1" applyProtection="1">
      <alignment vertical="center" wrapText="1"/>
    </xf>
    <xf numFmtId="164" fontId="5" fillId="23" borderId="9" xfId="5" applyNumberFormat="1" applyFont="1" applyFill="1" applyBorder="1" applyAlignment="1" applyProtection="1">
      <alignment horizontal="center" vertical="center" wrapText="1"/>
    </xf>
    <xf numFmtId="165" fontId="5" fillId="23" borderId="8" xfId="5" applyNumberFormat="1" applyFont="1" applyFill="1" applyBorder="1" applyAlignment="1" applyProtection="1">
      <alignment vertical="center" wrapText="1"/>
    </xf>
    <xf numFmtId="9" fontId="5" fillId="23" borderId="8" xfId="6" applyFont="1" applyFill="1" applyBorder="1" applyAlignment="1" applyProtection="1">
      <alignment horizontal="center" vertical="center" wrapText="1"/>
    </xf>
    <xf numFmtId="164" fontId="5" fillId="23" borderId="8" xfId="6" applyNumberFormat="1" applyFont="1" applyFill="1" applyBorder="1" applyAlignment="1" applyProtection="1">
      <alignment horizontal="center" vertical="center" wrapText="1"/>
    </xf>
    <xf numFmtId="0" fontId="5" fillId="23" borderId="1" xfId="5" applyNumberFormat="1" applyFont="1" applyFill="1" applyBorder="1" applyAlignment="1" applyProtection="1">
      <alignment horizontal="center" vertical="center" wrapText="1"/>
    </xf>
    <xf numFmtId="0" fontId="5" fillId="23" borderId="10" xfId="5" applyNumberFormat="1" applyFont="1" applyFill="1" applyBorder="1" applyAlignment="1" applyProtection="1">
      <alignment horizontal="center" vertical="center" wrapText="1"/>
    </xf>
    <xf numFmtId="0" fontId="5" fillId="23" borderId="8" xfId="5" applyNumberFormat="1" applyFont="1" applyFill="1" applyBorder="1" applyAlignment="1" applyProtection="1">
      <alignment horizontal="center" vertical="center" wrapText="1"/>
    </xf>
    <xf numFmtId="165" fontId="5" fillId="23" borderId="1" xfId="5" applyNumberFormat="1" applyFont="1" applyFill="1" applyBorder="1" applyAlignment="1" applyProtection="1">
      <alignment horizontal="center" vertical="center" wrapText="1"/>
    </xf>
    <xf numFmtId="44" fontId="5" fillId="23" borderId="8" xfId="2" applyFont="1" applyFill="1" applyBorder="1" applyAlignment="1" applyProtection="1">
      <alignment horizontal="center" vertical="center" wrapText="1"/>
    </xf>
    <xf numFmtId="0" fontId="5" fillId="10" borderId="1" xfId="4" applyNumberFormat="1" applyFont="1" applyFill="1" applyBorder="1" applyAlignment="1" applyProtection="1">
      <alignment vertical="center" wrapText="1"/>
    </xf>
    <xf numFmtId="44" fontId="5" fillId="10" borderId="9" xfId="2" applyFont="1" applyFill="1" applyBorder="1" applyAlignment="1" applyProtection="1">
      <alignment horizontal="center" vertical="center" wrapText="1"/>
    </xf>
    <xf numFmtId="0" fontId="5" fillId="25" borderId="10" xfId="0" applyNumberFormat="1" applyFont="1" applyFill="1" applyBorder="1" applyAlignment="1" applyProtection="1">
      <alignment horizontal="justify" vertical="top" wrapText="1"/>
      <protection locked="0"/>
    </xf>
    <xf numFmtId="9" fontId="5" fillId="23" borderId="9" xfId="6" applyFont="1" applyFill="1" applyBorder="1" applyAlignment="1" applyProtection="1">
      <alignment horizontal="center" vertical="center" wrapText="1"/>
    </xf>
    <xf numFmtId="178" fontId="5" fillId="23" borderId="9" xfId="2" applyNumberFormat="1" applyFont="1" applyFill="1" applyBorder="1" applyAlignment="1" applyProtection="1">
      <alignment horizontal="center" vertical="center" wrapText="1"/>
    </xf>
    <xf numFmtId="179" fontId="4" fillId="13" borderId="9" xfId="5" applyNumberFormat="1" applyFont="1" applyFill="1" applyBorder="1" applyAlignment="1" applyProtection="1">
      <alignment horizontal="center" vertical="center" wrapText="1"/>
    </xf>
    <xf numFmtId="0" fontId="5" fillId="13" borderId="9" xfId="5" applyNumberFormat="1" applyFont="1" applyFill="1" applyBorder="1" applyAlignment="1" applyProtection="1">
      <alignment vertical="center" wrapText="1"/>
    </xf>
    <xf numFmtId="0" fontId="5" fillId="13" borderId="9" xfId="5" applyNumberFormat="1" applyFont="1" applyFill="1" applyBorder="1" applyAlignment="1" applyProtection="1">
      <alignment vertical="top" wrapText="1"/>
    </xf>
    <xf numFmtId="165" fontId="5" fillId="10" borderId="1" xfId="6" applyNumberFormat="1" applyFont="1" applyFill="1" applyBorder="1" applyAlignment="1" applyProtection="1">
      <alignment vertical="center" wrapText="1"/>
    </xf>
    <xf numFmtId="9" fontId="5" fillId="10" borderId="8" xfId="6" applyFont="1" applyFill="1" applyBorder="1" applyAlignment="1" applyProtection="1">
      <alignment vertical="center" wrapText="1"/>
    </xf>
    <xf numFmtId="164" fontId="5" fillId="10" borderId="8" xfId="6" applyNumberFormat="1" applyFont="1" applyFill="1" applyBorder="1" applyAlignment="1" applyProtection="1">
      <alignment vertical="center" wrapText="1"/>
    </xf>
    <xf numFmtId="165" fontId="5" fillId="10" borderId="8" xfId="6" applyNumberFormat="1" applyFont="1" applyFill="1" applyBorder="1" applyAlignment="1" applyProtection="1">
      <alignment vertical="center" wrapText="1"/>
    </xf>
    <xf numFmtId="9" fontId="5" fillId="10" borderId="9" xfId="6" applyFont="1" applyFill="1" applyBorder="1" applyAlignment="1" applyProtection="1">
      <alignment vertical="center" wrapText="1"/>
    </xf>
    <xf numFmtId="165" fontId="5" fillId="10" borderId="9" xfId="6" applyNumberFormat="1" applyFont="1" applyFill="1" applyBorder="1" applyAlignment="1" applyProtection="1">
      <alignment vertical="center" wrapText="1"/>
    </xf>
    <xf numFmtId="0" fontId="5" fillId="10" borderId="9" xfId="5" applyNumberFormat="1" applyFont="1" applyFill="1" applyBorder="1" applyAlignment="1" applyProtection="1">
      <alignment vertical="top" wrapText="1"/>
    </xf>
    <xf numFmtId="0" fontId="5" fillId="2" borderId="9" xfId="5" applyNumberFormat="1" applyFont="1" applyFill="1" applyBorder="1" applyAlignment="1" applyProtection="1">
      <alignment vertical="top" wrapText="1"/>
    </xf>
    <xf numFmtId="0" fontId="5" fillId="10" borderId="19" xfId="5" applyNumberFormat="1" applyFont="1" applyFill="1" applyBorder="1" applyAlignment="1" applyProtection="1">
      <alignment vertical="center" wrapText="1"/>
    </xf>
    <xf numFmtId="43" fontId="4" fillId="2" borderId="10" xfId="6" applyNumberFormat="1" applyFont="1" applyFill="1" applyBorder="1" applyAlignment="1" applyProtection="1">
      <alignment horizontal="center" vertical="center" wrapText="1"/>
    </xf>
    <xf numFmtId="44" fontId="5" fillId="10" borderId="1" xfId="2" applyFont="1" applyFill="1" applyBorder="1" applyAlignment="1" applyProtection="1">
      <alignment vertical="center" wrapText="1"/>
    </xf>
    <xf numFmtId="165" fontId="5" fillId="10" borderId="1" xfId="6" applyNumberFormat="1" applyFont="1" applyFill="1" applyBorder="1" applyAlignment="1" applyProtection="1">
      <alignment horizontal="center" vertical="center" wrapText="1"/>
    </xf>
    <xf numFmtId="176" fontId="4" fillId="13" borderId="10" xfId="5" applyNumberFormat="1" applyFont="1" applyFill="1" applyBorder="1" applyAlignment="1" applyProtection="1">
      <alignment horizontal="center" vertical="center" wrapText="1"/>
    </xf>
    <xf numFmtId="0" fontId="9" fillId="12" borderId="1" xfId="0" applyNumberFormat="1" applyFont="1" applyFill="1" applyBorder="1" applyAlignment="1" applyProtection="1">
      <alignment vertical="center" wrapText="1"/>
    </xf>
    <xf numFmtId="0" fontId="5" fillId="14" borderId="16" xfId="0" applyFont="1" applyFill="1" applyBorder="1" applyAlignment="1">
      <alignment vertical="center" wrapText="1"/>
    </xf>
    <xf numFmtId="0" fontId="5" fillId="14" borderId="1" xfId="0" applyFont="1" applyFill="1" applyBorder="1" applyAlignment="1">
      <alignment vertical="center" wrapText="1"/>
    </xf>
    <xf numFmtId="0" fontId="5" fillId="12" borderId="1" xfId="0" applyNumberFormat="1" applyFont="1" applyFill="1" applyBorder="1" applyAlignment="1" applyProtection="1">
      <alignment horizontal="center" vertical="center" wrapText="1"/>
    </xf>
    <xf numFmtId="2" fontId="5" fillId="12" borderId="1" xfId="0" applyNumberFormat="1" applyFont="1" applyFill="1" applyBorder="1" applyAlignment="1" applyProtection="1">
      <alignment horizontal="center" vertical="center" wrapText="1"/>
    </xf>
    <xf numFmtId="0" fontId="5" fillId="14" borderId="1" xfId="0" applyFont="1" applyFill="1" applyBorder="1" applyAlignment="1">
      <alignment horizontal="center" vertical="center" wrapText="1"/>
    </xf>
    <xf numFmtId="0" fontId="5" fillId="14" borderId="1" xfId="0" applyNumberFormat="1" applyFont="1" applyFill="1" applyBorder="1" applyAlignment="1" applyProtection="1">
      <alignment vertical="center" wrapText="1"/>
    </xf>
    <xf numFmtId="44" fontId="5" fillId="14" borderId="1" xfId="2" applyFont="1" applyFill="1" applyBorder="1" applyAlignment="1">
      <alignment vertical="center" wrapText="1"/>
    </xf>
    <xf numFmtId="10" fontId="5" fillId="12" borderId="1" xfId="6" applyNumberFormat="1" applyFont="1" applyFill="1" applyBorder="1" applyAlignment="1" applyProtection="1">
      <alignment horizontal="center" vertical="center" wrapText="1"/>
    </xf>
    <xf numFmtId="0" fontId="9" fillId="12" borderId="8" xfId="0" applyNumberFormat="1" applyFont="1" applyFill="1" applyBorder="1" applyAlignment="1" applyProtection="1">
      <alignment vertical="center" wrapText="1"/>
    </xf>
    <xf numFmtId="0" fontId="5" fillId="14" borderId="19" xfId="0" applyFont="1" applyFill="1" applyBorder="1" applyAlignment="1">
      <alignment vertical="center" wrapText="1"/>
    </xf>
    <xf numFmtId="0" fontId="5" fillId="14" borderId="8" xfId="0" applyFont="1" applyFill="1" applyBorder="1" applyAlignment="1">
      <alignment vertical="center" wrapText="1"/>
    </xf>
    <xf numFmtId="0" fontId="5" fillId="14" borderId="8" xfId="0" applyNumberFormat="1" applyFont="1" applyFill="1" applyBorder="1" applyAlignment="1" applyProtection="1">
      <alignment vertical="center" wrapText="1"/>
    </xf>
    <xf numFmtId="44" fontId="5" fillId="14" borderId="8" xfId="2" applyFont="1" applyFill="1" applyBorder="1" applyAlignment="1">
      <alignment vertical="center" wrapText="1"/>
    </xf>
    <xf numFmtId="44" fontId="5" fillId="2" borderId="8" xfId="2" applyFont="1" applyFill="1" applyBorder="1" applyAlignment="1">
      <alignment vertical="center" wrapText="1"/>
    </xf>
    <xf numFmtId="0" fontId="9" fillId="12" borderId="9" xfId="0" applyNumberFormat="1" applyFont="1" applyFill="1" applyBorder="1" applyAlignment="1" applyProtection="1">
      <alignment vertical="center" wrapText="1"/>
    </xf>
    <xf numFmtId="0" fontId="5" fillId="14" borderId="17" xfId="0" applyFont="1" applyFill="1" applyBorder="1" applyAlignment="1">
      <alignment vertical="center" wrapText="1"/>
    </xf>
    <xf numFmtId="0" fontId="5" fillId="14" borderId="9" xfId="0" applyFont="1" applyFill="1" applyBorder="1" applyAlignment="1">
      <alignment vertical="center" wrapText="1"/>
    </xf>
    <xf numFmtId="0" fontId="5" fillId="14" borderId="9" xfId="0" applyNumberFormat="1" applyFont="1" applyFill="1" applyBorder="1" applyAlignment="1" applyProtection="1">
      <alignment vertical="center" wrapText="1"/>
    </xf>
    <xf numFmtId="44" fontId="5" fillId="14" borderId="9" xfId="2" applyFont="1" applyFill="1" applyBorder="1" applyAlignment="1">
      <alignment vertical="center" wrapText="1"/>
    </xf>
    <xf numFmtId="44" fontId="5" fillId="2" borderId="9" xfId="2" applyFont="1" applyFill="1" applyBorder="1" applyAlignment="1">
      <alignment vertical="center" wrapText="1"/>
    </xf>
    <xf numFmtId="170" fontId="5" fillId="12" borderId="1" xfId="0" applyNumberFormat="1" applyFont="1" applyFill="1" applyBorder="1" applyAlignment="1" applyProtection="1">
      <alignment vertical="center" wrapText="1"/>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17" fontId="6" fillId="6" borderId="1" xfId="0" applyNumberFormat="1" applyFont="1" applyFill="1" applyBorder="1" applyAlignment="1">
      <alignment horizontal="center" vertical="center" wrapText="1"/>
    </xf>
    <xf numFmtId="165" fontId="6" fillId="6" borderId="1" xfId="0" applyNumberFormat="1" applyFont="1" applyFill="1" applyBorder="1" applyAlignment="1">
      <alignment vertical="center" wrapText="1"/>
    </xf>
    <xf numFmtId="44" fontId="6" fillId="6" borderId="1" xfId="2" applyFont="1" applyFill="1" applyBorder="1" applyAlignment="1">
      <alignment vertical="center" wrapText="1"/>
    </xf>
    <xf numFmtId="170" fontId="5" fillId="12" borderId="8" xfId="0" applyNumberFormat="1" applyFont="1" applyFill="1" applyBorder="1" applyAlignment="1" applyProtection="1">
      <alignment vertical="center" wrapText="1"/>
    </xf>
    <xf numFmtId="0" fontId="5" fillId="12" borderId="1" xfId="0" applyNumberFormat="1" applyFont="1" applyFill="1" applyBorder="1" applyAlignment="1" applyProtection="1">
      <alignment horizontal="center" vertical="top" wrapText="1"/>
    </xf>
    <xf numFmtId="9" fontId="5" fillId="12" borderId="1" xfId="0" applyNumberFormat="1" applyFont="1" applyFill="1" applyBorder="1" applyAlignment="1" applyProtection="1">
      <alignment horizontal="center" vertical="center" wrapText="1"/>
    </xf>
    <xf numFmtId="9" fontId="6" fillId="2" borderId="1" xfId="6" applyFont="1" applyFill="1" applyBorder="1" applyAlignment="1">
      <alignment horizontal="center" vertical="center" wrapText="1"/>
    </xf>
    <xf numFmtId="170" fontId="5" fillId="12" borderId="9" xfId="0" applyNumberFormat="1" applyFont="1" applyFill="1" applyBorder="1" applyAlignment="1" applyProtection="1">
      <alignment vertical="center" wrapText="1"/>
    </xf>
    <xf numFmtId="180" fontId="5" fillId="2" borderId="10" xfId="9" applyFont="1" applyFill="1" applyBorder="1" applyAlignment="1" applyProtection="1">
      <alignment vertical="center" wrapText="1"/>
    </xf>
    <xf numFmtId="180" fontId="5" fillId="2" borderId="10" xfId="9" applyFont="1" applyFill="1" applyBorder="1" applyAlignment="1" applyProtection="1">
      <alignment vertical="top" wrapText="1"/>
    </xf>
    <xf numFmtId="0" fontId="5" fillId="7" borderId="10" xfId="5" applyNumberFormat="1" applyFont="1" applyFill="1" applyBorder="1" applyAlignment="1" applyProtection="1">
      <alignment horizontal="center" vertical="center" wrapText="1"/>
    </xf>
    <xf numFmtId="0" fontId="5" fillId="7" borderId="1" xfId="5" applyNumberFormat="1" applyFont="1" applyFill="1" applyBorder="1" applyAlignment="1" applyProtection="1">
      <alignment vertical="center" wrapText="1"/>
    </xf>
    <xf numFmtId="165" fontId="5" fillId="7" borderId="1" xfId="5" applyNumberFormat="1" applyFont="1" applyFill="1" applyBorder="1" applyAlignment="1" applyProtection="1">
      <alignment vertical="center" wrapText="1"/>
    </xf>
    <xf numFmtId="0" fontId="5" fillId="7" borderId="8" xfId="5" applyNumberFormat="1" applyFont="1" applyFill="1" applyBorder="1" applyAlignment="1" applyProtection="1">
      <alignment vertical="center" wrapText="1"/>
    </xf>
    <xf numFmtId="165" fontId="5" fillId="7" borderId="8" xfId="5" applyNumberFormat="1" applyFont="1" applyFill="1" applyBorder="1" applyAlignment="1" applyProtection="1">
      <alignment vertical="center" wrapText="1"/>
    </xf>
    <xf numFmtId="0" fontId="6" fillId="7" borderId="10" xfId="0" applyFont="1" applyFill="1" applyBorder="1" applyAlignment="1">
      <alignment horizontal="center" vertical="center" wrapText="1"/>
    </xf>
    <xf numFmtId="0" fontId="5" fillId="7" borderId="9" xfId="5" applyNumberFormat="1" applyFont="1" applyFill="1" applyBorder="1" applyAlignment="1" applyProtection="1">
      <alignment vertical="center" wrapText="1"/>
    </xf>
    <xf numFmtId="165" fontId="5" fillId="7" borderId="9" xfId="5" applyNumberFormat="1" applyFont="1" applyFill="1" applyBorder="1" applyAlignment="1" applyProtection="1">
      <alignment vertical="center" wrapText="1"/>
    </xf>
    <xf numFmtId="170" fontId="5" fillId="12" borderId="8" xfId="0" applyNumberFormat="1" applyFont="1" applyFill="1" applyBorder="1" applyAlignment="1" applyProtection="1">
      <alignment horizontal="center" vertical="center" wrapText="1"/>
    </xf>
    <xf numFmtId="0" fontId="5" fillId="7" borderId="1" xfId="5" applyNumberFormat="1" applyFont="1" applyFill="1" applyBorder="1" applyAlignment="1" applyProtection="1">
      <alignment horizontal="center" vertical="center" wrapText="1"/>
    </xf>
    <xf numFmtId="164" fontId="5" fillId="7" borderId="1" xfId="5" applyNumberFormat="1" applyFont="1" applyFill="1" applyBorder="1" applyAlignment="1" applyProtection="1">
      <alignment vertical="center" wrapText="1"/>
    </xf>
    <xf numFmtId="9" fontId="5" fillId="7" borderId="10" xfId="6" applyFont="1" applyFill="1" applyBorder="1" applyAlignment="1" applyProtection="1">
      <alignment horizontal="center" vertical="center" wrapText="1"/>
    </xf>
    <xf numFmtId="164" fontId="5" fillId="7" borderId="8" xfId="5" applyNumberFormat="1" applyFont="1" applyFill="1" applyBorder="1" applyAlignment="1" applyProtection="1">
      <alignment vertical="center" wrapText="1"/>
    </xf>
    <xf numFmtId="164" fontId="5" fillId="7" borderId="9" xfId="5" applyNumberFormat="1" applyFont="1" applyFill="1" applyBorder="1" applyAlignment="1" applyProtection="1">
      <alignment vertical="center" wrapText="1"/>
    </xf>
    <xf numFmtId="43" fontId="5" fillId="7" borderId="10" xfId="5" applyNumberFormat="1" applyFont="1" applyFill="1" applyBorder="1" applyAlignment="1" applyProtection="1">
      <alignment vertical="center" wrapText="1"/>
    </xf>
    <xf numFmtId="43" fontId="5" fillId="7" borderId="10" xfId="5" applyNumberFormat="1" applyFont="1" applyFill="1" applyBorder="1" applyAlignment="1" applyProtection="1">
      <alignment vertical="top" wrapText="1"/>
    </xf>
    <xf numFmtId="0" fontId="5" fillId="12" borderId="1" xfId="5" applyNumberFormat="1" applyFont="1" applyFill="1" applyBorder="1" applyAlignment="1" applyProtection="1">
      <alignment vertical="top" wrapText="1"/>
    </xf>
    <xf numFmtId="0" fontId="6" fillId="2" borderId="1" xfId="0" applyFont="1" applyFill="1" applyBorder="1" applyAlignment="1">
      <alignment horizontal="center" vertical="center" wrapText="1"/>
    </xf>
    <xf numFmtId="169" fontId="4" fillId="2" borderId="1" xfId="1" applyNumberFormat="1" applyFont="1" applyFill="1" applyBorder="1" applyAlignment="1" applyProtection="1">
      <alignment horizontal="center" vertical="center" wrapText="1"/>
    </xf>
    <xf numFmtId="0" fontId="6" fillId="12" borderId="8" xfId="0" applyFont="1" applyFill="1" applyBorder="1" applyAlignment="1">
      <alignment vertical="center" wrapText="1"/>
    </xf>
    <xf numFmtId="0" fontId="6" fillId="12" borderId="1" xfId="0" applyFont="1" applyFill="1" applyBorder="1" applyAlignment="1">
      <alignment vertical="center" wrapText="1"/>
    </xf>
    <xf numFmtId="0" fontId="6" fillId="12" borderId="10" xfId="0" applyFont="1" applyFill="1" applyBorder="1" applyAlignment="1">
      <alignment vertical="center" wrapText="1"/>
    </xf>
    <xf numFmtId="0" fontId="6" fillId="12" borderId="13" xfId="0" applyFont="1" applyFill="1" applyBorder="1" applyAlignment="1">
      <alignment vertical="center" wrapText="1"/>
    </xf>
    <xf numFmtId="0" fontId="6" fillId="12" borderId="13" xfId="0" applyFont="1" applyFill="1" applyBorder="1" applyAlignment="1">
      <alignment horizontal="center" vertical="center" wrapText="1"/>
    </xf>
    <xf numFmtId="2" fontId="5" fillId="12" borderId="13" xfId="0" applyNumberFormat="1" applyFont="1" applyFill="1" applyBorder="1" applyAlignment="1" applyProtection="1">
      <alignment horizontal="center" vertical="center" wrapText="1"/>
    </xf>
    <xf numFmtId="0" fontId="6" fillId="12" borderId="1" xfId="0" applyFont="1" applyFill="1" applyBorder="1" applyAlignment="1">
      <alignment horizontal="center" vertical="center" wrapText="1"/>
    </xf>
    <xf numFmtId="17" fontId="5" fillId="7" borderId="10" xfId="5" applyNumberFormat="1" applyFont="1" applyFill="1" applyBorder="1" applyAlignment="1" applyProtection="1">
      <alignment horizontal="center" vertical="center" wrapText="1"/>
    </xf>
    <xf numFmtId="0" fontId="6" fillId="12" borderId="10" xfId="0" applyFont="1" applyFill="1" applyBorder="1" applyAlignment="1">
      <alignment horizontal="center" vertical="center" wrapText="1"/>
    </xf>
    <xf numFmtId="0" fontId="6" fillId="12" borderId="11" xfId="0" applyFont="1" applyFill="1" applyBorder="1" applyAlignment="1">
      <alignment vertical="center" wrapText="1"/>
    </xf>
    <xf numFmtId="0" fontId="6" fillId="12" borderId="11" xfId="0" applyFont="1" applyFill="1" applyBorder="1" applyAlignment="1">
      <alignment horizontal="center" vertical="center" wrapText="1"/>
    </xf>
    <xf numFmtId="2" fontId="5" fillId="12" borderId="11" xfId="0" applyNumberFormat="1" applyFont="1" applyFill="1" applyBorder="1" applyAlignment="1" applyProtection="1">
      <alignment horizontal="center" vertical="center" wrapText="1"/>
    </xf>
    <xf numFmtId="0" fontId="6" fillId="12" borderId="8" xfId="0" applyFont="1" applyFill="1" applyBorder="1" applyAlignment="1">
      <alignment horizontal="center" vertical="center" wrapText="1"/>
    </xf>
    <xf numFmtId="2" fontId="5" fillId="12" borderId="14" xfId="0" applyNumberFormat="1" applyFont="1" applyFill="1" applyBorder="1" applyAlignment="1" applyProtection="1">
      <alignment horizontal="center" vertical="center" wrapText="1"/>
    </xf>
    <xf numFmtId="0" fontId="6" fillId="12" borderId="9" xfId="0" applyFont="1" applyFill="1" applyBorder="1" applyAlignment="1">
      <alignment vertical="center" wrapText="1"/>
    </xf>
    <xf numFmtId="0" fontId="6" fillId="2" borderId="8" xfId="0" applyFont="1" applyFill="1" applyBorder="1" applyAlignment="1">
      <alignment vertical="center" wrapText="1"/>
    </xf>
    <xf numFmtId="0" fontId="6" fillId="12" borderId="14" xfId="0" applyFont="1" applyFill="1" applyBorder="1" applyAlignment="1">
      <alignment horizontal="center" vertical="center" wrapText="1"/>
    </xf>
    <xf numFmtId="0" fontId="6" fillId="12" borderId="9" xfId="0" applyFont="1" applyFill="1" applyBorder="1" applyAlignment="1">
      <alignment horizontal="center" vertical="center" wrapText="1"/>
    </xf>
    <xf numFmtId="0" fontId="6" fillId="2" borderId="9" xfId="0" applyFont="1" applyFill="1" applyBorder="1" applyAlignment="1">
      <alignment vertical="center" wrapText="1"/>
    </xf>
    <xf numFmtId="165" fontId="5" fillId="7" borderId="10" xfId="5" applyNumberFormat="1" applyFont="1" applyFill="1" applyBorder="1" applyAlignment="1" applyProtection="1">
      <alignment horizontal="center" vertical="center" wrapText="1"/>
    </xf>
    <xf numFmtId="167" fontId="5" fillId="7" borderId="10" xfId="5" applyNumberFormat="1" applyFont="1" applyFill="1" applyBorder="1" applyAlignment="1" applyProtection="1">
      <alignment horizontal="center" vertical="center" wrapText="1"/>
    </xf>
    <xf numFmtId="2" fontId="5" fillId="12" borderId="8" xfId="0" applyNumberFormat="1" applyFont="1" applyFill="1" applyBorder="1" applyAlignment="1" applyProtection="1">
      <alignment horizontal="center" vertical="center" wrapText="1"/>
    </xf>
    <xf numFmtId="0" fontId="5" fillId="7" borderId="10" xfId="5" applyNumberFormat="1" applyFont="1" applyFill="1" applyBorder="1" applyAlignment="1" applyProtection="1">
      <alignment vertical="center" wrapText="1"/>
    </xf>
    <xf numFmtId="17" fontId="5" fillId="7" borderId="1" xfId="5" applyNumberFormat="1" applyFont="1" applyFill="1" applyBorder="1" applyAlignment="1" applyProtection="1">
      <alignment vertical="center" wrapText="1"/>
    </xf>
    <xf numFmtId="0" fontId="4" fillId="2" borderId="10" xfId="5" applyNumberFormat="1" applyFont="1" applyFill="1" applyBorder="1" applyAlignment="1" applyProtection="1">
      <alignment horizontal="justify" vertical="center" wrapText="1"/>
    </xf>
    <xf numFmtId="0" fontId="5" fillId="2" borderId="10" xfId="5" applyNumberFormat="1" applyFont="1" applyFill="1" applyBorder="1" applyAlignment="1" applyProtection="1">
      <alignment horizontal="justify" vertical="center" wrapText="1"/>
    </xf>
    <xf numFmtId="2" fontId="6" fillId="6" borderId="1" xfId="0" applyNumberFormat="1"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6" xfId="0" applyFont="1" applyFill="1" applyBorder="1" applyAlignment="1">
      <alignment horizontal="center" vertical="center" wrapText="1"/>
    </xf>
    <xf numFmtId="165" fontId="6" fillId="6" borderId="1" xfId="0" applyNumberFormat="1" applyFont="1" applyFill="1" applyBorder="1" applyAlignment="1">
      <alignment horizontal="center" vertical="center" wrapText="1"/>
    </xf>
    <xf numFmtId="44" fontId="6" fillId="6" borderId="1" xfId="2" applyFont="1" applyFill="1" applyBorder="1" applyAlignment="1">
      <alignment horizontal="center" vertical="center" wrapText="1"/>
    </xf>
    <xf numFmtId="0" fontId="6" fillId="6" borderId="8" xfId="0" applyFont="1" applyFill="1" applyBorder="1" applyAlignment="1">
      <alignment vertical="center" wrapText="1"/>
    </xf>
    <xf numFmtId="0" fontId="6" fillId="6" borderId="16" xfId="0" applyFont="1" applyFill="1" applyBorder="1" applyAlignment="1">
      <alignment vertical="center" wrapText="1"/>
    </xf>
    <xf numFmtId="0" fontId="6" fillId="6" borderId="17" xfId="0" applyFont="1" applyFill="1" applyBorder="1" applyAlignment="1">
      <alignment vertical="center" wrapText="1"/>
    </xf>
    <xf numFmtId="0" fontId="6" fillId="6" borderId="9" xfId="0" applyFont="1" applyFill="1" applyBorder="1" applyAlignment="1">
      <alignment vertical="center" wrapText="1"/>
    </xf>
    <xf numFmtId="165" fontId="6" fillId="6" borderId="9" xfId="0" applyNumberFormat="1" applyFont="1" applyFill="1" applyBorder="1" applyAlignment="1">
      <alignment vertical="center" wrapText="1"/>
    </xf>
    <xf numFmtId="0" fontId="6" fillId="6" borderId="15" xfId="0" applyFont="1" applyFill="1" applyBorder="1" applyAlignment="1">
      <alignment vertical="center" wrapText="1"/>
    </xf>
    <xf numFmtId="0" fontId="6" fillId="6" borderId="13" xfId="0" applyFont="1" applyFill="1" applyBorder="1" applyAlignment="1">
      <alignment vertical="center" wrapText="1"/>
    </xf>
    <xf numFmtId="0" fontId="6" fillId="6" borderId="14" xfId="0" applyFont="1" applyFill="1" applyBorder="1" applyAlignment="1">
      <alignment vertical="center" wrapText="1"/>
    </xf>
    <xf numFmtId="2" fontId="6" fillId="6" borderId="9" xfId="0" applyNumberFormat="1" applyFont="1" applyFill="1" applyBorder="1" applyAlignment="1">
      <alignment horizontal="center" vertical="center" wrapText="1"/>
    </xf>
    <xf numFmtId="2" fontId="6" fillId="6" borderId="8" xfId="0" applyNumberFormat="1" applyFont="1" applyFill="1" applyBorder="1" applyAlignment="1">
      <alignment horizontal="center" vertical="center" wrapText="1"/>
    </xf>
    <xf numFmtId="0" fontId="6" fillId="2" borderId="1" xfId="0" applyFont="1" applyFill="1" applyBorder="1" applyAlignment="1">
      <alignment vertical="center" wrapText="1"/>
    </xf>
    <xf numFmtId="0" fontId="6" fillId="6" borderId="1" xfId="0" applyFont="1" applyFill="1" applyBorder="1" applyAlignment="1">
      <alignment vertical="top" wrapText="1"/>
    </xf>
    <xf numFmtId="0" fontId="8" fillId="6" borderId="8" xfId="0" applyFont="1" applyFill="1" applyBorder="1" applyAlignment="1">
      <alignment vertical="center" wrapText="1"/>
    </xf>
    <xf numFmtId="9" fontId="6" fillId="6" borderId="1" xfId="6" applyFont="1" applyFill="1" applyBorder="1" applyAlignment="1">
      <alignment horizontal="center" vertical="center" wrapText="1"/>
    </xf>
    <xf numFmtId="9" fontId="6" fillId="6" borderId="13" xfId="6" applyFont="1" applyFill="1" applyBorder="1" applyAlignment="1">
      <alignment horizontal="center" vertical="center" wrapText="1"/>
    </xf>
    <xf numFmtId="9" fontId="6" fillId="6" borderId="16" xfId="6" applyFont="1" applyFill="1" applyBorder="1" applyAlignment="1">
      <alignment horizontal="center" vertical="center" wrapText="1"/>
    </xf>
    <xf numFmtId="165" fontId="6" fillId="6" borderId="1" xfId="6" applyNumberFormat="1" applyFont="1" applyFill="1" applyBorder="1" applyAlignment="1">
      <alignment horizontal="center" vertical="center" wrapText="1"/>
    </xf>
    <xf numFmtId="0" fontId="0" fillId="2" borderId="10" xfId="0" applyNumberFormat="1" applyFont="1" applyFill="1" applyBorder="1" applyAlignment="1" applyProtection="1">
      <alignment vertical="top"/>
    </xf>
    <xf numFmtId="169" fontId="4" fillId="2" borderId="10" xfId="1" applyNumberFormat="1" applyFont="1" applyFill="1" applyBorder="1" applyAlignment="1" applyProtection="1">
      <alignment horizontal="center" vertical="top"/>
    </xf>
    <xf numFmtId="168" fontId="6" fillId="6" borderId="1" xfId="0" applyNumberFormat="1" applyFont="1" applyFill="1" applyBorder="1" applyAlignment="1">
      <alignment vertical="center" wrapText="1"/>
    </xf>
    <xf numFmtId="9" fontId="6" fillId="2" borderId="1" xfId="6" applyFont="1" applyFill="1" applyBorder="1" applyAlignment="1">
      <alignment vertical="center" wrapText="1"/>
    </xf>
    <xf numFmtId="0" fontId="6" fillId="6" borderId="8" xfId="0" applyFont="1" applyFill="1" applyBorder="1" applyAlignment="1">
      <alignment horizontal="center" vertical="center" wrapText="1"/>
    </xf>
    <xf numFmtId="9" fontId="6" fillId="6" borderId="1" xfId="0" applyNumberFormat="1" applyFont="1" applyFill="1" applyBorder="1" applyAlignment="1">
      <alignment horizontal="center" vertical="center" wrapText="1"/>
    </xf>
    <xf numFmtId="43" fontId="8" fillId="2" borderId="1" xfId="1" applyFont="1" applyFill="1" applyBorder="1" applyAlignment="1">
      <alignment horizontal="center" vertical="center" wrapText="1"/>
    </xf>
    <xf numFmtId="0" fontId="6" fillId="2" borderId="1" xfId="0" applyFont="1" applyFill="1" applyBorder="1" applyAlignment="1">
      <alignment vertical="top" wrapText="1"/>
    </xf>
    <xf numFmtId="17" fontId="6" fillId="6" borderId="8" xfId="0" applyNumberFormat="1" applyFont="1" applyFill="1" applyBorder="1" applyAlignment="1">
      <alignment vertical="center" wrapText="1"/>
    </xf>
    <xf numFmtId="165" fontId="6" fillId="6" borderId="8" xfId="0" applyNumberFormat="1" applyFont="1" applyFill="1" applyBorder="1" applyAlignment="1">
      <alignment vertical="center" wrapText="1"/>
    </xf>
    <xf numFmtId="17" fontId="6" fillId="6" borderId="9" xfId="0" applyNumberFormat="1" applyFont="1" applyFill="1" applyBorder="1" applyAlignment="1">
      <alignment vertical="center" wrapText="1"/>
    </xf>
    <xf numFmtId="17" fontId="6" fillId="6" borderId="1" xfId="0" applyNumberFormat="1" applyFont="1" applyFill="1" applyBorder="1" applyAlignment="1">
      <alignment vertical="center" wrapText="1"/>
    </xf>
    <xf numFmtId="169" fontId="8" fillId="2" borderId="1" xfId="1" applyNumberFormat="1" applyFont="1" applyFill="1" applyBorder="1" applyAlignment="1">
      <alignment horizontal="center" vertical="center" wrapText="1"/>
    </xf>
    <xf numFmtId="9" fontId="6" fillId="2" borderId="8" xfId="6" applyFont="1" applyFill="1" applyBorder="1" applyAlignment="1">
      <alignment horizontal="center" vertical="center" wrapText="1"/>
    </xf>
    <xf numFmtId="165" fontId="6" fillId="2" borderId="8" xfId="0" applyNumberFormat="1" applyFont="1" applyFill="1" applyBorder="1" applyAlignment="1">
      <alignment vertical="center" wrapText="1"/>
    </xf>
    <xf numFmtId="169" fontId="8" fillId="2" borderId="10" xfId="1" applyNumberFormat="1" applyFont="1" applyFill="1" applyBorder="1" applyAlignment="1">
      <alignment horizontal="center" vertical="center" wrapText="1"/>
    </xf>
    <xf numFmtId="0" fontId="4" fillId="3" borderId="10" xfId="0" applyNumberFormat="1" applyFont="1" applyFill="1" applyBorder="1" applyAlignment="1" applyProtection="1">
      <alignment vertical="top"/>
    </xf>
    <xf numFmtId="0" fontId="0" fillId="3" borderId="10" xfId="0" applyNumberFormat="1" applyFont="1" applyFill="1" applyBorder="1" applyAlignment="1" applyProtection="1">
      <alignment vertical="top"/>
    </xf>
    <xf numFmtId="179" fontId="4" fillId="3" borderId="10" xfId="0" applyNumberFormat="1" applyFont="1" applyFill="1" applyBorder="1" applyAlignment="1" applyProtection="1">
      <alignment vertical="center"/>
    </xf>
    <xf numFmtId="2" fontId="5" fillId="10" borderId="16" xfId="5" applyNumberFormat="1" applyFont="1" applyFill="1" applyBorder="1" applyAlignment="1" applyProtection="1">
      <alignment horizontal="center" vertical="center" wrapText="1"/>
    </xf>
    <xf numFmtId="4" fontId="5" fillId="6" borderId="1" xfId="0" applyNumberFormat="1" applyFont="1" applyFill="1" applyBorder="1" applyAlignment="1">
      <alignment horizontal="center" vertical="center" wrapText="1"/>
    </xf>
    <xf numFmtId="4" fontId="5" fillId="6" borderId="9" xfId="0" applyNumberFormat="1" applyFont="1" applyFill="1" applyBorder="1" applyAlignment="1">
      <alignment vertical="center" wrapText="1"/>
    </xf>
    <xf numFmtId="0" fontId="5" fillId="6" borderId="9" xfId="3" applyNumberFormat="1" applyFont="1" applyFill="1" applyBorder="1" applyAlignment="1" applyProtection="1">
      <alignment horizontal="center" vertical="center" wrapText="1"/>
      <protection locked="0"/>
    </xf>
    <xf numFmtId="0" fontId="5" fillId="2" borderId="9" xfId="3" applyNumberFormat="1" applyFont="1" applyFill="1" applyBorder="1" applyAlignment="1" applyProtection="1">
      <alignment vertical="center" wrapText="1"/>
      <protection locked="0"/>
    </xf>
    <xf numFmtId="0" fontId="5" fillId="6" borderId="10" xfId="3" applyNumberFormat="1" applyFont="1" applyFill="1" applyBorder="1" applyAlignment="1" applyProtection="1">
      <alignment horizontal="center" vertical="center" wrapText="1"/>
      <protection locked="0"/>
    </xf>
    <xf numFmtId="3" fontId="5" fillId="6" borderId="9" xfId="0" applyNumberFormat="1" applyFont="1" applyFill="1" applyBorder="1" applyAlignment="1">
      <alignment horizontal="center" vertical="center" wrapText="1"/>
    </xf>
    <xf numFmtId="9" fontId="5" fillId="2" borderId="9" xfId="6" applyFont="1" applyFill="1" applyBorder="1" applyAlignment="1">
      <alignment horizontal="center" vertical="center" wrapText="1"/>
    </xf>
    <xf numFmtId="4" fontId="5" fillId="6" borderId="9" xfId="0" applyNumberFormat="1" applyFont="1" applyFill="1" applyBorder="1" applyAlignment="1">
      <alignment horizontal="center" vertical="center" wrapText="1"/>
    </xf>
    <xf numFmtId="4" fontId="4" fillId="6" borderId="9" xfId="0" applyNumberFormat="1" applyFont="1" applyFill="1" applyBorder="1" applyAlignment="1">
      <alignment horizontal="center" vertical="center" wrapText="1"/>
    </xf>
    <xf numFmtId="0" fontId="4" fillId="6" borderId="9" xfId="3" applyNumberFormat="1" applyFont="1" applyFill="1" applyBorder="1" applyAlignment="1" applyProtection="1">
      <alignment horizontal="center" vertical="center" wrapText="1"/>
      <protection locked="0"/>
    </xf>
    <xf numFmtId="0" fontId="5" fillId="23" borderId="1" xfId="4" applyFont="1" applyFill="1" applyBorder="1" applyAlignment="1">
      <alignment vertical="center" wrapText="1"/>
    </xf>
    <xf numFmtId="0" fontId="5" fillId="23" borderId="1" xfId="4" applyFont="1" applyFill="1" applyBorder="1" applyAlignment="1">
      <alignment horizontal="center" vertical="center" wrapText="1"/>
    </xf>
    <xf numFmtId="168" fontId="5" fillId="23" borderId="1" xfId="5" applyNumberFormat="1" applyFont="1" applyFill="1" applyBorder="1" applyAlignment="1" applyProtection="1">
      <alignment vertical="center" wrapText="1"/>
    </xf>
    <xf numFmtId="174" fontId="5" fillId="2" borderId="1" xfId="6" applyNumberFormat="1" applyFont="1" applyFill="1" applyBorder="1" applyAlignment="1" applyProtection="1">
      <alignment horizontal="center" vertical="center" wrapText="1"/>
    </xf>
    <xf numFmtId="0" fontId="5" fillId="23" borderId="8" xfId="4" applyFont="1" applyFill="1" applyBorder="1" applyAlignment="1">
      <alignment vertical="center" wrapText="1"/>
    </xf>
    <xf numFmtId="0" fontId="5" fillId="2" borderId="8" xfId="4" applyFont="1" applyFill="1" applyBorder="1" applyAlignment="1">
      <alignment vertical="center" wrapText="1"/>
    </xf>
    <xf numFmtId="0" fontId="5" fillId="23" borderId="9" xfId="4" applyFont="1" applyFill="1" applyBorder="1" applyAlignment="1">
      <alignment vertical="center" wrapText="1"/>
    </xf>
    <xf numFmtId="0" fontId="5" fillId="2" borderId="9" xfId="4" applyFont="1" applyFill="1" applyBorder="1" applyAlignment="1">
      <alignment vertical="center" wrapText="1"/>
    </xf>
    <xf numFmtId="0" fontId="5" fillId="23" borderId="10" xfId="4" applyFont="1" applyFill="1" applyBorder="1" applyAlignment="1">
      <alignment horizontal="left" vertical="center" wrapText="1"/>
    </xf>
    <xf numFmtId="0" fontId="5" fillId="23" borderId="10" xfId="4" applyNumberFormat="1" applyFont="1" applyFill="1" applyBorder="1" applyAlignment="1" applyProtection="1">
      <alignment vertical="center" wrapText="1"/>
    </xf>
    <xf numFmtId="0" fontId="5" fillId="23" borderId="1" xfId="0" applyFont="1" applyFill="1" applyBorder="1" applyAlignment="1">
      <alignment vertical="center" wrapText="1"/>
    </xf>
    <xf numFmtId="0" fontId="5" fillId="23" borderId="1" xfId="0" applyFont="1" applyFill="1" applyBorder="1" applyAlignment="1">
      <alignment horizontal="center" vertical="center" wrapText="1"/>
    </xf>
    <xf numFmtId="0" fontId="5" fillId="23" borderId="9" xfId="0" applyNumberFormat="1" applyFont="1" applyFill="1" applyBorder="1" applyAlignment="1" applyProtection="1">
      <alignment horizontal="justify" vertical="center" wrapText="1"/>
      <protection locked="0"/>
    </xf>
    <xf numFmtId="0" fontId="5" fillId="23" borderId="8" xfId="0" applyFont="1" applyFill="1" applyBorder="1" applyAlignment="1">
      <alignment vertical="center" wrapText="1"/>
    </xf>
    <xf numFmtId="0" fontId="5" fillId="23" borderId="9" xfId="0" applyFont="1" applyFill="1" applyBorder="1" applyAlignment="1">
      <alignment vertical="center" wrapText="1"/>
    </xf>
    <xf numFmtId="0" fontId="5" fillId="8" borderId="10" xfId="0" applyFont="1" applyFill="1" applyBorder="1" applyAlignment="1">
      <alignment vertical="center" wrapText="1"/>
    </xf>
    <xf numFmtId="0" fontId="5" fillId="8" borderId="10" xfId="0" applyNumberFormat="1" applyFont="1" applyFill="1" applyBorder="1" applyAlignment="1" applyProtection="1">
      <alignment horizontal="left" vertical="center" wrapText="1"/>
    </xf>
    <xf numFmtId="17" fontId="5" fillId="8" borderId="10" xfId="0" applyNumberFormat="1" applyFont="1" applyFill="1" applyBorder="1" applyAlignment="1" applyProtection="1">
      <alignment horizontal="left" vertical="center" wrapText="1"/>
    </xf>
    <xf numFmtId="43" fontId="5" fillId="8" borderId="10" xfId="1" applyNumberFormat="1" applyFont="1" applyFill="1" applyBorder="1" applyAlignment="1">
      <alignment vertical="center" wrapText="1"/>
    </xf>
    <xf numFmtId="165" fontId="5" fillId="8" borderId="10" xfId="0" applyNumberFormat="1" applyFont="1" applyFill="1" applyBorder="1" applyAlignment="1" applyProtection="1">
      <alignment horizontal="left" vertical="center" wrapText="1"/>
    </xf>
    <xf numFmtId="176" fontId="5" fillId="10" borderId="16" xfId="5" applyNumberFormat="1" applyFont="1" applyFill="1" applyBorder="1" applyAlignment="1" applyProtection="1">
      <alignment horizontal="center" vertical="center" wrapText="1"/>
    </xf>
    <xf numFmtId="166" fontId="4" fillId="2" borderId="16" xfId="1" applyNumberFormat="1" applyFont="1" applyFill="1" applyBorder="1" applyAlignment="1" applyProtection="1">
      <alignment horizontal="center" vertical="center" wrapText="1"/>
    </xf>
    <xf numFmtId="1" fontId="5" fillId="10" borderId="1" xfId="5" applyNumberFormat="1" applyFont="1" applyFill="1" applyBorder="1" applyAlignment="1" applyProtection="1">
      <alignment horizontal="center" vertical="center" wrapText="1"/>
    </xf>
    <xf numFmtId="4" fontId="4" fillId="6" borderId="10" xfId="0" applyNumberFormat="1" applyFont="1" applyFill="1" applyBorder="1" applyAlignment="1">
      <alignment horizontal="center" vertical="center" wrapText="1"/>
    </xf>
    <xf numFmtId="3" fontId="5" fillId="6" borderId="10" xfId="0" applyNumberFormat="1" applyFont="1" applyFill="1" applyBorder="1" applyAlignment="1">
      <alignment horizontal="center" vertical="center" wrapText="1"/>
    </xf>
    <xf numFmtId="44" fontId="5" fillId="6" borderId="10" xfId="2" applyFont="1" applyFill="1" applyBorder="1" applyAlignment="1" applyProtection="1">
      <alignment horizontal="center" vertical="center" wrapText="1"/>
      <protection locked="0"/>
    </xf>
    <xf numFmtId="10" fontId="5" fillId="2" borderId="9" xfId="6" applyNumberFormat="1" applyFont="1" applyFill="1" applyBorder="1" applyAlignment="1" applyProtection="1">
      <alignment horizontal="center" vertical="center" wrapText="1"/>
      <protection locked="0"/>
    </xf>
    <xf numFmtId="0" fontId="4" fillId="6" borderId="10" xfId="3" applyNumberFormat="1" applyFont="1" applyFill="1" applyBorder="1" applyAlignment="1" applyProtection="1">
      <alignment horizontal="center" vertical="center" wrapText="1"/>
      <protection locked="0"/>
    </xf>
    <xf numFmtId="0" fontId="5" fillId="8" borderId="1" xfId="0" applyFont="1" applyFill="1" applyBorder="1" applyAlignment="1">
      <alignment vertical="center" wrapText="1"/>
    </xf>
    <xf numFmtId="0" fontId="5" fillId="8" borderId="10" xfId="0" applyFont="1" applyFill="1" applyBorder="1" applyAlignment="1">
      <alignment horizontal="justify" vertical="center" wrapText="1"/>
    </xf>
    <xf numFmtId="167" fontId="5" fillId="8" borderId="1" xfId="1" applyNumberFormat="1" applyFont="1" applyFill="1" applyBorder="1" applyAlignment="1">
      <alignment vertical="center" wrapText="1"/>
    </xf>
    <xf numFmtId="10" fontId="5" fillId="2" borderId="1" xfId="6" applyNumberFormat="1" applyFont="1" applyFill="1" applyBorder="1" applyAlignment="1" applyProtection="1">
      <alignment horizontal="center" vertical="center" wrapText="1"/>
      <protection locked="0"/>
    </xf>
    <xf numFmtId="9" fontId="5" fillId="2" borderId="8" xfId="6" applyFont="1" applyFill="1" applyBorder="1" applyAlignment="1" applyProtection="1">
      <alignment horizontal="center" vertical="center" wrapText="1"/>
      <protection locked="0"/>
    </xf>
    <xf numFmtId="0" fontId="5" fillId="6" borderId="8" xfId="4" applyFont="1" applyFill="1" applyBorder="1" applyAlignment="1">
      <alignment vertical="center" wrapText="1"/>
    </xf>
    <xf numFmtId="0" fontId="5" fillId="26" borderId="8" xfId="4" applyFont="1" applyFill="1" applyBorder="1" applyAlignment="1">
      <alignment vertical="center" wrapText="1"/>
    </xf>
    <xf numFmtId="181" fontId="5" fillId="6" borderId="1" xfId="2" applyNumberFormat="1" applyFont="1" applyFill="1" applyBorder="1" applyAlignment="1" applyProtection="1">
      <alignment vertical="center" wrapText="1"/>
      <protection locked="0"/>
    </xf>
    <xf numFmtId="0" fontId="5" fillId="6" borderId="9" xfId="4" applyFont="1" applyFill="1" applyBorder="1" applyAlignment="1">
      <alignment vertical="center" wrapText="1"/>
    </xf>
    <xf numFmtId="14" fontId="5" fillId="6" borderId="10" xfId="0" applyNumberFormat="1" applyFont="1" applyFill="1" applyBorder="1" applyAlignment="1">
      <alignment horizontal="center" vertical="center" wrapText="1"/>
    </xf>
    <xf numFmtId="3" fontId="5" fillId="6" borderId="1" xfId="0" applyNumberFormat="1" applyFont="1" applyFill="1" applyBorder="1" applyAlignment="1">
      <alignment horizontal="center" vertical="center" wrapText="1"/>
    </xf>
    <xf numFmtId="4" fontId="5" fillId="6" borderId="8" xfId="0" applyNumberFormat="1" applyFont="1" applyFill="1" applyBorder="1" applyAlignment="1">
      <alignment vertical="center" wrapText="1"/>
    </xf>
    <xf numFmtId="4" fontId="5" fillId="2" borderId="8" xfId="0" applyNumberFormat="1" applyFont="1" applyFill="1" applyBorder="1" applyAlignment="1">
      <alignment vertical="center" wrapText="1"/>
    </xf>
    <xf numFmtId="4" fontId="5" fillId="2" borderId="9" xfId="0" applyNumberFormat="1" applyFont="1" applyFill="1" applyBorder="1" applyAlignment="1">
      <alignment vertical="center" wrapText="1"/>
    </xf>
    <xf numFmtId="0" fontId="5" fillId="6" borderId="15" xfId="3" applyNumberFormat="1" applyFont="1" applyFill="1" applyBorder="1" applyAlignment="1" applyProtection="1">
      <alignment horizontal="center" vertical="center" wrapText="1"/>
      <protection locked="0"/>
    </xf>
    <xf numFmtId="2" fontId="5" fillId="10" borderId="20" xfId="5" applyNumberFormat="1" applyFont="1" applyFill="1" applyBorder="1" applyAlignment="1" applyProtection="1">
      <alignment horizontal="center" vertical="center" wrapText="1"/>
    </xf>
    <xf numFmtId="0" fontId="5" fillId="6" borderId="1" xfId="5" applyFont="1" applyFill="1" applyBorder="1" applyAlignment="1">
      <alignment vertical="center" wrapText="1"/>
    </xf>
    <xf numFmtId="0" fontId="5" fillId="6" borderId="1" xfId="5" applyFont="1" applyFill="1" applyBorder="1" applyAlignment="1">
      <alignment horizontal="center" vertical="center" wrapText="1"/>
    </xf>
    <xf numFmtId="2" fontId="5" fillId="10" borderId="19" xfId="5" applyNumberFormat="1" applyFont="1" applyFill="1" applyBorder="1" applyAlignment="1" applyProtection="1">
      <alignment horizontal="center" vertical="center" wrapText="1"/>
    </xf>
    <xf numFmtId="0" fontId="5" fillId="6" borderId="8" xfId="5" applyFont="1" applyFill="1" applyBorder="1" applyAlignment="1">
      <alignment vertical="center" wrapText="1"/>
    </xf>
    <xf numFmtId="0" fontId="5" fillId="2" borderId="8" xfId="5" applyFont="1" applyFill="1" applyBorder="1" applyAlignment="1">
      <alignment vertical="center" wrapText="1"/>
    </xf>
    <xf numFmtId="44" fontId="5" fillId="6" borderId="1" xfId="2" applyFont="1" applyFill="1" applyBorder="1" applyAlignment="1">
      <alignment horizontal="center" vertical="center" wrapText="1"/>
    </xf>
    <xf numFmtId="0" fontId="5" fillId="2" borderId="9" xfId="8" applyFont="1" applyFill="1" applyBorder="1" applyAlignment="1">
      <alignment vertical="center" wrapText="1"/>
    </xf>
    <xf numFmtId="0" fontId="5" fillId="6" borderId="9" xfId="5" applyFont="1" applyFill="1" applyBorder="1" applyAlignment="1">
      <alignment vertical="center" wrapText="1"/>
    </xf>
    <xf numFmtId="0" fontId="5" fillId="2" borderId="9" xfId="5" applyFont="1" applyFill="1" applyBorder="1" applyAlignment="1">
      <alignment vertical="center" wrapText="1"/>
    </xf>
    <xf numFmtId="169" fontId="4" fillId="2" borderId="16" xfId="1" applyNumberFormat="1" applyFont="1" applyFill="1" applyBorder="1" applyAlignment="1" applyProtection="1">
      <alignment horizontal="center" vertical="center" wrapText="1"/>
    </xf>
    <xf numFmtId="0" fontId="5" fillId="6" borderId="1" xfId="4" applyFont="1" applyFill="1" applyBorder="1" applyAlignment="1">
      <alignment vertical="center" wrapText="1"/>
    </xf>
    <xf numFmtId="0" fontId="5" fillId="6" borderId="1" xfId="4" applyFont="1" applyFill="1" applyBorder="1" applyAlignment="1">
      <alignment horizontal="center" vertical="center" wrapText="1"/>
    </xf>
    <xf numFmtId="174" fontId="5" fillId="2" borderId="1" xfId="6" applyNumberFormat="1" applyFont="1" applyFill="1" applyBorder="1" applyAlignment="1">
      <alignment horizontal="center" vertical="center" wrapText="1"/>
    </xf>
    <xf numFmtId="0" fontId="5" fillId="24" borderId="10" xfId="0" applyFont="1" applyFill="1" applyBorder="1" applyAlignment="1">
      <alignment vertical="center" wrapText="1"/>
    </xf>
    <xf numFmtId="0" fontId="5" fillId="24" borderId="9" xfId="0" applyNumberFormat="1" applyFont="1" applyFill="1" applyBorder="1" applyAlignment="1" applyProtection="1">
      <alignment horizontal="left" vertical="center" wrapText="1"/>
    </xf>
    <xf numFmtId="0" fontId="5" fillId="24" borderId="8" xfId="0" applyNumberFormat="1" applyFont="1" applyFill="1" applyBorder="1" applyAlignment="1" applyProtection="1">
      <alignment horizontal="center" vertical="center" wrapText="1"/>
    </xf>
    <xf numFmtId="164" fontId="5" fillId="24" borderId="9" xfId="0" applyNumberFormat="1" applyFont="1" applyFill="1" applyBorder="1" applyAlignment="1" applyProtection="1">
      <alignment horizontal="left" vertical="center" wrapText="1"/>
    </xf>
    <xf numFmtId="167" fontId="5" fillId="24" borderId="10" xfId="1" applyNumberFormat="1" applyFont="1" applyFill="1" applyBorder="1" applyAlignment="1">
      <alignment vertical="center" wrapText="1"/>
    </xf>
    <xf numFmtId="165" fontId="5" fillId="24" borderId="9" xfId="0" applyNumberFormat="1" applyFont="1" applyFill="1" applyBorder="1" applyAlignment="1" applyProtection="1">
      <alignment horizontal="left" vertical="center" wrapText="1"/>
    </xf>
    <xf numFmtId="165" fontId="5" fillId="24" borderId="9" xfId="0" applyNumberFormat="1" applyFont="1" applyFill="1" applyBorder="1" applyAlignment="1" applyProtection="1">
      <alignment horizontal="center" vertical="center" wrapText="1"/>
    </xf>
    <xf numFmtId="0" fontId="5" fillId="24" borderId="9" xfId="0" applyNumberFormat="1" applyFont="1" applyFill="1" applyBorder="1" applyAlignment="1" applyProtection="1">
      <alignment horizontal="center" vertical="center" wrapText="1"/>
    </xf>
    <xf numFmtId="2" fontId="5" fillId="2" borderId="8" xfId="5" applyNumberFormat="1" applyFont="1" applyFill="1" applyBorder="1" applyAlignment="1" applyProtection="1">
      <alignment vertical="center" wrapText="1"/>
    </xf>
    <xf numFmtId="2" fontId="5" fillId="2" borderId="9" xfId="5" applyNumberFormat="1" applyFont="1" applyFill="1" applyBorder="1" applyAlignment="1" applyProtection="1">
      <alignment vertical="center" wrapText="1"/>
    </xf>
    <xf numFmtId="43" fontId="4" fillId="2" borderId="16" xfId="1" applyFont="1" applyFill="1" applyBorder="1" applyAlignment="1" applyProtection="1">
      <alignment horizontal="center" vertical="center" wrapText="1"/>
    </xf>
    <xf numFmtId="44" fontId="5" fillId="10" borderId="1" xfId="2" applyFont="1" applyFill="1" applyBorder="1" applyAlignment="1" applyProtection="1">
      <alignment horizontal="center" vertical="center" wrapText="1"/>
    </xf>
    <xf numFmtId="44" fontId="5" fillId="10" borderId="8" xfId="2" applyFont="1" applyFill="1" applyBorder="1" applyAlignment="1" applyProtection="1">
      <alignment vertical="center" wrapText="1"/>
    </xf>
    <xf numFmtId="44" fontId="5" fillId="10" borderId="9" xfId="2" applyFont="1" applyFill="1" applyBorder="1" applyAlignment="1" applyProtection="1">
      <alignment vertical="center" wrapText="1"/>
    </xf>
    <xf numFmtId="0" fontId="5" fillId="27" borderId="1" xfId="5" applyNumberFormat="1" applyFont="1" applyFill="1" applyBorder="1" applyAlignment="1" applyProtection="1">
      <alignment horizontal="center" vertical="center" wrapText="1"/>
    </xf>
    <xf numFmtId="164" fontId="5" fillId="10" borderId="1" xfId="5" applyNumberFormat="1" applyFont="1" applyFill="1" applyBorder="1" applyAlignment="1" applyProtection="1">
      <alignment horizontal="center" vertical="center" wrapText="1"/>
    </xf>
    <xf numFmtId="165" fontId="5" fillId="10" borderId="1" xfId="5" applyNumberFormat="1" applyFont="1" applyFill="1" applyBorder="1" applyAlignment="1" applyProtection="1">
      <alignment horizontal="center" vertical="center" wrapText="1"/>
    </xf>
    <xf numFmtId="2" fontId="5" fillId="2" borderId="16" xfId="5" applyNumberFormat="1" applyFont="1" applyFill="1" applyBorder="1" applyAlignment="1" applyProtection="1">
      <alignment horizontal="center" vertical="center" wrapText="1"/>
    </xf>
    <xf numFmtId="0" fontId="5" fillId="10" borderId="13" xfId="5" applyNumberFormat="1" applyFont="1" applyFill="1" applyBorder="1" applyAlignment="1" applyProtection="1">
      <alignment horizontal="center" vertical="center" wrapText="1"/>
    </xf>
    <xf numFmtId="0" fontId="0" fillId="2" borderId="10" xfId="0" applyNumberFormat="1" applyFont="1" applyFill="1" applyBorder="1" applyAlignment="1" applyProtection="1">
      <alignment horizontal="center" vertical="top"/>
    </xf>
    <xf numFmtId="2" fontId="4" fillId="13" borderId="10" xfId="5" applyNumberFormat="1" applyFont="1" applyFill="1" applyBorder="1" applyAlignment="1" applyProtection="1">
      <alignment horizontal="center" vertical="center" wrapText="1"/>
    </xf>
    <xf numFmtId="2" fontId="4" fillId="3" borderId="10" xfId="0" applyNumberFormat="1" applyFont="1" applyFill="1" applyBorder="1" applyAlignment="1" applyProtection="1">
      <alignment horizontal="center" vertical="top"/>
    </xf>
    <xf numFmtId="0" fontId="4" fillId="2" borderId="10" xfId="0" applyNumberFormat="1" applyFont="1" applyFill="1" applyBorder="1" applyAlignment="1" applyProtection="1">
      <alignment vertical="top"/>
    </xf>
    <xf numFmtId="10" fontId="5" fillId="6" borderId="10" xfId="6" applyNumberFormat="1" applyFont="1" applyFill="1" applyBorder="1" applyAlignment="1" applyProtection="1">
      <alignment horizontal="justify" vertical="center" wrapText="1"/>
    </xf>
    <xf numFmtId="10" fontId="5" fillId="2" borderId="10" xfId="6" applyNumberFormat="1" applyFont="1" applyFill="1" applyBorder="1" applyAlignment="1" applyProtection="1">
      <alignment horizontal="justify" vertical="center" wrapText="1"/>
    </xf>
    <xf numFmtId="44" fontId="5" fillId="6" borderId="10" xfId="5" applyNumberFormat="1" applyFont="1" applyFill="1" applyBorder="1" applyAlignment="1" applyProtection="1">
      <alignment vertical="center" wrapText="1"/>
    </xf>
    <xf numFmtId="44" fontId="5" fillId="6" borderId="10" xfId="5" applyNumberFormat="1" applyFont="1" applyFill="1" applyBorder="1" applyAlignment="1" applyProtection="1">
      <alignment vertical="top" wrapText="1"/>
    </xf>
    <xf numFmtId="10" fontId="5" fillId="6" borderId="1" xfId="6" applyNumberFormat="1" applyFont="1" applyFill="1" applyBorder="1" applyAlignment="1" applyProtection="1">
      <alignment horizontal="justify" vertical="center" wrapText="1"/>
    </xf>
    <xf numFmtId="0" fontId="5" fillId="12" borderId="15" xfId="0" applyNumberFormat="1" applyFont="1" applyFill="1" applyBorder="1" applyAlignment="1" applyProtection="1">
      <alignment vertical="center" wrapText="1"/>
    </xf>
    <xf numFmtId="10" fontId="5" fillId="6" borderId="13" xfId="6" applyNumberFormat="1" applyFont="1" applyFill="1" applyBorder="1" applyAlignment="1" applyProtection="1">
      <alignment horizontal="justify" vertical="center" wrapText="1"/>
    </xf>
    <xf numFmtId="10" fontId="5" fillId="6" borderId="16" xfId="6" applyNumberFormat="1" applyFont="1" applyFill="1" applyBorder="1" applyAlignment="1" applyProtection="1">
      <alignment horizontal="justify" vertical="center" wrapText="1"/>
    </xf>
    <xf numFmtId="10" fontId="5" fillId="6" borderId="14" xfId="6" applyNumberFormat="1" applyFont="1" applyFill="1" applyBorder="1" applyAlignment="1" applyProtection="1">
      <alignment horizontal="justify" vertical="center" wrapText="1"/>
    </xf>
    <xf numFmtId="10" fontId="5" fillId="6" borderId="17" xfId="6" applyNumberFormat="1" applyFont="1" applyFill="1" applyBorder="1" applyAlignment="1" applyProtection="1">
      <alignment horizontal="justify" vertical="center" wrapText="1"/>
    </xf>
    <xf numFmtId="10" fontId="5" fillId="6" borderId="9" xfId="6" applyNumberFormat="1" applyFont="1" applyFill="1" applyBorder="1" applyAlignment="1" applyProtection="1">
      <alignment horizontal="justify" vertical="center" wrapText="1"/>
    </xf>
    <xf numFmtId="9" fontId="5" fillId="6" borderId="10" xfId="5" applyNumberFormat="1" applyFont="1" applyFill="1" applyBorder="1" applyAlignment="1" applyProtection="1">
      <alignment horizontal="center" vertical="center" wrapText="1"/>
    </xf>
    <xf numFmtId="1" fontId="5" fillId="12" borderId="1" xfId="5" applyNumberFormat="1" applyFont="1" applyFill="1" applyBorder="1" applyAlignment="1" applyProtection="1">
      <alignment horizontal="center" vertical="center" wrapText="1"/>
    </xf>
    <xf numFmtId="1" fontId="5" fillId="12" borderId="8" xfId="5" applyNumberFormat="1" applyFont="1" applyFill="1" applyBorder="1" applyAlignment="1" applyProtection="1">
      <alignment vertical="center" wrapText="1"/>
    </xf>
    <xf numFmtId="1" fontId="5" fillId="12" borderId="9" xfId="5" applyNumberFormat="1" applyFont="1" applyFill="1" applyBorder="1" applyAlignment="1" applyProtection="1">
      <alignment vertical="center" wrapText="1"/>
    </xf>
    <xf numFmtId="10" fontId="5" fillId="6" borderId="13" xfId="6" applyNumberFormat="1" applyFont="1" applyFill="1" applyBorder="1" applyAlignment="1" applyProtection="1">
      <alignment horizontal="center" vertical="center" wrapText="1"/>
    </xf>
    <xf numFmtId="10" fontId="5" fillId="6" borderId="16" xfId="6" applyNumberFormat="1" applyFont="1" applyFill="1" applyBorder="1" applyAlignment="1" applyProtection="1">
      <alignment horizontal="center" vertical="center" wrapText="1"/>
    </xf>
    <xf numFmtId="10" fontId="5" fillId="6" borderId="11" xfId="6" applyNumberFormat="1" applyFont="1" applyFill="1" applyBorder="1" applyAlignment="1" applyProtection="1">
      <alignment horizontal="center" vertical="center" wrapText="1"/>
    </xf>
    <xf numFmtId="10" fontId="5" fillId="6" borderId="19" xfId="6" applyNumberFormat="1" applyFont="1" applyFill="1" applyBorder="1" applyAlignment="1" applyProtection="1">
      <alignment horizontal="center" vertical="center" wrapText="1"/>
    </xf>
    <xf numFmtId="9" fontId="5" fillId="12" borderId="6" xfId="6" applyFont="1" applyFill="1" applyBorder="1" applyAlignment="1" applyProtection="1">
      <alignment horizontal="center" vertical="center" wrapText="1"/>
    </xf>
    <xf numFmtId="164" fontId="5" fillId="12" borderId="1" xfId="5" applyNumberFormat="1" applyFont="1" applyFill="1" applyBorder="1" applyAlignment="1" applyProtection="1">
      <alignment vertical="center" wrapText="1"/>
    </xf>
    <xf numFmtId="164" fontId="5" fillId="2" borderId="1" xfId="5" applyNumberFormat="1" applyFont="1" applyFill="1" applyBorder="1" applyAlignment="1" applyProtection="1">
      <alignment vertical="center" wrapText="1"/>
    </xf>
    <xf numFmtId="10" fontId="5" fillId="6" borderId="14" xfId="6" applyNumberFormat="1" applyFont="1" applyFill="1" applyBorder="1" applyAlignment="1" applyProtection="1">
      <alignment horizontal="center" vertical="center" wrapText="1"/>
    </xf>
    <xf numFmtId="10" fontId="5" fillId="6" borderId="17" xfId="6" applyNumberFormat="1" applyFont="1" applyFill="1" applyBorder="1" applyAlignment="1" applyProtection="1">
      <alignment horizontal="center" vertical="center" wrapText="1"/>
    </xf>
    <xf numFmtId="0" fontId="5" fillId="12" borderId="6" xfId="0" applyNumberFormat="1" applyFont="1" applyFill="1" applyBorder="1" applyAlignment="1" applyProtection="1">
      <alignment horizontal="center" vertical="center" wrapText="1"/>
    </xf>
    <xf numFmtId="44" fontId="5" fillId="12" borderId="6" xfId="2" applyFont="1" applyFill="1" applyBorder="1" applyAlignment="1" applyProtection="1">
      <alignment vertical="center" wrapText="1"/>
    </xf>
    <xf numFmtId="1" fontId="5" fillId="12" borderId="9" xfId="5" applyNumberFormat="1" applyFont="1" applyFill="1" applyBorder="1" applyAlignment="1" applyProtection="1">
      <alignment horizontal="center" vertical="center" wrapText="1"/>
    </xf>
    <xf numFmtId="164" fontId="5" fillId="12" borderId="9" xfId="5" applyNumberFormat="1" applyFont="1" applyFill="1" applyBorder="1" applyAlignment="1" applyProtection="1">
      <alignment horizontal="center" vertical="center" wrapText="1"/>
    </xf>
    <xf numFmtId="0" fontId="5" fillId="25" borderId="10" xfId="5" applyFont="1" applyFill="1" applyBorder="1" applyAlignment="1">
      <alignment horizontal="justify" vertical="center" wrapText="1"/>
    </xf>
    <xf numFmtId="169" fontId="4" fillId="25" borderId="1" xfId="1" applyNumberFormat="1" applyFont="1" applyFill="1" applyBorder="1" applyAlignment="1">
      <alignment horizontal="center" vertical="center" wrapText="1"/>
    </xf>
    <xf numFmtId="0" fontId="5" fillId="25" borderId="1" xfId="5" applyFont="1" applyFill="1" applyBorder="1" applyAlignment="1">
      <alignment horizontal="justify" vertical="center" wrapText="1"/>
    </xf>
    <xf numFmtId="0" fontId="5" fillId="2" borderId="10" xfId="5" applyFont="1" applyFill="1" applyBorder="1" applyAlignment="1">
      <alignment horizontal="justify" vertical="center" wrapText="1"/>
    </xf>
    <xf numFmtId="44" fontId="5" fillId="2" borderId="10" xfId="5" applyNumberFormat="1" applyFont="1" applyFill="1" applyBorder="1" applyAlignment="1" applyProtection="1">
      <alignment vertical="center" wrapText="1"/>
    </xf>
    <xf numFmtId="44" fontId="5" fillId="2" borderId="10" xfId="5" applyNumberFormat="1" applyFont="1" applyFill="1" applyBorder="1" applyAlignment="1" applyProtection="1">
      <alignment vertical="top" wrapText="1"/>
    </xf>
    <xf numFmtId="0" fontId="5" fillId="25" borderId="10" xfId="5" applyFont="1" applyFill="1" applyBorder="1" applyAlignment="1">
      <alignment horizontal="center" vertical="center" wrapText="1"/>
    </xf>
    <xf numFmtId="0" fontId="5" fillId="6" borderId="13" xfId="0" applyFont="1" applyFill="1" applyBorder="1" applyAlignment="1">
      <alignment horizontal="center" vertical="center" wrapText="1"/>
    </xf>
    <xf numFmtId="2" fontId="5" fillId="6" borderId="13" xfId="5" applyNumberFormat="1" applyFont="1" applyFill="1" applyBorder="1" applyAlignment="1" applyProtection="1">
      <alignment horizontal="center" vertical="center" wrapText="1"/>
    </xf>
    <xf numFmtId="0" fontId="5" fillId="6" borderId="16"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0" fillId="6" borderId="10" xfId="0" applyFill="1" applyBorder="1" applyAlignment="1">
      <alignment horizontal="center" vertical="center" wrapText="1"/>
    </xf>
    <xf numFmtId="0" fontId="5" fillId="6" borderId="11" xfId="0" applyFont="1" applyFill="1" applyBorder="1" applyAlignment="1">
      <alignment horizontal="center" vertical="center" wrapText="1"/>
    </xf>
    <xf numFmtId="2" fontId="5" fillId="6" borderId="11" xfId="5" applyNumberFormat="1" applyFont="1" applyFill="1" applyBorder="1" applyAlignment="1" applyProtection="1">
      <alignment horizontal="center" vertical="center" wrapText="1"/>
    </xf>
    <xf numFmtId="0" fontId="5" fillId="6" borderId="17" xfId="0" applyFont="1" applyFill="1" applyBorder="1" applyAlignment="1">
      <alignment vertical="center" wrapText="1"/>
    </xf>
    <xf numFmtId="9" fontId="0" fillId="2" borderId="10" xfId="6" applyFont="1" applyFill="1" applyBorder="1" applyAlignment="1">
      <alignment horizontal="center" vertical="center" wrapText="1"/>
    </xf>
    <xf numFmtId="0" fontId="5" fillId="6" borderId="15" xfId="0" applyFont="1" applyFill="1" applyBorder="1" applyAlignment="1">
      <alignment horizontal="left" vertical="center" wrapText="1"/>
    </xf>
    <xf numFmtId="0" fontId="5" fillId="6" borderId="15" xfId="0" applyFont="1" applyFill="1" applyBorder="1" applyAlignment="1">
      <alignment horizontal="center" vertical="center" wrapText="1"/>
    </xf>
    <xf numFmtId="0" fontId="5" fillId="6" borderId="9" xfId="0" applyFont="1" applyFill="1" applyBorder="1" applyAlignment="1">
      <alignment horizontal="center" vertical="center" wrapText="1"/>
    </xf>
    <xf numFmtId="2" fontId="5" fillId="6" borderId="17" xfId="5" applyNumberFormat="1" applyFont="1" applyFill="1" applyBorder="1" applyAlignment="1" applyProtection="1">
      <alignment horizontal="center" vertical="center" wrapText="1"/>
    </xf>
    <xf numFmtId="43" fontId="4" fillId="25" borderId="10" xfId="1" applyFont="1" applyFill="1" applyBorder="1" applyAlignment="1">
      <alignment horizontal="center" vertical="center" wrapText="1"/>
    </xf>
    <xf numFmtId="10" fontId="5" fillId="6" borderId="1" xfId="6" applyNumberFormat="1" applyFont="1" applyFill="1" applyBorder="1" applyAlignment="1" applyProtection="1">
      <alignment vertical="center" wrapText="1"/>
    </xf>
    <xf numFmtId="0" fontId="5" fillId="6" borderId="1" xfId="5" applyNumberFormat="1" applyFont="1" applyFill="1" applyBorder="1" applyAlignment="1" applyProtection="1">
      <alignment vertical="center" textRotation="255" wrapText="1"/>
    </xf>
    <xf numFmtId="168" fontId="5" fillId="6" borderId="1" xfId="5" applyNumberFormat="1" applyFont="1" applyFill="1" applyBorder="1" applyAlignment="1" applyProtection="1">
      <alignment vertical="center" wrapText="1"/>
    </xf>
    <xf numFmtId="169" fontId="4" fillId="25" borderId="10" xfId="1" applyNumberFormat="1" applyFont="1" applyFill="1" applyBorder="1" applyAlignment="1">
      <alignment horizontal="center" vertical="center" wrapText="1"/>
    </xf>
    <xf numFmtId="0" fontId="5" fillId="13" borderId="10" xfId="5" applyFont="1" applyFill="1" applyBorder="1" applyAlignment="1">
      <alignment horizontal="justify" vertical="center"/>
    </xf>
    <xf numFmtId="0" fontId="5" fillId="13" borderId="10" xfId="5" applyFont="1" applyFill="1" applyBorder="1" applyAlignment="1">
      <alignment horizontal="justify" vertical="center" wrapText="1"/>
    </xf>
    <xf numFmtId="176" fontId="4" fillId="13" borderId="10" xfId="5" applyNumberFormat="1" applyFont="1" applyFill="1" applyBorder="1" applyAlignment="1">
      <alignment horizontal="center" vertical="center" wrapText="1"/>
    </xf>
    <xf numFmtId="44" fontId="5" fillId="13" borderId="10" xfId="5" applyNumberFormat="1" applyFont="1" applyFill="1" applyBorder="1" applyAlignment="1" applyProtection="1">
      <alignment vertical="center" wrapText="1"/>
    </xf>
    <xf numFmtId="44" fontId="5" fillId="13" borderId="10" xfId="5" applyNumberFormat="1" applyFont="1" applyFill="1" applyBorder="1" applyAlignment="1" applyProtection="1">
      <alignment vertical="top" wrapText="1"/>
    </xf>
    <xf numFmtId="10" fontId="5" fillId="2" borderId="9" xfId="6" applyNumberFormat="1" applyFont="1" applyFill="1" applyBorder="1" applyAlignment="1" applyProtection="1">
      <alignment horizontal="justify" vertical="center" wrapText="1"/>
    </xf>
    <xf numFmtId="44" fontId="5" fillId="6" borderId="9" xfId="5" applyNumberFormat="1" applyFont="1" applyFill="1" applyBorder="1" applyAlignment="1" applyProtection="1">
      <alignment vertical="center" wrapText="1"/>
    </xf>
    <xf numFmtId="44" fontId="5" fillId="6" borderId="9" xfId="5" applyNumberFormat="1" applyFont="1" applyFill="1" applyBorder="1" applyAlignment="1" applyProtection="1">
      <alignment vertical="top" wrapText="1"/>
    </xf>
    <xf numFmtId="9" fontId="5" fillId="6" borderId="9" xfId="6" applyFont="1" applyFill="1" applyBorder="1" applyAlignment="1" applyProtection="1">
      <alignment horizontal="center" vertical="center" wrapText="1"/>
    </xf>
    <xf numFmtId="1" fontId="5" fillId="6" borderId="10" xfId="5" applyNumberFormat="1" applyFont="1" applyFill="1" applyBorder="1" applyAlignment="1" applyProtection="1">
      <alignment horizontal="center" vertical="center" wrapText="1"/>
    </xf>
    <xf numFmtId="10" fontId="5" fillId="6" borderId="15" xfId="6" applyNumberFormat="1" applyFont="1" applyFill="1" applyBorder="1" applyAlignment="1" applyProtection="1">
      <alignment horizontal="justify" vertical="center" wrapText="1"/>
    </xf>
    <xf numFmtId="168" fontId="5" fillId="6" borderId="10" xfId="5" applyNumberFormat="1" applyFont="1" applyFill="1" applyBorder="1" applyAlignment="1" applyProtection="1">
      <alignment horizontal="center" vertical="center" wrapText="1"/>
    </xf>
    <xf numFmtId="10" fontId="5" fillId="6" borderId="8" xfId="6" applyNumberFormat="1" applyFont="1" applyFill="1" applyBorder="1" applyAlignment="1" applyProtection="1">
      <alignment horizontal="justify" vertical="center" wrapText="1"/>
    </xf>
    <xf numFmtId="10" fontId="5" fillId="6" borderId="8" xfId="6" applyNumberFormat="1" applyFont="1" applyFill="1" applyBorder="1" applyAlignment="1" applyProtection="1">
      <alignment vertical="center" wrapText="1"/>
    </xf>
    <xf numFmtId="43" fontId="5" fillId="6" borderId="1" xfId="1" applyFont="1" applyFill="1" applyBorder="1" applyAlignment="1" applyProtection="1">
      <alignment vertical="center" wrapText="1"/>
    </xf>
    <xf numFmtId="10" fontId="5" fillId="6" borderId="9" xfId="6" applyNumberFormat="1" applyFont="1" applyFill="1" applyBorder="1" applyAlignment="1" applyProtection="1">
      <alignment vertical="center" wrapText="1"/>
    </xf>
    <xf numFmtId="10" fontId="5" fillId="2" borderId="9" xfId="6" applyNumberFormat="1" applyFont="1" applyFill="1" applyBorder="1" applyAlignment="1" applyProtection="1">
      <alignment vertical="center" wrapText="1"/>
    </xf>
    <xf numFmtId="1" fontId="5" fillId="6" borderId="1" xfId="5" applyNumberFormat="1" applyFont="1" applyFill="1" applyBorder="1" applyAlignment="1" applyProtection="1">
      <alignment horizontal="center" vertical="center" wrapText="1"/>
    </xf>
    <xf numFmtId="1" fontId="5" fillId="6" borderId="9" xfId="5" applyNumberFormat="1" applyFont="1" applyFill="1" applyBorder="1" applyAlignment="1" applyProtection="1">
      <alignment horizontal="center" vertical="center" wrapText="1"/>
    </xf>
    <xf numFmtId="17" fontId="5" fillId="6" borderId="10" xfId="5" applyNumberFormat="1" applyFont="1" applyFill="1" applyBorder="1" applyAlignment="1" applyProtection="1">
      <alignment horizontal="center" vertical="center" wrapText="1"/>
    </xf>
    <xf numFmtId="169" fontId="5" fillId="6" borderId="1" xfId="1" applyNumberFormat="1" applyFont="1" applyFill="1" applyBorder="1" applyAlignment="1" applyProtection="1">
      <alignment vertical="center" wrapText="1"/>
    </xf>
    <xf numFmtId="169" fontId="5" fillId="6" borderId="1" xfId="1" applyNumberFormat="1" applyFont="1" applyFill="1" applyBorder="1" applyAlignment="1" applyProtection="1">
      <alignment horizontal="center" vertical="center" wrapText="1"/>
    </xf>
    <xf numFmtId="10" fontId="5" fillId="2" borderId="1" xfId="6" applyNumberFormat="1" applyFont="1" applyFill="1" applyBorder="1" applyAlignment="1" applyProtection="1">
      <alignment vertical="center" wrapText="1"/>
    </xf>
    <xf numFmtId="10" fontId="5" fillId="2" borderId="8" xfId="6" applyNumberFormat="1" applyFont="1" applyFill="1" applyBorder="1" applyAlignment="1" applyProtection="1">
      <alignment vertical="center" wrapText="1"/>
    </xf>
    <xf numFmtId="1" fontId="5" fillId="6" borderId="10" xfId="5" applyNumberFormat="1" applyFont="1" applyFill="1" applyBorder="1" applyAlignment="1" applyProtection="1">
      <alignment vertical="center" wrapText="1"/>
    </xf>
    <xf numFmtId="1" fontId="5" fillId="6" borderId="9" xfId="5" applyNumberFormat="1" applyFont="1" applyFill="1" applyBorder="1" applyAlignment="1" applyProtection="1">
      <alignment vertical="center" wrapText="1"/>
    </xf>
    <xf numFmtId="44" fontId="5" fillId="6" borderId="10" xfId="2" applyFont="1" applyFill="1" applyBorder="1" applyAlignment="1">
      <alignment horizontal="left" vertical="center" wrapText="1"/>
    </xf>
    <xf numFmtId="10" fontId="5" fillId="6" borderId="17" xfId="5" applyNumberFormat="1" applyFont="1" applyFill="1" applyBorder="1" applyAlignment="1" applyProtection="1">
      <alignment vertical="center" wrapText="1"/>
    </xf>
    <xf numFmtId="2" fontId="5" fillId="6" borderId="0" xfId="5" applyNumberFormat="1" applyFont="1" applyFill="1" applyBorder="1" applyAlignment="1" applyProtection="1">
      <alignment horizontal="center" vertical="center" wrapText="1"/>
    </xf>
    <xf numFmtId="1" fontId="5" fillId="6" borderId="0" xfId="5" applyNumberFormat="1" applyFont="1" applyFill="1" applyBorder="1" applyAlignment="1" applyProtection="1">
      <alignment horizontal="center" vertical="center" wrapText="1"/>
    </xf>
    <xf numFmtId="0" fontId="5" fillId="25" borderId="9" xfId="5" applyFont="1" applyFill="1" applyBorder="1" applyAlignment="1">
      <alignment horizontal="justify" vertical="center" wrapText="1"/>
    </xf>
    <xf numFmtId="0" fontId="5" fillId="6" borderId="9" xfId="5" applyNumberFormat="1" applyFont="1" applyFill="1" applyBorder="1" applyAlignment="1" applyProtection="1">
      <alignment vertical="center" textRotation="255" wrapText="1"/>
    </xf>
    <xf numFmtId="44" fontId="4" fillId="2" borderId="10" xfId="5" applyNumberFormat="1" applyFont="1" applyFill="1" applyBorder="1" applyAlignment="1" applyProtection="1">
      <alignment vertical="center" wrapText="1"/>
    </xf>
    <xf numFmtId="44" fontId="4" fillId="2" borderId="10" xfId="5" applyNumberFormat="1" applyFont="1" applyFill="1" applyBorder="1" applyAlignment="1" applyProtection="1">
      <alignment vertical="top" wrapText="1"/>
    </xf>
    <xf numFmtId="10" fontId="5" fillId="6" borderId="8" xfId="6" applyNumberFormat="1" applyFont="1" applyFill="1" applyBorder="1" applyAlignment="1" applyProtection="1">
      <alignment horizontal="center" vertical="center" wrapText="1"/>
    </xf>
    <xf numFmtId="17" fontId="5" fillId="6" borderId="1" xfId="6" applyNumberFormat="1" applyFont="1" applyFill="1" applyBorder="1" applyAlignment="1" applyProtection="1">
      <alignment horizontal="center" vertical="center" wrapText="1"/>
    </xf>
    <xf numFmtId="168" fontId="5" fillId="6" borderId="1" xfId="6" applyNumberFormat="1" applyFont="1" applyFill="1" applyBorder="1" applyAlignment="1" applyProtection="1">
      <alignment horizontal="center" vertical="center" wrapText="1"/>
    </xf>
    <xf numFmtId="17" fontId="5" fillId="6" borderId="8" xfId="6" applyNumberFormat="1" applyFont="1" applyFill="1" applyBorder="1" applyAlignment="1" applyProtection="1">
      <alignment horizontal="center" vertical="center" wrapText="1"/>
    </xf>
    <xf numFmtId="168" fontId="5" fillId="6" borderId="8" xfId="6" applyNumberFormat="1" applyFont="1" applyFill="1" applyBorder="1" applyAlignment="1" applyProtection="1">
      <alignment horizontal="center" vertical="center" wrapText="1"/>
    </xf>
    <xf numFmtId="17" fontId="5" fillId="6" borderId="1" xfId="5" applyNumberFormat="1" applyFont="1" applyFill="1" applyBorder="1" applyAlignment="1" applyProtection="1">
      <alignment horizontal="center" vertical="center" wrapText="1"/>
    </xf>
    <xf numFmtId="165" fontId="5" fillId="6" borderId="1" xfId="5" applyNumberFormat="1" applyFont="1" applyFill="1" applyBorder="1" applyAlignment="1" applyProtection="1">
      <alignment horizontal="center" vertical="center" wrapText="1"/>
    </xf>
    <xf numFmtId="2" fontId="5" fillId="6" borderId="21" xfId="5" applyNumberFormat="1" applyFont="1" applyFill="1" applyBorder="1" applyAlignment="1" applyProtection="1">
      <alignment horizontal="center" vertical="center" wrapText="1"/>
    </xf>
    <xf numFmtId="17" fontId="5" fillId="6" borderId="9" xfId="5" applyNumberFormat="1" applyFont="1" applyFill="1" applyBorder="1" applyAlignment="1" applyProtection="1">
      <alignment horizontal="center" vertical="center" wrapText="1"/>
    </xf>
    <xf numFmtId="165" fontId="5" fillId="2" borderId="9" xfId="5" applyNumberFormat="1" applyFont="1" applyFill="1" applyBorder="1" applyAlignment="1" applyProtection="1">
      <alignment horizontal="center" vertical="center" wrapText="1"/>
    </xf>
    <xf numFmtId="168" fontId="5" fillId="6" borderId="1" xfId="5" applyNumberFormat="1" applyFont="1" applyFill="1" applyBorder="1" applyAlignment="1" applyProtection="1">
      <alignment horizontal="center" vertical="center" wrapText="1"/>
    </xf>
    <xf numFmtId="10" fontId="5" fillId="6" borderId="10" xfId="6" applyNumberFormat="1" applyFont="1" applyFill="1" applyBorder="1" applyAlignment="1" applyProtection="1">
      <alignment horizontal="center" vertical="center" wrapText="1"/>
    </xf>
    <xf numFmtId="17" fontId="5" fillId="6" borderId="8" xfId="5" applyNumberFormat="1" applyFont="1" applyFill="1" applyBorder="1" applyAlignment="1" applyProtection="1">
      <alignment horizontal="center" vertical="center" wrapText="1"/>
    </xf>
    <xf numFmtId="165" fontId="5" fillId="6" borderId="8" xfId="5" applyNumberFormat="1" applyFont="1" applyFill="1" applyBorder="1" applyAlignment="1" applyProtection="1">
      <alignment vertical="center" wrapText="1"/>
    </xf>
    <xf numFmtId="0" fontId="5" fillId="2" borderId="10" xfId="5" applyNumberFormat="1" applyFont="1" applyFill="1" applyBorder="1" applyAlignment="1" applyProtection="1">
      <alignment vertical="center" textRotation="255" wrapText="1"/>
    </xf>
    <xf numFmtId="0" fontId="0" fillId="2" borderId="10" xfId="0" applyNumberFormat="1" applyFont="1" applyFill="1" applyBorder="1" applyAlignment="1" applyProtection="1">
      <alignment vertical="top" wrapText="1"/>
    </xf>
    <xf numFmtId="0" fontId="5" fillId="25" borderId="10" xfId="5" applyFont="1" applyFill="1" applyBorder="1" applyAlignment="1">
      <alignment horizontal="justify" vertical="top" wrapText="1"/>
    </xf>
    <xf numFmtId="44" fontId="4" fillId="13" borderId="10" xfId="2" applyFont="1" applyFill="1" applyBorder="1" applyAlignment="1" applyProtection="1">
      <alignment horizontal="center" vertical="center" wrapText="1"/>
    </xf>
    <xf numFmtId="0" fontId="4" fillId="28" borderId="10" xfId="0" applyNumberFormat="1" applyFont="1" applyFill="1" applyBorder="1" applyAlignment="1" applyProtection="1">
      <alignment vertical="top"/>
    </xf>
    <xf numFmtId="0" fontId="5" fillId="28" borderId="10" xfId="5" applyNumberFormat="1" applyFont="1" applyFill="1" applyBorder="1" applyAlignment="1" applyProtection="1">
      <alignment vertical="center" textRotation="255" wrapText="1"/>
    </xf>
    <xf numFmtId="0" fontId="0" fillId="28" borderId="10" xfId="0" applyNumberFormat="1" applyFont="1" applyFill="1" applyBorder="1" applyAlignment="1" applyProtection="1">
      <alignment vertical="top"/>
    </xf>
    <xf numFmtId="43" fontId="4" fillId="28" borderId="10" xfId="1" applyFont="1" applyFill="1" applyBorder="1" applyAlignment="1" applyProtection="1">
      <alignment vertical="center" wrapText="1"/>
    </xf>
    <xf numFmtId="0" fontId="5" fillId="28" borderId="10" xfId="5" applyNumberFormat="1" applyFont="1" applyFill="1" applyBorder="1" applyAlignment="1" applyProtection="1">
      <alignment vertical="top" textRotation="255" wrapText="1"/>
    </xf>
    <xf numFmtId="0" fontId="5" fillId="6" borderId="0" xfId="5" applyNumberFormat="1" applyFont="1" applyFill="1" applyBorder="1" applyAlignment="1" applyProtection="1">
      <alignment vertical="center" wrapText="1"/>
    </xf>
    <xf numFmtId="165" fontId="0" fillId="0" borderId="0" xfId="0" applyNumberFormat="1" applyFont="1" applyFill="1" applyBorder="1" applyAlignment="1" applyProtection="1">
      <alignment vertical="top"/>
    </xf>
  </cellXfs>
  <cellStyles count="10">
    <cellStyle name="Millares" xfId="1" builtinId="3"/>
    <cellStyle name="Millares 3" xfId="7"/>
    <cellStyle name="Moneda" xfId="2" builtinId="4"/>
    <cellStyle name="Moneda 2" xfId="9"/>
    <cellStyle name="Normal" xfId="0" builtinId="0"/>
    <cellStyle name="Normal 2 2" xfId="4"/>
    <cellStyle name="Normal 2 3" xfId="8"/>
    <cellStyle name="Normal 3 2" xfId="3"/>
    <cellStyle name="Normal 4" xf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1556808</xdr:colOff>
      <xdr:row>0</xdr:row>
      <xdr:rowOff>0</xdr:rowOff>
    </xdr:from>
    <xdr:ext cx="184731" cy="264560"/>
    <xdr:sp macro="" textlink="">
      <xdr:nvSpPr>
        <xdr:cNvPr id="2" name="1 CuadroTexto"/>
        <xdr:cNvSpPr txBox="1"/>
      </xdr:nvSpPr>
      <xdr:spPr>
        <a:xfrm>
          <a:off x="158538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3" name="2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4" name="3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5" name="4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6" name="5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7" name="6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8" name="7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9" name="8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10" name="9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11" name="10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12" name="11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13" name="12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773</xdr:row>
      <xdr:rowOff>0</xdr:rowOff>
    </xdr:from>
    <xdr:ext cx="184731" cy="264560"/>
    <xdr:sp macro="" textlink="">
      <xdr:nvSpPr>
        <xdr:cNvPr id="14" name="13 CuadroTexto"/>
        <xdr:cNvSpPr txBox="1"/>
      </xdr:nvSpPr>
      <xdr:spPr>
        <a:xfrm>
          <a:off x="4147608"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15" name="14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16" name="15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17" name="16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18" name="17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19" name="18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20" name="19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21" name="20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22" name="21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23" name="22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24" name="23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25" name="24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797</xdr:row>
      <xdr:rowOff>0</xdr:rowOff>
    </xdr:from>
    <xdr:ext cx="184731" cy="264560"/>
    <xdr:sp macro="" textlink="">
      <xdr:nvSpPr>
        <xdr:cNvPr id="26" name="25 CuadroTexto"/>
        <xdr:cNvSpPr txBox="1"/>
      </xdr:nvSpPr>
      <xdr:spPr>
        <a:xfrm>
          <a:off x="4147608" y="8501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797</xdr:row>
      <xdr:rowOff>0</xdr:rowOff>
    </xdr:from>
    <xdr:ext cx="184731" cy="264560"/>
    <xdr:sp macro="" textlink="">
      <xdr:nvSpPr>
        <xdr:cNvPr id="27" name="1 CuadroTexto"/>
        <xdr:cNvSpPr txBox="1"/>
      </xdr:nvSpPr>
      <xdr:spPr>
        <a:xfrm>
          <a:off x="4147608" y="8501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803</xdr:row>
      <xdr:rowOff>0</xdr:rowOff>
    </xdr:from>
    <xdr:ext cx="184731" cy="264560"/>
    <xdr:sp macro="" textlink="">
      <xdr:nvSpPr>
        <xdr:cNvPr id="28" name="27 CuadroTexto"/>
        <xdr:cNvSpPr txBox="1"/>
      </xdr:nvSpPr>
      <xdr:spPr>
        <a:xfrm>
          <a:off x="4147608" y="85756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812</xdr:row>
      <xdr:rowOff>0</xdr:rowOff>
    </xdr:from>
    <xdr:ext cx="184731" cy="264560"/>
    <xdr:sp macro="" textlink="">
      <xdr:nvSpPr>
        <xdr:cNvPr id="29" name="28 CuadroTexto"/>
        <xdr:cNvSpPr txBox="1"/>
      </xdr:nvSpPr>
      <xdr:spPr>
        <a:xfrm>
          <a:off x="4147608" y="86464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128</xdr:row>
      <xdr:rowOff>0</xdr:rowOff>
    </xdr:from>
    <xdr:ext cx="184731" cy="264560"/>
    <xdr:sp macro="" textlink="">
      <xdr:nvSpPr>
        <xdr:cNvPr id="30" name="29 CuadroTexto"/>
        <xdr:cNvSpPr txBox="1"/>
      </xdr:nvSpPr>
      <xdr:spPr>
        <a:xfrm>
          <a:off x="4147608"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31" name="30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32" name="31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33" name="32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34" name="33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35" name="34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36" name="35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37" name="36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38" name="37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39" name="38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40" name="39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41" name="40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457</xdr:row>
      <xdr:rowOff>0</xdr:rowOff>
    </xdr:from>
    <xdr:ext cx="184731" cy="264560"/>
    <xdr:sp macro="" textlink="">
      <xdr:nvSpPr>
        <xdr:cNvPr id="42" name="41 CuadroTexto"/>
        <xdr:cNvSpPr txBox="1"/>
      </xdr:nvSpPr>
      <xdr:spPr>
        <a:xfrm>
          <a:off x="4147608" y="5416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661</xdr:row>
      <xdr:rowOff>0</xdr:rowOff>
    </xdr:from>
    <xdr:ext cx="184731" cy="264560"/>
    <xdr:sp macro="" textlink="">
      <xdr:nvSpPr>
        <xdr:cNvPr id="43" name="1 CuadroTexto"/>
        <xdr:cNvSpPr txBox="1"/>
      </xdr:nvSpPr>
      <xdr:spPr>
        <a:xfrm>
          <a:off x="4143375" y="73372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661</xdr:row>
      <xdr:rowOff>0</xdr:rowOff>
    </xdr:from>
    <xdr:ext cx="184731" cy="264560"/>
    <xdr:sp macro="" textlink="">
      <xdr:nvSpPr>
        <xdr:cNvPr id="44" name="2 CuadroTexto"/>
        <xdr:cNvSpPr txBox="1"/>
      </xdr:nvSpPr>
      <xdr:spPr>
        <a:xfrm>
          <a:off x="4143375" y="73372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272</xdr:row>
      <xdr:rowOff>0</xdr:rowOff>
    </xdr:from>
    <xdr:ext cx="184731" cy="264560"/>
    <xdr:sp macro="" textlink="">
      <xdr:nvSpPr>
        <xdr:cNvPr id="45" name="1 CuadroTexto"/>
        <xdr:cNvSpPr txBox="1"/>
      </xdr:nvSpPr>
      <xdr:spPr>
        <a:xfrm>
          <a:off x="4143375" y="29585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272</xdr:row>
      <xdr:rowOff>0</xdr:rowOff>
    </xdr:from>
    <xdr:ext cx="184731" cy="264560"/>
    <xdr:sp macro="" textlink="">
      <xdr:nvSpPr>
        <xdr:cNvPr id="46" name="2 CuadroTexto"/>
        <xdr:cNvSpPr txBox="1"/>
      </xdr:nvSpPr>
      <xdr:spPr>
        <a:xfrm>
          <a:off x="4143375" y="29585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91</xdr:row>
      <xdr:rowOff>0</xdr:rowOff>
    </xdr:from>
    <xdr:ext cx="184731" cy="264560"/>
    <xdr:sp macro="" textlink="">
      <xdr:nvSpPr>
        <xdr:cNvPr id="47" name="46 CuadroTexto"/>
        <xdr:cNvSpPr txBox="1"/>
      </xdr:nvSpPr>
      <xdr:spPr>
        <a:xfrm>
          <a:off x="4147608" y="932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91</xdr:row>
      <xdr:rowOff>0</xdr:rowOff>
    </xdr:from>
    <xdr:ext cx="184731" cy="264560"/>
    <xdr:sp macro="" textlink="">
      <xdr:nvSpPr>
        <xdr:cNvPr id="48" name="1 CuadroTexto"/>
        <xdr:cNvSpPr txBox="1"/>
      </xdr:nvSpPr>
      <xdr:spPr>
        <a:xfrm>
          <a:off x="4147608" y="932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39</xdr:row>
      <xdr:rowOff>0</xdr:rowOff>
    </xdr:from>
    <xdr:ext cx="184731" cy="264560"/>
    <xdr:sp macro="" textlink="">
      <xdr:nvSpPr>
        <xdr:cNvPr id="49" name="1 CuadroTexto"/>
        <xdr:cNvSpPr txBox="1"/>
      </xdr:nvSpPr>
      <xdr:spPr>
        <a:xfrm>
          <a:off x="4147608" y="3922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39</xdr:row>
      <xdr:rowOff>0</xdr:rowOff>
    </xdr:from>
    <xdr:ext cx="184731" cy="264560"/>
    <xdr:sp macro="" textlink="">
      <xdr:nvSpPr>
        <xdr:cNvPr id="50" name="1 CuadroTexto"/>
        <xdr:cNvSpPr txBox="1"/>
      </xdr:nvSpPr>
      <xdr:spPr>
        <a:xfrm>
          <a:off x="4147608" y="3922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279</xdr:row>
      <xdr:rowOff>0</xdr:rowOff>
    </xdr:from>
    <xdr:ext cx="184731" cy="264560"/>
    <xdr:sp macro="" textlink="">
      <xdr:nvSpPr>
        <xdr:cNvPr id="51" name="1 CuadroTexto"/>
        <xdr:cNvSpPr txBox="1"/>
      </xdr:nvSpPr>
      <xdr:spPr>
        <a:xfrm>
          <a:off x="4147608" y="30173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279</xdr:row>
      <xdr:rowOff>0</xdr:rowOff>
    </xdr:from>
    <xdr:ext cx="184731" cy="264560"/>
    <xdr:sp macro="" textlink="">
      <xdr:nvSpPr>
        <xdr:cNvPr id="52" name="1 CuadroTexto"/>
        <xdr:cNvSpPr txBox="1"/>
      </xdr:nvSpPr>
      <xdr:spPr>
        <a:xfrm>
          <a:off x="4147608" y="30173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1</xdr:col>
      <xdr:colOff>1556808</xdr:colOff>
      <xdr:row>0</xdr:row>
      <xdr:rowOff>0</xdr:rowOff>
    </xdr:from>
    <xdr:ext cx="184731" cy="264560"/>
    <xdr:sp macro="" textlink="">
      <xdr:nvSpPr>
        <xdr:cNvPr id="53" name="52 CuadroTexto"/>
        <xdr:cNvSpPr txBox="1"/>
      </xdr:nvSpPr>
      <xdr:spPr>
        <a:xfrm>
          <a:off x="158538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54" name="53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55" name="54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56" name="55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57" name="56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58" name="57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59" name="58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60" name="59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61" name="60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62" name="61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63" name="62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0</xdr:colOff>
      <xdr:row>0</xdr:row>
      <xdr:rowOff>0</xdr:rowOff>
    </xdr:from>
    <xdr:ext cx="184731" cy="264560"/>
    <xdr:sp macro="" textlink="">
      <xdr:nvSpPr>
        <xdr:cNvPr id="64" name="63 CuadroTexto"/>
        <xdr:cNvSpPr txBox="1"/>
      </xdr:nvSpPr>
      <xdr:spPr>
        <a:xfrm>
          <a:off x="3390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773</xdr:row>
      <xdr:rowOff>0</xdr:rowOff>
    </xdr:from>
    <xdr:ext cx="184731" cy="264560"/>
    <xdr:sp macro="" textlink="">
      <xdr:nvSpPr>
        <xdr:cNvPr id="65" name="64 CuadroTexto"/>
        <xdr:cNvSpPr txBox="1"/>
      </xdr:nvSpPr>
      <xdr:spPr>
        <a:xfrm>
          <a:off x="4147608"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66" name="65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67" name="66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68" name="67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69" name="68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70" name="69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71" name="70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72" name="71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73" name="72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74" name="73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75" name="74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9</xdr:col>
      <xdr:colOff>0</xdr:colOff>
      <xdr:row>773</xdr:row>
      <xdr:rowOff>0</xdr:rowOff>
    </xdr:from>
    <xdr:ext cx="184731" cy="264560"/>
    <xdr:sp macro="" textlink="">
      <xdr:nvSpPr>
        <xdr:cNvPr id="76" name="75 CuadroTexto"/>
        <xdr:cNvSpPr txBox="1"/>
      </xdr:nvSpPr>
      <xdr:spPr>
        <a:xfrm>
          <a:off x="6743700" y="82732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797</xdr:row>
      <xdr:rowOff>0</xdr:rowOff>
    </xdr:from>
    <xdr:ext cx="184731" cy="264560"/>
    <xdr:sp macro="" textlink="">
      <xdr:nvSpPr>
        <xdr:cNvPr id="77" name="76 CuadroTexto"/>
        <xdr:cNvSpPr txBox="1"/>
      </xdr:nvSpPr>
      <xdr:spPr>
        <a:xfrm>
          <a:off x="4147608" y="8501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797</xdr:row>
      <xdr:rowOff>0</xdr:rowOff>
    </xdr:from>
    <xdr:ext cx="184731" cy="264560"/>
    <xdr:sp macro="" textlink="">
      <xdr:nvSpPr>
        <xdr:cNvPr id="78" name="1 CuadroTexto"/>
        <xdr:cNvSpPr txBox="1"/>
      </xdr:nvSpPr>
      <xdr:spPr>
        <a:xfrm>
          <a:off x="4147608" y="8501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803</xdr:row>
      <xdr:rowOff>0</xdr:rowOff>
    </xdr:from>
    <xdr:ext cx="184731" cy="264560"/>
    <xdr:sp macro="" textlink="">
      <xdr:nvSpPr>
        <xdr:cNvPr id="79" name="78 CuadroTexto"/>
        <xdr:cNvSpPr txBox="1"/>
      </xdr:nvSpPr>
      <xdr:spPr>
        <a:xfrm>
          <a:off x="4147608" y="85756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812</xdr:row>
      <xdr:rowOff>0</xdr:rowOff>
    </xdr:from>
    <xdr:ext cx="184731" cy="264560"/>
    <xdr:sp macro="" textlink="">
      <xdr:nvSpPr>
        <xdr:cNvPr id="80" name="79 CuadroTexto"/>
        <xdr:cNvSpPr txBox="1"/>
      </xdr:nvSpPr>
      <xdr:spPr>
        <a:xfrm>
          <a:off x="4147608" y="86464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128</xdr:row>
      <xdr:rowOff>0</xdr:rowOff>
    </xdr:from>
    <xdr:ext cx="184731" cy="264560"/>
    <xdr:sp macro="" textlink="">
      <xdr:nvSpPr>
        <xdr:cNvPr id="81" name="80 CuadroTexto"/>
        <xdr:cNvSpPr txBox="1"/>
      </xdr:nvSpPr>
      <xdr:spPr>
        <a:xfrm>
          <a:off x="4147608"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82" name="81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83" name="82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84" name="83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85" name="84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86" name="85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87" name="86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88" name="87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89" name="88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90" name="89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91" name="90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128</xdr:row>
      <xdr:rowOff>0</xdr:rowOff>
    </xdr:from>
    <xdr:ext cx="184731" cy="264560"/>
    <xdr:sp macro="" textlink="">
      <xdr:nvSpPr>
        <xdr:cNvPr id="92" name="91 CuadroTexto"/>
        <xdr:cNvSpPr txBox="1"/>
      </xdr:nvSpPr>
      <xdr:spPr>
        <a:xfrm>
          <a:off x="414337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457</xdr:row>
      <xdr:rowOff>0</xdr:rowOff>
    </xdr:from>
    <xdr:ext cx="184731" cy="264560"/>
    <xdr:sp macro="" textlink="">
      <xdr:nvSpPr>
        <xdr:cNvPr id="93" name="92 CuadroTexto"/>
        <xdr:cNvSpPr txBox="1"/>
      </xdr:nvSpPr>
      <xdr:spPr>
        <a:xfrm>
          <a:off x="4147608" y="54166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661</xdr:row>
      <xdr:rowOff>0</xdr:rowOff>
    </xdr:from>
    <xdr:ext cx="184731" cy="264560"/>
    <xdr:sp macro="" textlink="">
      <xdr:nvSpPr>
        <xdr:cNvPr id="94" name="1 CuadroTexto"/>
        <xdr:cNvSpPr txBox="1"/>
      </xdr:nvSpPr>
      <xdr:spPr>
        <a:xfrm>
          <a:off x="4143375" y="73372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661</xdr:row>
      <xdr:rowOff>0</xdr:rowOff>
    </xdr:from>
    <xdr:ext cx="184731" cy="264560"/>
    <xdr:sp macro="" textlink="">
      <xdr:nvSpPr>
        <xdr:cNvPr id="95" name="2 CuadroTexto"/>
        <xdr:cNvSpPr txBox="1"/>
      </xdr:nvSpPr>
      <xdr:spPr>
        <a:xfrm>
          <a:off x="4143375" y="73372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272</xdr:row>
      <xdr:rowOff>0</xdr:rowOff>
    </xdr:from>
    <xdr:ext cx="184731" cy="264560"/>
    <xdr:sp macro="" textlink="">
      <xdr:nvSpPr>
        <xdr:cNvPr id="96" name="1 CuadroTexto"/>
        <xdr:cNvSpPr txBox="1"/>
      </xdr:nvSpPr>
      <xdr:spPr>
        <a:xfrm>
          <a:off x="4143375" y="29585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6</xdr:col>
      <xdr:colOff>0</xdr:colOff>
      <xdr:row>272</xdr:row>
      <xdr:rowOff>0</xdr:rowOff>
    </xdr:from>
    <xdr:ext cx="184731" cy="264560"/>
    <xdr:sp macro="" textlink="">
      <xdr:nvSpPr>
        <xdr:cNvPr id="97" name="2 CuadroTexto"/>
        <xdr:cNvSpPr txBox="1"/>
      </xdr:nvSpPr>
      <xdr:spPr>
        <a:xfrm>
          <a:off x="4143375" y="29585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91</xdr:row>
      <xdr:rowOff>0</xdr:rowOff>
    </xdr:from>
    <xdr:ext cx="184731" cy="264560"/>
    <xdr:sp macro="" textlink="">
      <xdr:nvSpPr>
        <xdr:cNvPr id="98" name="97 CuadroTexto"/>
        <xdr:cNvSpPr txBox="1"/>
      </xdr:nvSpPr>
      <xdr:spPr>
        <a:xfrm>
          <a:off x="4147608" y="932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91</xdr:row>
      <xdr:rowOff>0</xdr:rowOff>
    </xdr:from>
    <xdr:ext cx="184731" cy="264560"/>
    <xdr:sp macro="" textlink="">
      <xdr:nvSpPr>
        <xdr:cNvPr id="99" name="1 CuadroTexto"/>
        <xdr:cNvSpPr txBox="1"/>
      </xdr:nvSpPr>
      <xdr:spPr>
        <a:xfrm>
          <a:off x="4147608" y="9321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39</xdr:row>
      <xdr:rowOff>0</xdr:rowOff>
    </xdr:from>
    <xdr:ext cx="184731" cy="264560"/>
    <xdr:sp macro="" textlink="">
      <xdr:nvSpPr>
        <xdr:cNvPr id="100" name="1 CuadroTexto"/>
        <xdr:cNvSpPr txBox="1"/>
      </xdr:nvSpPr>
      <xdr:spPr>
        <a:xfrm>
          <a:off x="4147608" y="3922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39</xdr:row>
      <xdr:rowOff>0</xdr:rowOff>
    </xdr:from>
    <xdr:ext cx="184731" cy="264560"/>
    <xdr:sp macro="" textlink="">
      <xdr:nvSpPr>
        <xdr:cNvPr id="101" name="1 CuadroTexto"/>
        <xdr:cNvSpPr txBox="1"/>
      </xdr:nvSpPr>
      <xdr:spPr>
        <a:xfrm>
          <a:off x="4147608" y="3922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279</xdr:row>
      <xdr:rowOff>0</xdr:rowOff>
    </xdr:from>
    <xdr:ext cx="184731" cy="264560"/>
    <xdr:sp macro="" textlink="">
      <xdr:nvSpPr>
        <xdr:cNvPr id="102" name="1 CuadroTexto"/>
        <xdr:cNvSpPr txBox="1"/>
      </xdr:nvSpPr>
      <xdr:spPr>
        <a:xfrm>
          <a:off x="4147608" y="30173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oneCellAnchor>
    <xdr:from>
      <xdr:col>5</xdr:col>
      <xdr:colOff>1556808</xdr:colOff>
      <xdr:row>279</xdr:row>
      <xdr:rowOff>0</xdr:rowOff>
    </xdr:from>
    <xdr:ext cx="184731" cy="264560"/>
    <xdr:sp macro="" textlink="">
      <xdr:nvSpPr>
        <xdr:cNvPr id="103" name="1 CuadroTexto"/>
        <xdr:cNvSpPr txBox="1"/>
      </xdr:nvSpPr>
      <xdr:spPr>
        <a:xfrm>
          <a:off x="4147608" y="30173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CO"/>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LVERIO%20MANTILLA/Downloads/PA%20PI%20NOrbey/Plan%20Indicativo%20-%2030%20jul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ILVERIO%20MANTILLA/Downloads/POAI%202014%20-CONSOLIDADO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RBANO REGIONAL"/>
      <sheetName val="SOCIOCULTURAL"/>
      <sheetName val="ECONOMICO PRODUCTIVO "/>
      <sheetName val="POLITICO INSTITUCIONAL"/>
      <sheetName val="AMBIENTAL "/>
      <sheetName val="Hoja1"/>
      <sheetName val="Hoja4"/>
      <sheetName val="Hoja2"/>
    </sheetNames>
    <sheetDataSet>
      <sheetData sheetId="0" refreshError="1"/>
      <sheetData sheetId="1" refreshError="1">
        <row r="4">
          <cell r="H4">
            <v>2.5</v>
          </cell>
        </row>
        <row r="5">
          <cell r="AH5">
            <v>1</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
      <sheetName val="NUEVO  "/>
      <sheetName val="METAS 2014"/>
      <sheetName val="Hoja1"/>
    </sheetNames>
    <sheetDataSet>
      <sheetData sheetId="0" refreshError="1">
        <row r="43">
          <cell r="K43">
            <v>123390000</v>
          </cell>
        </row>
        <row r="58">
          <cell r="K58">
            <v>375322449.94</v>
          </cell>
        </row>
        <row r="59">
          <cell r="K59">
            <v>135910054.97999999</v>
          </cell>
        </row>
        <row r="69">
          <cell r="K69">
            <v>50000000</v>
          </cell>
        </row>
        <row r="74">
          <cell r="K74">
            <v>100000000</v>
          </cell>
        </row>
        <row r="80">
          <cell r="K80">
            <v>54889996.869999997</v>
          </cell>
        </row>
        <row r="88">
          <cell r="K88">
            <v>686313222.15999997</v>
          </cell>
        </row>
        <row r="89">
          <cell r="K89">
            <v>140000000</v>
          </cell>
        </row>
        <row r="92">
          <cell r="K92">
            <v>50000000</v>
          </cell>
        </row>
        <row r="93">
          <cell r="K93">
            <v>408864200</v>
          </cell>
        </row>
        <row r="95">
          <cell r="K95">
            <v>16000000</v>
          </cell>
        </row>
        <row r="96">
          <cell r="K96">
            <v>51000000</v>
          </cell>
        </row>
        <row r="97">
          <cell r="K97">
            <v>45000000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R1305"/>
  <sheetViews>
    <sheetView tabSelected="1" topLeftCell="P889" workbookViewId="0">
      <selection activeCell="N274" sqref="N274"/>
    </sheetView>
  </sheetViews>
  <sheetFormatPr baseColWidth="10" defaultRowHeight="15" x14ac:dyDescent="0.25"/>
  <cols>
    <col min="1" max="1" width="10" style="3" customWidth="1"/>
    <col min="2" max="2" width="13.7109375" style="3" customWidth="1"/>
    <col min="3" max="3" width="7.85546875" style="3" customWidth="1"/>
    <col min="4" max="4" width="11" style="3" customWidth="1"/>
    <col min="5" max="5" width="8.28515625" style="3" customWidth="1"/>
    <col min="6" max="6" width="11.28515625" style="3" customWidth="1"/>
    <col min="7" max="9" width="13" style="3" customWidth="1"/>
    <col min="10" max="10" width="23.28515625" style="3" customWidth="1"/>
    <col min="11" max="11" width="11.42578125" style="3" hidden="1" customWidth="1"/>
    <col min="12" max="12" width="21" style="3" hidden="1" customWidth="1"/>
    <col min="13" max="13" width="6.7109375" style="3" hidden="1" customWidth="1"/>
    <col min="14" max="14" width="7.85546875" style="3" customWidth="1"/>
    <col min="15" max="15" width="8" style="3" customWidth="1"/>
    <col min="16" max="16" width="13" style="4" customWidth="1"/>
    <col min="17" max="20" width="13" style="3" customWidth="1"/>
    <col min="21" max="22" width="19.5703125" style="3" bestFit="1" customWidth="1"/>
    <col min="23" max="31" width="2.28515625" style="3" customWidth="1"/>
    <col min="32" max="33" width="19.5703125" style="3" bestFit="1" customWidth="1"/>
    <col min="34" max="34" width="13.5703125" style="4" customWidth="1"/>
    <col min="35" max="35" width="14" style="3" customWidth="1"/>
    <col min="36" max="36" width="14.85546875" style="3" customWidth="1"/>
    <col min="37" max="37" width="12.5703125" style="3" customWidth="1"/>
    <col min="38" max="38" width="15.42578125" style="3" customWidth="1"/>
    <col min="39" max="39" width="19.5703125" style="3" customWidth="1"/>
    <col min="40" max="40" width="11.42578125" style="3" customWidth="1"/>
    <col min="41" max="16384" width="11.42578125" style="3"/>
  </cols>
  <sheetData>
    <row r="1" spans="1:148" s="2" customFormat="1" ht="12.75" customHeight="1"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148" x14ac:dyDescent="0.25">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148" x14ac:dyDescent="0.25">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148" ht="15.75" thickBot="1" x14ac:dyDescent="0.3"/>
    <row r="5" spans="1:148" ht="23.25" customHeight="1" x14ac:dyDescent="0.25">
      <c r="A5" s="5" t="s">
        <v>3</v>
      </c>
      <c r="B5" s="5" t="s">
        <v>4</v>
      </c>
      <c r="C5" s="5" t="s">
        <v>5</v>
      </c>
      <c r="D5" s="5" t="s">
        <v>6</v>
      </c>
      <c r="E5" s="5" t="s">
        <v>5</v>
      </c>
      <c r="F5" s="5" t="s">
        <v>7</v>
      </c>
      <c r="G5" s="5" t="s">
        <v>8</v>
      </c>
      <c r="H5" s="5" t="s">
        <v>9</v>
      </c>
      <c r="I5" s="5" t="s">
        <v>10</v>
      </c>
      <c r="J5" s="5" t="s">
        <v>11</v>
      </c>
      <c r="K5" s="5" t="s">
        <v>12</v>
      </c>
      <c r="L5" s="5" t="s">
        <v>13</v>
      </c>
      <c r="M5" s="5" t="s">
        <v>14</v>
      </c>
      <c r="N5" s="5" t="s">
        <v>15</v>
      </c>
      <c r="O5" s="5" t="s">
        <v>16</v>
      </c>
      <c r="P5" s="6" t="s">
        <v>17</v>
      </c>
      <c r="Q5" s="7"/>
      <c r="R5" s="7"/>
      <c r="S5" s="7"/>
      <c r="T5" s="7"/>
      <c r="U5" s="8"/>
      <c r="V5" s="9"/>
      <c r="W5" s="10" t="s">
        <v>18</v>
      </c>
      <c r="X5" s="11"/>
      <c r="Y5" s="11"/>
      <c r="Z5" s="11"/>
      <c r="AA5" s="11"/>
      <c r="AB5" s="11"/>
      <c r="AC5" s="11"/>
      <c r="AD5" s="11"/>
      <c r="AE5" s="12"/>
      <c r="AF5" s="13" t="s">
        <v>19</v>
      </c>
      <c r="AG5" s="13" t="s">
        <v>20</v>
      </c>
      <c r="AH5" s="14" t="s">
        <v>21</v>
      </c>
      <c r="AI5" s="13" t="s">
        <v>22</v>
      </c>
      <c r="AJ5" s="13" t="s">
        <v>23</v>
      </c>
      <c r="AK5" s="13" t="s">
        <v>24</v>
      </c>
      <c r="AL5" s="13" t="s">
        <v>25</v>
      </c>
      <c r="AM5" s="13" t="s">
        <v>26</v>
      </c>
    </row>
    <row r="6" spans="1:148" ht="36.75" customHeight="1" thickBot="1" x14ac:dyDescent="0.3">
      <c r="A6" s="15"/>
      <c r="B6" s="15"/>
      <c r="C6" s="15"/>
      <c r="D6" s="15"/>
      <c r="E6" s="15"/>
      <c r="F6" s="15"/>
      <c r="G6" s="15"/>
      <c r="H6" s="15"/>
      <c r="I6" s="15"/>
      <c r="J6" s="15"/>
      <c r="K6" s="15"/>
      <c r="L6" s="15"/>
      <c r="M6" s="15"/>
      <c r="N6" s="15"/>
      <c r="O6" s="15"/>
      <c r="P6" s="16"/>
      <c r="Q6" s="17" t="s">
        <v>27</v>
      </c>
      <c r="R6" s="17" t="s">
        <v>28</v>
      </c>
      <c r="S6" s="17" t="s">
        <v>29</v>
      </c>
      <c r="T6" s="17" t="s">
        <v>30</v>
      </c>
      <c r="U6" s="18" t="s">
        <v>31</v>
      </c>
      <c r="V6" s="19" t="s">
        <v>32</v>
      </c>
      <c r="W6" s="17" t="s">
        <v>33</v>
      </c>
      <c r="X6" s="17" t="s">
        <v>34</v>
      </c>
      <c r="Y6" s="17" t="s">
        <v>35</v>
      </c>
      <c r="Z6" s="17" t="s">
        <v>36</v>
      </c>
      <c r="AA6" s="17" t="s">
        <v>37</v>
      </c>
      <c r="AB6" s="17" t="s">
        <v>38</v>
      </c>
      <c r="AC6" s="17" t="s">
        <v>39</v>
      </c>
      <c r="AD6" s="17" t="s">
        <v>40</v>
      </c>
      <c r="AE6" s="17" t="s">
        <v>41</v>
      </c>
      <c r="AF6" s="15"/>
      <c r="AG6" s="15"/>
      <c r="AH6" s="16"/>
      <c r="AI6" s="15"/>
      <c r="AJ6" s="15"/>
      <c r="AK6" s="15"/>
      <c r="AL6" s="15"/>
      <c r="AM6" s="15"/>
    </row>
    <row r="7" spans="1:148" ht="78.75" x14ac:dyDescent="0.25">
      <c r="A7" s="20" t="s">
        <v>42</v>
      </c>
      <c r="B7" s="20" t="s">
        <v>43</v>
      </c>
      <c r="C7" s="20"/>
      <c r="D7" s="20" t="s">
        <v>44</v>
      </c>
      <c r="E7" s="21"/>
      <c r="F7" s="22" t="s">
        <v>45</v>
      </c>
      <c r="G7" s="21" t="s">
        <v>46</v>
      </c>
      <c r="H7" s="21" t="s">
        <v>47</v>
      </c>
      <c r="I7" s="21" t="s">
        <v>48</v>
      </c>
      <c r="J7" s="23" t="s">
        <v>49</v>
      </c>
      <c r="K7" s="24">
        <v>39.57</v>
      </c>
      <c r="L7" s="23" t="s">
        <v>50</v>
      </c>
      <c r="M7" s="23"/>
      <c r="N7" s="25">
        <v>480.76923076923077</v>
      </c>
      <c r="O7" s="25"/>
      <c r="P7" s="26">
        <v>0</v>
      </c>
      <c r="Q7" s="25" t="s">
        <v>51</v>
      </c>
      <c r="R7" s="25" t="s">
        <v>52</v>
      </c>
      <c r="S7" s="25" t="s">
        <v>53</v>
      </c>
      <c r="T7" s="25" t="s">
        <v>54</v>
      </c>
      <c r="U7" s="27">
        <v>1872924000</v>
      </c>
      <c r="V7" s="27">
        <v>1872924000</v>
      </c>
      <c r="W7" s="25" t="s">
        <v>55</v>
      </c>
      <c r="X7" s="25"/>
      <c r="Y7" s="25"/>
      <c r="Z7" s="25" t="s">
        <v>55</v>
      </c>
      <c r="AA7" s="25"/>
      <c r="AB7" s="25"/>
      <c r="AC7" s="25"/>
      <c r="AD7" s="25"/>
      <c r="AE7" s="25"/>
      <c r="AF7" s="27">
        <v>1872924000</v>
      </c>
      <c r="AG7" s="28">
        <v>1268003960</v>
      </c>
      <c r="AH7" s="29">
        <f t="shared" ref="AH7" si="0">+AG7/AF7</f>
        <v>0.67701837340970594</v>
      </c>
      <c r="AI7" s="25" t="s">
        <v>56</v>
      </c>
      <c r="AJ7" s="25"/>
      <c r="AK7" s="30" t="s">
        <v>57</v>
      </c>
      <c r="AL7" s="31" t="s">
        <v>58</v>
      </c>
      <c r="AM7" s="32">
        <v>480.769230769231</v>
      </c>
      <c r="BT7" s="3">
        <v>1500000000</v>
      </c>
      <c r="BU7" s="3">
        <v>500000000</v>
      </c>
      <c r="BV7" s="3">
        <v>1000000000</v>
      </c>
      <c r="DF7" s="3">
        <v>1500000000</v>
      </c>
      <c r="DG7" s="3">
        <v>1500000000</v>
      </c>
      <c r="ER7" s="3">
        <v>2500000000</v>
      </c>
    </row>
    <row r="8" spans="1:148" ht="45" x14ac:dyDescent="0.25">
      <c r="A8" s="21"/>
      <c r="B8" s="21"/>
      <c r="C8" s="21"/>
      <c r="D8" s="21"/>
      <c r="E8" s="21"/>
      <c r="F8" s="21"/>
      <c r="G8" s="21"/>
      <c r="H8" s="21"/>
      <c r="I8" s="21"/>
      <c r="J8" s="33" t="s">
        <v>59</v>
      </c>
      <c r="K8" s="24">
        <v>3.37</v>
      </c>
      <c r="L8" s="33" t="s">
        <v>60</v>
      </c>
      <c r="M8" s="33"/>
      <c r="N8" s="33"/>
      <c r="O8" s="33"/>
      <c r="P8" s="26">
        <v>0</v>
      </c>
      <c r="Q8" s="33"/>
      <c r="R8" s="33"/>
      <c r="S8" s="33"/>
      <c r="T8" s="33"/>
      <c r="U8" s="33"/>
      <c r="V8" s="33"/>
      <c r="W8" s="33"/>
      <c r="X8" s="33"/>
      <c r="Y8" s="33"/>
      <c r="Z8" s="33"/>
      <c r="AA8" s="33"/>
      <c r="AB8" s="33"/>
      <c r="AC8" s="33"/>
      <c r="AD8" s="33"/>
      <c r="AE8" s="33"/>
      <c r="AF8" s="33"/>
      <c r="AG8" s="33"/>
      <c r="AH8" s="29">
        <v>0</v>
      </c>
      <c r="AI8" s="33"/>
      <c r="AJ8" s="33"/>
      <c r="AK8" s="34" t="s">
        <v>57</v>
      </c>
      <c r="AL8" s="35" t="s">
        <v>58</v>
      </c>
      <c r="AM8" s="32">
        <v>1</v>
      </c>
      <c r="BT8" s="3">
        <v>200000000</v>
      </c>
      <c r="BU8" s="3">
        <v>200000000</v>
      </c>
      <c r="DF8" s="3">
        <v>200000000</v>
      </c>
      <c r="DG8" s="3">
        <v>200000000</v>
      </c>
      <c r="ER8" s="3">
        <v>0</v>
      </c>
    </row>
    <row r="9" spans="1:148" ht="45" x14ac:dyDescent="0.25">
      <c r="A9" s="21"/>
      <c r="B9" s="21"/>
      <c r="C9" s="21"/>
      <c r="D9" s="21"/>
      <c r="E9" s="21"/>
      <c r="F9" s="21"/>
      <c r="G9" s="21"/>
      <c r="H9" s="21"/>
      <c r="I9" s="21"/>
      <c r="J9" s="33" t="s">
        <v>61</v>
      </c>
      <c r="K9" s="24">
        <v>0.13</v>
      </c>
      <c r="L9" s="33" t="s">
        <v>62</v>
      </c>
      <c r="M9" s="33"/>
      <c r="N9" s="33"/>
      <c r="O9" s="33"/>
      <c r="P9" s="26">
        <v>0</v>
      </c>
      <c r="Q9" s="33"/>
      <c r="R9" s="33"/>
      <c r="S9" s="33"/>
      <c r="T9" s="33"/>
      <c r="U9" s="33"/>
      <c r="V9" s="33"/>
      <c r="W9" s="33"/>
      <c r="X9" s="33"/>
      <c r="Y9" s="33"/>
      <c r="Z9" s="33"/>
      <c r="AA9" s="33"/>
      <c r="AB9" s="33"/>
      <c r="AC9" s="33"/>
      <c r="AD9" s="33"/>
      <c r="AE9" s="33"/>
      <c r="AF9" s="33"/>
      <c r="AG9" s="33"/>
      <c r="AH9" s="29">
        <v>0</v>
      </c>
      <c r="AI9" s="33"/>
      <c r="AJ9" s="33"/>
      <c r="AK9" s="34" t="s">
        <v>57</v>
      </c>
      <c r="AL9" s="35" t="s">
        <v>58</v>
      </c>
      <c r="AM9" s="32">
        <v>500</v>
      </c>
      <c r="BT9" s="3">
        <v>0</v>
      </c>
      <c r="DF9" s="3">
        <v>0</v>
      </c>
      <c r="ER9" s="3">
        <v>0</v>
      </c>
    </row>
    <row r="10" spans="1:148" ht="45" x14ac:dyDescent="0.25">
      <c r="A10" s="21"/>
      <c r="B10" s="21"/>
      <c r="C10" s="21"/>
      <c r="D10" s="21"/>
      <c r="E10" s="21"/>
      <c r="F10" s="21"/>
      <c r="G10" s="21"/>
      <c r="H10" s="21"/>
      <c r="I10" s="21"/>
      <c r="J10" s="33" t="s">
        <v>63</v>
      </c>
      <c r="K10" s="24">
        <v>3.1</v>
      </c>
      <c r="L10" s="33" t="s">
        <v>64</v>
      </c>
      <c r="M10" s="33"/>
      <c r="N10" s="33"/>
      <c r="O10" s="33"/>
      <c r="P10" s="26">
        <v>0</v>
      </c>
      <c r="Q10" s="33"/>
      <c r="R10" s="33"/>
      <c r="S10" s="33"/>
      <c r="T10" s="33"/>
      <c r="U10" s="33"/>
      <c r="V10" s="33"/>
      <c r="W10" s="33"/>
      <c r="X10" s="33"/>
      <c r="Y10" s="33"/>
      <c r="Z10" s="33"/>
      <c r="AA10" s="33"/>
      <c r="AB10" s="33"/>
      <c r="AC10" s="33"/>
      <c r="AD10" s="33"/>
      <c r="AE10" s="33"/>
      <c r="AF10" s="33"/>
      <c r="AG10" s="33"/>
      <c r="AH10" s="29">
        <v>0</v>
      </c>
      <c r="AI10" s="33"/>
      <c r="AJ10" s="33"/>
      <c r="AK10" s="34" t="s">
        <v>57</v>
      </c>
      <c r="AL10" s="35" t="s">
        <v>58</v>
      </c>
      <c r="AM10" s="32">
        <v>5</v>
      </c>
      <c r="BB10" s="3">
        <v>125146872.55000001</v>
      </c>
      <c r="BT10" s="3">
        <v>162160000</v>
      </c>
      <c r="BV10" s="3">
        <v>150000000</v>
      </c>
      <c r="CN10" s="3">
        <v>12160000</v>
      </c>
      <c r="DF10" s="3">
        <v>157840000</v>
      </c>
      <c r="DH10" s="3">
        <v>150000000</v>
      </c>
      <c r="DY10" s="3">
        <v>7840000</v>
      </c>
      <c r="ER10" s="3">
        <v>62853127.450000003</v>
      </c>
    </row>
    <row r="11" spans="1:148" ht="45" x14ac:dyDescent="0.25">
      <c r="A11" s="21"/>
      <c r="B11" s="21"/>
      <c r="C11" s="21"/>
      <c r="D11" s="21"/>
      <c r="E11" s="21"/>
      <c r="F11" s="21"/>
      <c r="G11" s="21"/>
      <c r="H11" s="21"/>
      <c r="I11" s="21"/>
      <c r="J11" s="33" t="s">
        <v>65</v>
      </c>
      <c r="K11" s="24">
        <v>4</v>
      </c>
      <c r="L11" s="33" t="s">
        <v>66</v>
      </c>
      <c r="M11" s="33"/>
      <c r="N11" s="33"/>
      <c r="O11" s="33"/>
      <c r="P11" s="26">
        <v>0</v>
      </c>
      <c r="Q11" s="33"/>
      <c r="R11" s="33"/>
      <c r="S11" s="33"/>
      <c r="T11" s="33"/>
      <c r="U11" s="33"/>
      <c r="V11" s="33"/>
      <c r="W11" s="33"/>
      <c r="X11" s="33"/>
      <c r="Y11" s="33"/>
      <c r="Z11" s="33"/>
      <c r="AA11" s="33"/>
      <c r="AB11" s="33"/>
      <c r="AC11" s="33"/>
      <c r="AD11" s="33"/>
      <c r="AE11" s="33"/>
      <c r="AF11" s="33"/>
      <c r="AG11" s="33"/>
      <c r="AH11" s="29">
        <v>0</v>
      </c>
      <c r="AI11" s="33"/>
      <c r="AJ11" s="33"/>
      <c r="AK11" s="34" t="s">
        <v>57</v>
      </c>
      <c r="AL11" s="35" t="s">
        <v>58</v>
      </c>
      <c r="AM11" s="32">
        <v>0.25</v>
      </c>
      <c r="BT11" s="3">
        <v>200000000</v>
      </c>
      <c r="BU11" s="3">
        <v>200000000</v>
      </c>
      <c r="DF11" s="3">
        <v>200000000</v>
      </c>
      <c r="DG11" s="3">
        <v>200000000</v>
      </c>
      <c r="ER11" s="3">
        <v>100000000</v>
      </c>
    </row>
    <row r="12" spans="1:148" ht="112.5" x14ac:dyDescent="0.25">
      <c r="A12" s="21"/>
      <c r="B12" s="21"/>
      <c r="C12" s="21"/>
      <c r="D12" s="21"/>
      <c r="E12" s="21"/>
      <c r="F12" s="21"/>
      <c r="G12" s="22" t="s">
        <v>67</v>
      </c>
      <c r="H12" s="22" t="s">
        <v>68</v>
      </c>
      <c r="I12" s="22" t="s">
        <v>69</v>
      </c>
      <c r="J12" s="33" t="s">
        <v>70</v>
      </c>
      <c r="K12" s="24">
        <v>5.93</v>
      </c>
      <c r="L12" s="21" t="s">
        <v>71</v>
      </c>
      <c r="M12" s="22"/>
      <c r="N12" s="36">
        <v>1</v>
      </c>
      <c r="O12" s="36">
        <v>0</v>
      </c>
      <c r="P12" s="26">
        <f>+O12/N12</f>
        <v>0</v>
      </c>
      <c r="Q12" s="37" t="s">
        <v>72</v>
      </c>
      <c r="R12" s="37" t="s">
        <v>73</v>
      </c>
      <c r="S12" s="38" t="s">
        <v>74</v>
      </c>
      <c r="T12" s="38" t="s">
        <v>75</v>
      </c>
      <c r="U12" s="39">
        <v>497000000</v>
      </c>
      <c r="V12" s="39">
        <v>497000000</v>
      </c>
      <c r="W12" s="38"/>
      <c r="X12" s="38"/>
      <c r="Y12" s="38"/>
      <c r="Z12" s="38" t="s">
        <v>55</v>
      </c>
      <c r="AA12" s="38"/>
      <c r="AB12" s="38"/>
      <c r="AC12" s="38" t="s">
        <v>55</v>
      </c>
      <c r="AD12" s="38"/>
      <c r="AE12" s="38"/>
      <c r="AF12" s="39">
        <v>497000000</v>
      </c>
      <c r="AG12" s="39">
        <v>496404339</v>
      </c>
      <c r="AH12" s="40">
        <f t="shared" ref="AH12" si="1">+AG12/AF12</f>
        <v>0.99880148692152915</v>
      </c>
      <c r="AI12" s="39" t="s">
        <v>76</v>
      </c>
      <c r="AJ12" s="39" t="s">
        <v>77</v>
      </c>
      <c r="AK12" s="39" t="s">
        <v>57</v>
      </c>
      <c r="AL12" s="41" t="s">
        <v>58</v>
      </c>
      <c r="AM12" s="32">
        <v>0</v>
      </c>
      <c r="BT12" s="3">
        <v>500000000</v>
      </c>
      <c r="BU12" s="3">
        <v>500000000</v>
      </c>
      <c r="DF12" s="3">
        <v>0</v>
      </c>
      <c r="ER12" s="3">
        <v>0</v>
      </c>
    </row>
    <row r="13" spans="1:148" ht="67.5" x14ac:dyDescent="0.25">
      <c r="A13" s="21"/>
      <c r="B13" s="21"/>
      <c r="C13" s="21"/>
      <c r="D13" s="21"/>
      <c r="E13" s="21"/>
      <c r="F13" s="21"/>
      <c r="G13" s="42"/>
      <c r="H13" s="42"/>
      <c r="I13" s="42"/>
      <c r="J13" s="33"/>
      <c r="K13" s="24"/>
      <c r="L13" s="42"/>
      <c r="M13" s="42"/>
      <c r="N13" s="42"/>
      <c r="O13" s="42"/>
      <c r="P13" s="43"/>
      <c r="Q13" s="37" t="s">
        <v>78</v>
      </c>
      <c r="R13" s="37" t="s">
        <v>79</v>
      </c>
      <c r="S13" s="44"/>
      <c r="T13" s="44"/>
      <c r="U13" s="45"/>
      <c r="V13" s="45"/>
      <c r="W13" s="44"/>
      <c r="X13" s="44"/>
      <c r="Y13" s="44"/>
      <c r="Z13" s="44"/>
      <c r="AA13" s="44"/>
      <c r="AB13" s="44"/>
      <c r="AC13" s="44"/>
      <c r="AD13" s="44"/>
      <c r="AE13" s="44"/>
      <c r="AF13" s="45"/>
      <c r="AG13" s="45"/>
      <c r="AH13" s="46"/>
      <c r="AI13" s="45"/>
      <c r="AJ13" s="45"/>
      <c r="AK13" s="45"/>
      <c r="AL13" s="47"/>
      <c r="AM13" s="32"/>
    </row>
    <row r="14" spans="1:148" ht="45" x14ac:dyDescent="0.25">
      <c r="A14" s="21"/>
      <c r="B14" s="21"/>
      <c r="C14" s="21"/>
      <c r="D14" s="21"/>
      <c r="E14" s="21"/>
      <c r="F14" s="21"/>
      <c r="G14" s="21"/>
      <c r="H14" s="21"/>
      <c r="I14" s="21"/>
      <c r="J14" s="33" t="s">
        <v>80</v>
      </c>
      <c r="K14" s="24">
        <v>0.56999999999999995</v>
      </c>
      <c r="L14" s="33" t="s">
        <v>81</v>
      </c>
      <c r="M14" s="33"/>
      <c r="N14" s="33"/>
      <c r="O14" s="33"/>
      <c r="P14" s="26">
        <v>0</v>
      </c>
      <c r="Q14" s="33"/>
      <c r="R14" s="33"/>
      <c r="S14" s="33"/>
      <c r="T14" s="33"/>
      <c r="U14" s="33"/>
      <c r="V14" s="33"/>
      <c r="W14" s="33"/>
      <c r="X14" s="33"/>
      <c r="Y14" s="33"/>
      <c r="Z14" s="33"/>
      <c r="AA14" s="33"/>
      <c r="AB14" s="33"/>
      <c r="AC14" s="33"/>
      <c r="AD14" s="33"/>
      <c r="AE14" s="33"/>
      <c r="AF14" s="33"/>
      <c r="AG14" s="33"/>
      <c r="AH14" s="48">
        <v>0</v>
      </c>
      <c r="AI14" s="33"/>
      <c r="AJ14" s="33"/>
      <c r="AK14" s="34" t="s">
        <v>57</v>
      </c>
      <c r="AL14" s="35" t="s">
        <v>58</v>
      </c>
      <c r="AM14" s="32">
        <v>0</v>
      </c>
      <c r="BT14" s="3">
        <v>0</v>
      </c>
      <c r="DF14" s="3">
        <v>0</v>
      </c>
      <c r="ER14" s="3">
        <v>0</v>
      </c>
    </row>
    <row r="15" spans="1:148" ht="146.25" x14ac:dyDescent="0.25">
      <c r="A15" s="21"/>
      <c r="B15" s="21"/>
      <c r="C15" s="21"/>
      <c r="D15" s="21"/>
      <c r="E15" s="21"/>
      <c r="F15" s="21"/>
      <c r="G15" s="22" t="s">
        <v>82</v>
      </c>
      <c r="H15" s="22" t="s">
        <v>83</v>
      </c>
      <c r="I15" s="22" t="s">
        <v>84</v>
      </c>
      <c r="J15" s="33" t="s">
        <v>85</v>
      </c>
      <c r="K15" s="24">
        <v>6.17</v>
      </c>
      <c r="L15" s="33" t="s">
        <v>86</v>
      </c>
      <c r="M15" s="33"/>
      <c r="N15" s="32">
        <v>1</v>
      </c>
      <c r="O15" s="32">
        <v>1</v>
      </c>
      <c r="P15" s="49">
        <f>+O15/N15</f>
        <v>1</v>
      </c>
      <c r="Q15" s="32" t="s">
        <v>87</v>
      </c>
      <c r="R15" s="32" t="s">
        <v>88</v>
      </c>
      <c r="S15" s="50" t="s">
        <v>89</v>
      </c>
      <c r="T15" s="50" t="s">
        <v>90</v>
      </c>
      <c r="U15" s="51">
        <v>150000000</v>
      </c>
      <c r="V15" s="51">
        <v>150000000</v>
      </c>
      <c r="W15" s="51"/>
      <c r="X15" s="51"/>
      <c r="Y15" s="51"/>
      <c r="Z15" s="51" t="s">
        <v>55</v>
      </c>
      <c r="AA15" s="51"/>
      <c r="AB15" s="51"/>
      <c r="AC15" s="51"/>
      <c r="AD15" s="51"/>
      <c r="AE15" s="51"/>
      <c r="AF15" s="51">
        <v>150000000</v>
      </c>
      <c r="AG15" s="51">
        <v>149836000</v>
      </c>
      <c r="AH15" s="40">
        <f t="shared" ref="AH15" si="2">+AG15/AF15</f>
        <v>0.99890666666666672</v>
      </c>
      <c r="AI15" s="51" t="s">
        <v>76</v>
      </c>
      <c r="AJ15" s="51"/>
      <c r="AK15" s="51" t="s">
        <v>57</v>
      </c>
      <c r="AL15" s="52" t="s">
        <v>58</v>
      </c>
      <c r="AM15" s="32">
        <v>1</v>
      </c>
      <c r="BT15" s="3">
        <v>300000000</v>
      </c>
      <c r="BU15" s="3">
        <v>300000000</v>
      </c>
      <c r="DF15" s="3">
        <v>150000000</v>
      </c>
      <c r="DG15" s="3">
        <v>150000000</v>
      </c>
      <c r="ER15" s="3">
        <v>300000000</v>
      </c>
    </row>
    <row r="16" spans="1:148" ht="45" x14ac:dyDescent="0.25">
      <c r="A16" s="21"/>
      <c r="B16" s="21"/>
      <c r="C16" s="21"/>
      <c r="D16" s="21"/>
      <c r="E16" s="21"/>
      <c r="F16" s="21"/>
      <c r="G16" s="21"/>
      <c r="H16" s="21"/>
      <c r="I16" s="21"/>
      <c r="J16" s="33" t="s">
        <v>91</v>
      </c>
      <c r="K16" s="24"/>
      <c r="L16" s="53" t="s">
        <v>92</v>
      </c>
      <c r="M16" s="53"/>
      <c r="N16" s="54">
        <v>1</v>
      </c>
      <c r="O16" s="54">
        <v>1</v>
      </c>
      <c r="P16" s="55">
        <f>+O16/N16</f>
        <v>1</v>
      </c>
      <c r="Q16" s="32" t="s">
        <v>93</v>
      </c>
      <c r="R16" s="32" t="s">
        <v>94</v>
      </c>
      <c r="S16" s="56"/>
      <c r="T16" s="56"/>
      <c r="U16" s="57"/>
      <c r="V16" s="58"/>
      <c r="W16" s="58"/>
      <c r="X16" s="58"/>
      <c r="Y16" s="58"/>
      <c r="Z16" s="58"/>
      <c r="AA16" s="58"/>
      <c r="AB16" s="58"/>
      <c r="AC16" s="58"/>
      <c r="AD16" s="58"/>
      <c r="AE16" s="58"/>
      <c r="AF16" s="58"/>
      <c r="AG16" s="58"/>
      <c r="AH16" s="59">
        <v>1</v>
      </c>
      <c r="AI16" s="58"/>
      <c r="AJ16" s="58"/>
      <c r="AK16" s="58"/>
      <c r="AL16" s="60"/>
      <c r="AM16" s="32"/>
    </row>
    <row r="17" spans="1:148" ht="45" x14ac:dyDescent="0.25">
      <c r="A17" s="21"/>
      <c r="B17" s="21"/>
      <c r="C17" s="21"/>
      <c r="D17" s="21"/>
      <c r="E17" s="21"/>
      <c r="F17" s="21"/>
      <c r="G17" s="21"/>
      <c r="H17" s="21"/>
      <c r="I17" s="21"/>
      <c r="J17" s="33"/>
      <c r="K17" s="24"/>
      <c r="L17" s="23"/>
      <c r="M17" s="23"/>
      <c r="N17" s="25"/>
      <c r="O17" s="25"/>
      <c r="P17" s="61"/>
      <c r="Q17" s="32" t="s">
        <v>95</v>
      </c>
      <c r="R17" s="32" t="s">
        <v>94</v>
      </c>
      <c r="S17" s="62"/>
      <c r="T17" s="62"/>
      <c r="U17" s="63"/>
      <c r="V17" s="64"/>
      <c r="W17" s="64"/>
      <c r="X17" s="64"/>
      <c r="Y17" s="64"/>
      <c r="Z17" s="64"/>
      <c r="AA17" s="64"/>
      <c r="AB17" s="64"/>
      <c r="AC17" s="64"/>
      <c r="AD17" s="64"/>
      <c r="AE17" s="64"/>
      <c r="AF17" s="64"/>
      <c r="AG17" s="64"/>
      <c r="AH17" s="46"/>
      <c r="AI17" s="64"/>
      <c r="AJ17" s="64"/>
      <c r="AK17" s="64"/>
      <c r="AL17" s="65"/>
      <c r="AM17" s="32"/>
    </row>
    <row r="18" spans="1:148" ht="45" x14ac:dyDescent="0.25">
      <c r="A18" s="21"/>
      <c r="B18" s="21"/>
      <c r="C18" s="21"/>
      <c r="D18" s="21"/>
      <c r="E18" s="21"/>
      <c r="F18" s="21"/>
      <c r="G18" s="21"/>
      <c r="H18" s="21"/>
      <c r="I18" s="21"/>
      <c r="J18" s="33" t="s">
        <v>91</v>
      </c>
      <c r="K18" s="24">
        <v>8.27</v>
      </c>
      <c r="L18" s="33" t="s">
        <v>92</v>
      </c>
      <c r="M18" s="33"/>
      <c r="N18" s="33"/>
      <c r="O18" s="33"/>
      <c r="P18" s="66">
        <v>0</v>
      </c>
      <c r="Q18" s="33"/>
      <c r="R18" s="33"/>
      <c r="S18" s="33"/>
      <c r="T18" s="33"/>
      <c r="U18" s="33"/>
      <c r="V18" s="33"/>
      <c r="W18" s="33"/>
      <c r="X18" s="33"/>
      <c r="Y18" s="33"/>
      <c r="Z18" s="33"/>
      <c r="AA18" s="33"/>
      <c r="AB18" s="33"/>
      <c r="AC18" s="33"/>
      <c r="AD18" s="33"/>
      <c r="AE18" s="33"/>
      <c r="AF18" s="33"/>
      <c r="AG18" s="33"/>
      <c r="AH18" s="48"/>
      <c r="AI18" s="33"/>
      <c r="AJ18" s="33"/>
      <c r="AK18" s="34" t="s">
        <v>57</v>
      </c>
      <c r="AL18" s="35" t="s">
        <v>58</v>
      </c>
      <c r="AM18" s="32">
        <v>0</v>
      </c>
      <c r="BT18" s="3">
        <v>700000000</v>
      </c>
      <c r="BX18" s="3">
        <v>700000000</v>
      </c>
    </row>
    <row r="19" spans="1:148" ht="78.75" x14ac:dyDescent="0.25">
      <c r="A19" s="21"/>
      <c r="B19" s="21"/>
      <c r="C19" s="21"/>
      <c r="D19" s="21"/>
      <c r="E19" s="21"/>
      <c r="F19" s="21"/>
      <c r="G19" s="22" t="s">
        <v>96</v>
      </c>
      <c r="H19" s="22" t="s">
        <v>97</v>
      </c>
      <c r="I19" s="22" t="s">
        <v>98</v>
      </c>
      <c r="J19" s="33" t="s">
        <v>99</v>
      </c>
      <c r="K19" s="24">
        <v>0.7</v>
      </c>
      <c r="L19" s="53" t="s">
        <v>100</v>
      </c>
      <c r="M19" s="53"/>
      <c r="N19" s="54">
        <v>1</v>
      </c>
      <c r="O19" s="54">
        <v>1</v>
      </c>
      <c r="P19" s="55">
        <f>+O19/N19</f>
        <v>1</v>
      </c>
      <c r="Q19" s="32" t="s">
        <v>101</v>
      </c>
      <c r="R19" s="32" t="s">
        <v>102</v>
      </c>
      <c r="S19" s="67" t="s">
        <v>54</v>
      </c>
      <c r="T19" s="67" t="s">
        <v>90</v>
      </c>
      <c r="U19" s="68">
        <v>249700000</v>
      </c>
      <c r="V19" s="68">
        <v>249700000</v>
      </c>
      <c r="W19" s="67" t="s">
        <v>55</v>
      </c>
      <c r="X19" s="67" t="s">
        <v>55</v>
      </c>
      <c r="Y19" s="67"/>
      <c r="Z19" s="67"/>
      <c r="AA19" s="67"/>
      <c r="AB19" s="67" t="s">
        <v>55</v>
      </c>
      <c r="AC19" s="67"/>
      <c r="AD19" s="67"/>
      <c r="AE19" s="67"/>
      <c r="AF19" s="68">
        <v>249700000</v>
      </c>
      <c r="AG19" s="68">
        <v>249479649.89999998</v>
      </c>
      <c r="AH19" s="69">
        <f t="shared" ref="AH19" si="3">+AG19/AF19</f>
        <v>0.99911754064877845</v>
      </c>
      <c r="AI19" s="67" t="s">
        <v>76</v>
      </c>
      <c r="AJ19" s="67"/>
      <c r="AK19" s="67" t="s">
        <v>57</v>
      </c>
      <c r="AL19" s="70" t="s">
        <v>58</v>
      </c>
      <c r="AM19" s="32">
        <v>0</v>
      </c>
      <c r="BT19" s="3">
        <v>0</v>
      </c>
      <c r="DF19" s="3">
        <v>0</v>
      </c>
      <c r="ER19" s="3">
        <v>0</v>
      </c>
    </row>
    <row r="20" spans="1:148" ht="135" x14ac:dyDescent="0.25">
      <c r="A20" s="21"/>
      <c r="B20" s="21"/>
      <c r="C20" s="21"/>
      <c r="D20" s="21"/>
      <c r="E20" s="21"/>
      <c r="F20" s="21"/>
      <c r="G20" s="21"/>
      <c r="H20" s="21"/>
      <c r="I20" s="21"/>
      <c r="J20" s="71"/>
      <c r="K20" s="71"/>
      <c r="L20" s="72"/>
      <c r="M20" s="72"/>
      <c r="N20" s="73"/>
      <c r="O20" s="32" t="s">
        <v>103</v>
      </c>
      <c r="P20" s="74" t="s">
        <v>104</v>
      </c>
      <c r="Q20" s="73"/>
      <c r="R20" s="73"/>
      <c r="S20" s="73"/>
      <c r="T20" s="73"/>
      <c r="U20" s="73"/>
      <c r="V20" s="73"/>
      <c r="W20" s="73"/>
      <c r="X20" s="73"/>
      <c r="Y20" s="73"/>
      <c r="Z20" s="73"/>
      <c r="AA20" s="73"/>
      <c r="AB20" s="73"/>
      <c r="AC20" s="73"/>
      <c r="AD20" s="73"/>
      <c r="AE20" s="73"/>
      <c r="AF20" s="75"/>
      <c r="AG20" s="73"/>
      <c r="AH20" s="76"/>
      <c r="AI20" s="73"/>
      <c r="AJ20" s="73"/>
      <c r="AK20" s="67"/>
      <c r="AL20" s="70"/>
      <c r="AM20" s="32"/>
    </row>
    <row r="21" spans="1:148" ht="112.5" x14ac:dyDescent="0.25">
      <c r="A21" s="21"/>
      <c r="B21" s="21"/>
      <c r="C21" s="21"/>
      <c r="D21" s="21"/>
      <c r="E21" s="21"/>
      <c r="F21" s="21"/>
      <c r="G21" s="21"/>
      <c r="H21" s="21"/>
      <c r="I21" s="21"/>
      <c r="J21" s="23"/>
      <c r="K21" s="23"/>
      <c r="L21" s="25"/>
      <c r="M21" s="25"/>
      <c r="N21" s="77"/>
      <c r="O21" s="32" t="s">
        <v>105</v>
      </c>
      <c r="P21" s="74" t="s">
        <v>106</v>
      </c>
      <c r="Q21" s="77"/>
      <c r="R21" s="77"/>
      <c r="S21" s="77"/>
      <c r="T21" s="77"/>
      <c r="U21" s="77"/>
      <c r="V21" s="77"/>
      <c r="W21" s="77"/>
      <c r="X21" s="77"/>
      <c r="Y21" s="77"/>
      <c r="Z21" s="77"/>
      <c r="AA21" s="77"/>
      <c r="AB21" s="77"/>
      <c r="AC21" s="77"/>
      <c r="AD21" s="77"/>
      <c r="AE21" s="77"/>
      <c r="AF21" s="78"/>
      <c r="AG21" s="77"/>
      <c r="AH21" s="79"/>
      <c r="AI21" s="77"/>
      <c r="AJ21" s="77"/>
      <c r="AK21" s="67"/>
      <c r="AL21" s="70"/>
      <c r="AM21" s="32"/>
    </row>
    <row r="22" spans="1:148" ht="56.25" x14ac:dyDescent="0.25">
      <c r="A22" s="21"/>
      <c r="B22" s="21"/>
      <c r="C22" s="21"/>
      <c r="D22" s="21"/>
      <c r="E22" s="21"/>
      <c r="F22" s="21"/>
      <c r="G22" s="21"/>
      <c r="H22" s="21"/>
      <c r="I22" s="21"/>
      <c r="J22" s="33" t="s">
        <v>107</v>
      </c>
      <c r="K22" s="24">
        <v>6.1</v>
      </c>
      <c r="L22" s="33" t="s">
        <v>108</v>
      </c>
      <c r="M22" s="33"/>
      <c r="N22" s="33"/>
      <c r="O22" s="33"/>
      <c r="P22" s="66">
        <v>0</v>
      </c>
      <c r="Q22" s="33"/>
      <c r="R22" s="33"/>
      <c r="S22" s="33"/>
      <c r="T22" s="33"/>
      <c r="U22" s="33"/>
      <c r="V22" s="33"/>
      <c r="W22" s="33"/>
      <c r="X22" s="33"/>
      <c r="Y22" s="33"/>
      <c r="Z22" s="33"/>
      <c r="AA22" s="33"/>
      <c r="AB22" s="33"/>
      <c r="AC22" s="33"/>
      <c r="AD22" s="33"/>
      <c r="AE22" s="33"/>
      <c r="AF22" s="33"/>
      <c r="AG22" s="33"/>
      <c r="AH22" s="48">
        <v>0</v>
      </c>
      <c r="AI22" s="33"/>
      <c r="AJ22" s="33"/>
      <c r="AK22" s="34" t="s">
        <v>57</v>
      </c>
      <c r="AL22" s="35" t="s">
        <v>58</v>
      </c>
      <c r="AM22" s="32">
        <v>0.5</v>
      </c>
      <c r="BT22" s="3">
        <v>0</v>
      </c>
      <c r="DF22" s="3">
        <v>1000000000</v>
      </c>
      <c r="DJ22" s="3">
        <v>1000000000</v>
      </c>
      <c r="ER22" s="3">
        <v>0</v>
      </c>
    </row>
    <row r="23" spans="1:148" ht="101.25" x14ac:dyDescent="0.25">
      <c r="A23" s="21"/>
      <c r="B23" s="21"/>
      <c r="C23" s="21"/>
      <c r="D23" s="21"/>
      <c r="E23" s="21"/>
      <c r="F23" s="21"/>
      <c r="G23" s="53" t="s">
        <v>109</v>
      </c>
      <c r="H23" s="53" t="s">
        <v>110</v>
      </c>
      <c r="I23" s="53" t="s">
        <v>111</v>
      </c>
      <c r="J23" s="33" t="s">
        <v>112</v>
      </c>
      <c r="K23" s="24">
        <v>2.67</v>
      </c>
      <c r="L23" s="80" t="s">
        <v>113</v>
      </c>
      <c r="M23" s="53"/>
      <c r="N23" s="54">
        <v>1</v>
      </c>
      <c r="O23" s="54">
        <v>1</v>
      </c>
      <c r="P23" s="81">
        <f>+O23/N23</f>
        <v>1</v>
      </c>
      <c r="Q23" s="32" t="s">
        <v>114</v>
      </c>
      <c r="R23" s="32" t="s">
        <v>115</v>
      </c>
      <c r="S23" s="67" t="s">
        <v>89</v>
      </c>
      <c r="T23" s="67" t="s">
        <v>90</v>
      </c>
      <c r="U23" s="51">
        <v>74802871.079999998</v>
      </c>
      <c r="V23" s="51">
        <v>74802871.079999998</v>
      </c>
      <c r="W23" s="67"/>
      <c r="X23" s="67"/>
      <c r="Y23" s="67" t="s">
        <v>55</v>
      </c>
      <c r="Z23" s="67"/>
      <c r="AA23" s="67"/>
      <c r="AB23" s="67"/>
      <c r="AC23" s="67"/>
      <c r="AD23" s="67"/>
      <c r="AE23" s="67"/>
      <c r="AF23" s="51">
        <v>74802871.079999998</v>
      </c>
      <c r="AG23" s="68">
        <v>74799000</v>
      </c>
      <c r="AH23" s="69">
        <f t="shared" ref="AH23" si="4">+AG23/AF23</f>
        <v>0.99994824957994111</v>
      </c>
      <c r="AI23" s="67" t="s">
        <v>76</v>
      </c>
      <c r="AJ23" s="67" t="s">
        <v>116</v>
      </c>
      <c r="AK23" s="67" t="s">
        <v>57</v>
      </c>
      <c r="AL23" s="70" t="s">
        <v>58</v>
      </c>
      <c r="AM23" s="32">
        <v>1</v>
      </c>
      <c r="BT23" s="3">
        <v>100000000</v>
      </c>
      <c r="BU23" s="3">
        <v>100000000</v>
      </c>
      <c r="DF23" s="3">
        <v>150000000</v>
      </c>
      <c r="DG23" s="3">
        <v>150000000</v>
      </c>
      <c r="ER23" s="3">
        <v>100000000</v>
      </c>
    </row>
    <row r="24" spans="1:148" ht="90" x14ac:dyDescent="0.25">
      <c r="A24" s="21"/>
      <c r="B24" s="21"/>
      <c r="C24" s="21"/>
      <c r="D24" s="21"/>
      <c r="E24" s="21"/>
      <c r="F24" s="21"/>
      <c r="G24" s="21"/>
      <c r="H24" s="21"/>
      <c r="I24" s="21"/>
      <c r="J24" s="53"/>
      <c r="K24" s="24"/>
      <c r="L24" s="82"/>
      <c r="M24" s="23"/>
      <c r="N24" s="25"/>
      <c r="O24" s="23"/>
      <c r="P24" s="83"/>
      <c r="Q24" s="32" t="s">
        <v>117</v>
      </c>
      <c r="R24" s="32" t="s">
        <v>118</v>
      </c>
      <c r="S24" s="77"/>
      <c r="T24" s="77"/>
      <c r="U24" s="77"/>
      <c r="V24" s="64"/>
      <c r="W24" s="77"/>
      <c r="X24" s="77"/>
      <c r="Y24" s="77"/>
      <c r="Z24" s="77"/>
      <c r="AA24" s="77"/>
      <c r="AB24" s="77"/>
      <c r="AC24" s="77"/>
      <c r="AD24" s="77"/>
      <c r="AE24" s="77"/>
      <c r="AF24" s="77"/>
      <c r="AG24" s="77"/>
      <c r="AH24" s="29"/>
      <c r="AI24" s="77"/>
      <c r="AJ24" s="77"/>
      <c r="AK24" s="77"/>
      <c r="AL24" s="84"/>
      <c r="AM24" s="32"/>
    </row>
    <row r="25" spans="1:148" ht="202.5" x14ac:dyDescent="0.25">
      <c r="A25" s="21"/>
      <c r="B25" s="21"/>
      <c r="C25" s="21"/>
      <c r="D25" s="21"/>
      <c r="E25" s="21"/>
      <c r="F25" s="21"/>
      <c r="G25" s="22" t="s">
        <v>119</v>
      </c>
      <c r="H25" s="21" t="s">
        <v>120</v>
      </c>
      <c r="I25" s="85" t="s">
        <v>121</v>
      </c>
      <c r="J25" s="53" t="s">
        <v>122</v>
      </c>
      <c r="K25" s="86">
        <v>8.9</v>
      </c>
      <c r="L25" s="33" t="s">
        <v>123</v>
      </c>
      <c r="M25" s="33"/>
      <c r="N25" s="33"/>
      <c r="O25" s="33"/>
      <c r="P25" s="48">
        <f>AVERAGE(P26:P28)</f>
        <v>0</v>
      </c>
      <c r="Q25" s="33"/>
      <c r="R25" s="33"/>
      <c r="S25" s="33"/>
      <c r="T25" s="33"/>
      <c r="U25" s="33"/>
      <c r="V25" s="33"/>
      <c r="W25" s="33"/>
      <c r="X25" s="33"/>
      <c r="Y25" s="33"/>
      <c r="Z25" s="33"/>
      <c r="AA25" s="33"/>
      <c r="AB25" s="33"/>
      <c r="AC25" s="33"/>
      <c r="AD25" s="33"/>
      <c r="AE25" s="33"/>
      <c r="AF25" s="33"/>
      <c r="AG25" s="33"/>
      <c r="AH25" s="48">
        <f>AVERAGE(AH26:AH28)</f>
        <v>0.99997727272727277</v>
      </c>
      <c r="AI25" s="33"/>
      <c r="AJ25" s="33"/>
      <c r="AK25" s="34" t="s">
        <v>57</v>
      </c>
      <c r="AL25" s="35" t="s">
        <v>58</v>
      </c>
      <c r="AM25" s="32">
        <v>250</v>
      </c>
      <c r="BT25" s="3">
        <v>0</v>
      </c>
      <c r="DF25" s="3">
        <v>1500000000</v>
      </c>
      <c r="DJ25" s="3">
        <v>1500000000</v>
      </c>
      <c r="ER25" s="3">
        <v>0</v>
      </c>
    </row>
    <row r="26" spans="1:148" ht="146.25" x14ac:dyDescent="0.25">
      <c r="A26" s="21"/>
      <c r="B26" s="21"/>
      <c r="C26" s="21"/>
      <c r="D26" s="21"/>
      <c r="E26" s="21"/>
      <c r="F26" s="21"/>
      <c r="G26" s="87" t="s">
        <v>124</v>
      </c>
      <c r="H26" s="87" t="s">
        <v>125</v>
      </c>
      <c r="I26" s="88" t="s">
        <v>126</v>
      </c>
      <c r="J26" s="71"/>
      <c r="K26" s="86"/>
      <c r="L26" s="87" t="s">
        <v>127</v>
      </c>
      <c r="M26" s="87"/>
      <c r="N26" s="89">
        <v>250</v>
      </c>
      <c r="O26" s="89">
        <v>0</v>
      </c>
      <c r="P26" s="69">
        <f>+O26/N26</f>
        <v>0</v>
      </c>
      <c r="Q26" s="90" t="s">
        <v>128</v>
      </c>
      <c r="R26" s="90" t="s">
        <v>129</v>
      </c>
      <c r="S26" s="90" t="s">
        <v>90</v>
      </c>
      <c r="T26" s="90" t="s">
        <v>130</v>
      </c>
      <c r="U26" s="51">
        <v>2200000000</v>
      </c>
      <c r="V26" s="51">
        <v>2200000000</v>
      </c>
      <c r="W26" s="91"/>
      <c r="X26" s="91"/>
      <c r="Y26" s="91"/>
      <c r="Z26" s="92" t="s">
        <v>55</v>
      </c>
      <c r="AA26" s="91"/>
      <c r="AB26" s="91"/>
      <c r="AC26" s="91"/>
      <c r="AD26" s="91"/>
      <c r="AE26" s="91"/>
      <c r="AF26" s="51">
        <v>2200000000</v>
      </c>
      <c r="AG26" s="93">
        <v>2199950000</v>
      </c>
      <c r="AH26" s="94">
        <f t="shared" ref="AH26" si="5">+AG26/AF26</f>
        <v>0.99997727272727277</v>
      </c>
      <c r="AI26" s="87" t="s">
        <v>131</v>
      </c>
      <c r="AJ26" s="87" t="s">
        <v>132</v>
      </c>
      <c r="AK26" s="87"/>
      <c r="AL26" s="87" t="s">
        <v>133</v>
      </c>
      <c r="AM26" s="32"/>
    </row>
    <row r="27" spans="1:148" ht="67.5" x14ac:dyDescent="0.25">
      <c r="A27" s="21"/>
      <c r="B27" s="21"/>
      <c r="C27" s="21"/>
      <c r="D27" s="21"/>
      <c r="E27" s="21"/>
      <c r="F27" s="21"/>
      <c r="G27" s="95"/>
      <c r="H27" s="95"/>
      <c r="I27" s="96"/>
      <c r="J27" s="71"/>
      <c r="K27" s="86"/>
      <c r="L27" s="95"/>
      <c r="M27" s="95"/>
      <c r="N27" s="95"/>
      <c r="O27" s="95"/>
      <c r="P27" s="97"/>
      <c r="Q27" s="90" t="s">
        <v>134</v>
      </c>
      <c r="R27" s="90" t="s">
        <v>135</v>
      </c>
      <c r="S27" s="90" t="s">
        <v>90</v>
      </c>
      <c r="T27" s="90" t="s">
        <v>130</v>
      </c>
      <c r="U27" s="58"/>
      <c r="V27" s="58"/>
      <c r="W27" s="98"/>
      <c r="X27" s="98"/>
      <c r="Y27" s="98"/>
      <c r="Z27" s="98"/>
      <c r="AA27" s="98"/>
      <c r="AB27" s="98"/>
      <c r="AC27" s="98"/>
      <c r="AD27" s="98"/>
      <c r="AE27" s="98"/>
      <c r="AF27" s="99"/>
      <c r="AG27" s="95"/>
      <c r="AH27" s="100"/>
      <c r="AI27" s="95"/>
      <c r="AJ27" s="95"/>
      <c r="AK27" s="95"/>
      <c r="AL27" s="95"/>
      <c r="AM27" s="32"/>
    </row>
    <row r="28" spans="1:148" ht="56.25" x14ac:dyDescent="0.25">
      <c r="A28" s="21"/>
      <c r="B28" s="21"/>
      <c r="C28" s="21"/>
      <c r="D28" s="21"/>
      <c r="E28" s="21"/>
      <c r="F28" s="21"/>
      <c r="G28" s="101"/>
      <c r="H28" s="101"/>
      <c r="I28" s="102"/>
      <c r="J28" s="23"/>
      <c r="K28" s="86"/>
      <c r="L28" s="95"/>
      <c r="M28" s="95"/>
      <c r="N28" s="95"/>
      <c r="O28" s="95"/>
      <c r="P28" s="97"/>
      <c r="Q28" s="90" t="s">
        <v>136</v>
      </c>
      <c r="R28" s="90" t="s">
        <v>137</v>
      </c>
      <c r="S28" s="90" t="s">
        <v>90</v>
      </c>
      <c r="T28" s="90" t="s">
        <v>130</v>
      </c>
      <c r="U28" s="64"/>
      <c r="V28" s="64"/>
      <c r="W28" s="103"/>
      <c r="X28" s="103"/>
      <c r="Y28" s="103"/>
      <c r="Z28" s="103"/>
      <c r="AA28" s="103"/>
      <c r="AB28" s="103"/>
      <c r="AC28" s="103"/>
      <c r="AD28" s="103"/>
      <c r="AE28" s="103"/>
      <c r="AF28" s="104"/>
      <c r="AG28" s="101"/>
      <c r="AH28" s="105"/>
      <c r="AI28" s="101"/>
      <c r="AJ28" s="101"/>
      <c r="AK28" s="101"/>
      <c r="AL28" s="101"/>
      <c r="AM28" s="32"/>
    </row>
    <row r="29" spans="1:148" ht="33.75" x14ac:dyDescent="0.25">
      <c r="A29" s="21"/>
      <c r="B29" s="21"/>
      <c r="C29" s="21"/>
      <c r="D29" s="21"/>
      <c r="E29" s="21"/>
      <c r="F29" s="21"/>
      <c r="G29" s="21"/>
      <c r="H29" s="21"/>
      <c r="I29" s="21"/>
      <c r="J29" s="23" t="s">
        <v>138</v>
      </c>
      <c r="K29" s="24">
        <v>3.67</v>
      </c>
      <c r="L29" s="33" t="s">
        <v>139</v>
      </c>
      <c r="M29" s="33"/>
      <c r="N29" s="32">
        <v>100</v>
      </c>
      <c r="O29" s="32">
        <v>0</v>
      </c>
      <c r="P29" s="49">
        <f>+O29/N29</f>
        <v>0</v>
      </c>
      <c r="Q29" s="77"/>
      <c r="R29" s="77"/>
      <c r="S29" s="77"/>
      <c r="T29" s="77"/>
      <c r="U29" s="77"/>
      <c r="V29" s="77"/>
      <c r="W29" s="77"/>
      <c r="X29" s="77"/>
      <c r="Y29" s="77"/>
      <c r="Z29" s="77"/>
      <c r="AA29" s="77"/>
      <c r="AB29" s="77"/>
      <c r="AC29" s="77"/>
      <c r="AD29" s="77"/>
      <c r="AE29" s="77"/>
      <c r="AF29" s="77"/>
      <c r="AG29" s="77"/>
      <c r="AH29" s="29">
        <v>0</v>
      </c>
      <c r="AI29" s="77"/>
      <c r="AJ29" s="77"/>
      <c r="AK29" s="77"/>
      <c r="AL29" s="84"/>
      <c r="AM29" s="32">
        <v>100</v>
      </c>
      <c r="BT29" s="3">
        <v>200000000</v>
      </c>
      <c r="BV29" s="3">
        <v>200000000</v>
      </c>
      <c r="DF29" s="3">
        <v>100000000</v>
      </c>
      <c r="DG29" s="3">
        <v>100000000</v>
      </c>
      <c r="ER29" s="3">
        <v>200000000</v>
      </c>
    </row>
    <row r="30" spans="1:148" ht="101.25" x14ac:dyDescent="0.25">
      <c r="A30" s="21"/>
      <c r="B30" s="21"/>
      <c r="C30" s="21"/>
      <c r="D30" s="21"/>
      <c r="E30" s="21"/>
      <c r="F30" s="21"/>
      <c r="G30" s="106" t="s">
        <v>140</v>
      </c>
      <c r="H30" s="106" t="s">
        <v>141</v>
      </c>
      <c r="I30" s="106" t="s">
        <v>142</v>
      </c>
      <c r="J30" s="33" t="s">
        <v>143</v>
      </c>
      <c r="K30" s="24">
        <v>2.13</v>
      </c>
      <c r="L30" s="33" t="s">
        <v>144</v>
      </c>
      <c r="M30" s="33"/>
      <c r="N30" s="32">
        <v>1</v>
      </c>
      <c r="O30" s="32">
        <v>0</v>
      </c>
      <c r="P30" s="49">
        <f>+O30/N30</f>
        <v>0</v>
      </c>
      <c r="Q30" s="32" t="s">
        <v>145</v>
      </c>
      <c r="R30" s="32" t="s">
        <v>146</v>
      </c>
      <c r="S30" s="32" t="s">
        <v>54</v>
      </c>
      <c r="T30" s="32" t="s">
        <v>90</v>
      </c>
      <c r="U30" s="107">
        <v>95322826</v>
      </c>
      <c r="V30" s="107">
        <v>95322826</v>
      </c>
      <c r="W30" s="32" t="s">
        <v>55</v>
      </c>
      <c r="X30" s="32"/>
      <c r="Y30" s="32"/>
      <c r="Z30" s="32"/>
      <c r="AA30" s="32"/>
      <c r="AB30" s="32"/>
      <c r="AC30" s="32"/>
      <c r="AD30" s="32"/>
      <c r="AE30" s="32"/>
      <c r="AF30" s="107">
        <v>95322826</v>
      </c>
      <c r="AG30" s="108">
        <v>0</v>
      </c>
      <c r="AH30" s="29">
        <f t="shared" ref="AH30:AH31" si="6">+AG30/AF30</f>
        <v>0</v>
      </c>
      <c r="AI30" s="32" t="s">
        <v>147</v>
      </c>
      <c r="AJ30" s="32" t="s">
        <v>148</v>
      </c>
      <c r="AK30" s="34" t="s">
        <v>57</v>
      </c>
      <c r="AL30" s="35" t="s">
        <v>58</v>
      </c>
      <c r="AM30" s="32">
        <v>0</v>
      </c>
      <c r="BT30" s="3">
        <v>200000000</v>
      </c>
      <c r="BU30" s="3">
        <v>200000000</v>
      </c>
      <c r="DF30" s="3">
        <v>0</v>
      </c>
      <c r="ER30" s="3">
        <v>0</v>
      </c>
    </row>
    <row r="31" spans="1:148" ht="123.75" x14ac:dyDescent="0.25">
      <c r="A31" s="21"/>
      <c r="B31" s="21"/>
      <c r="C31" s="21"/>
      <c r="D31" s="21"/>
      <c r="E31" s="21"/>
      <c r="F31" s="42"/>
      <c r="G31" s="42" t="s">
        <v>149</v>
      </c>
      <c r="H31" s="42" t="s">
        <v>150</v>
      </c>
      <c r="I31" s="42" t="s">
        <v>151</v>
      </c>
      <c r="J31" s="33" t="s">
        <v>152</v>
      </c>
      <c r="K31" s="24">
        <v>4.7300000000000004</v>
      </c>
      <c r="L31" s="33" t="s">
        <v>153</v>
      </c>
      <c r="M31" s="33"/>
      <c r="N31" s="37">
        <v>0.06</v>
      </c>
      <c r="O31" s="37">
        <v>0</v>
      </c>
      <c r="P31" s="49">
        <f>+O31/N31</f>
        <v>0</v>
      </c>
      <c r="Q31" s="37" t="s">
        <v>154</v>
      </c>
      <c r="R31" s="37" t="s">
        <v>155</v>
      </c>
      <c r="S31" s="37" t="s">
        <v>74</v>
      </c>
      <c r="T31" s="37" t="s">
        <v>90</v>
      </c>
      <c r="U31" s="109">
        <v>50000000</v>
      </c>
      <c r="V31" s="109">
        <v>50000000</v>
      </c>
      <c r="W31" s="37"/>
      <c r="X31" s="37"/>
      <c r="Y31" s="37"/>
      <c r="Z31" s="37" t="s">
        <v>55</v>
      </c>
      <c r="AA31" s="37"/>
      <c r="AB31" s="37"/>
      <c r="AC31" s="37"/>
      <c r="AD31" s="37"/>
      <c r="AE31" s="37"/>
      <c r="AF31" s="109">
        <v>50000000</v>
      </c>
      <c r="AG31" s="108">
        <v>0</v>
      </c>
      <c r="AH31" s="29">
        <f t="shared" si="6"/>
        <v>0</v>
      </c>
      <c r="AI31" s="37" t="s">
        <v>156</v>
      </c>
      <c r="AJ31" s="37" t="s">
        <v>157</v>
      </c>
      <c r="AK31" s="39" t="s">
        <v>57</v>
      </c>
      <c r="AL31" s="41" t="s">
        <v>58</v>
      </c>
      <c r="AM31" s="37">
        <v>0.06</v>
      </c>
      <c r="BT31" s="3">
        <v>200000000</v>
      </c>
      <c r="BV31" s="3">
        <v>200000000</v>
      </c>
      <c r="DF31" s="3">
        <v>200000000</v>
      </c>
      <c r="DG31" s="3">
        <v>200000000</v>
      </c>
      <c r="ER31" s="3">
        <v>300000000</v>
      </c>
    </row>
    <row r="32" spans="1:148" ht="33.75" x14ac:dyDescent="0.25">
      <c r="A32" s="21"/>
      <c r="B32" s="21"/>
      <c r="C32" s="21"/>
      <c r="D32" s="21"/>
      <c r="E32" s="21"/>
      <c r="F32" s="110" t="s">
        <v>158</v>
      </c>
      <c r="G32" s="110"/>
      <c r="H32" s="110"/>
      <c r="I32" s="110"/>
      <c r="J32" s="48"/>
      <c r="K32" s="111">
        <f>SUM(K7:K31)</f>
        <v>100.01</v>
      </c>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112"/>
      <c r="AL32" s="113"/>
      <c r="AM32" s="74"/>
    </row>
    <row r="33" spans="1:39" ht="112.5" x14ac:dyDescent="0.25">
      <c r="A33" s="21"/>
      <c r="B33" s="21"/>
      <c r="C33" s="21"/>
      <c r="D33" s="21"/>
      <c r="E33" s="21"/>
      <c r="F33" s="114" t="s">
        <v>159</v>
      </c>
      <c r="G33" s="115" t="s">
        <v>160</v>
      </c>
      <c r="H33" s="115" t="s">
        <v>161</v>
      </c>
      <c r="I33" s="115" t="s">
        <v>162</v>
      </c>
      <c r="J33" s="33" t="s">
        <v>163</v>
      </c>
      <c r="K33" s="24">
        <v>2.94</v>
      </c>
      <c r="L33" s="116" t="s">
        <v>164</v>
      </c>
      <c r="M33" s="117"/>
      <c r="N33" s="118">
        <v>0.01</v>
      </c>
      <c r="O33" s="118">
        <v>0</v>
      </c>
      <c r="P33" s="119">
        <f>+O33/N33</f>
        <v>0</v>
      </c>
      <c r="Q33" s="120" t="s">
        <v>165</v>
      </c>
      <c r="R33" s="120" t="s">
        <v>166</v>
      </c>
      <c r="S33" s="120" t="s">
        <v>167</v>
      </c>
      <c r="T33" s="120" t="s">
        <v>168</v>
      </c>
      <c r="U33" s="121">
        <v>120000000</v>
      </c>
      <c r="V33" s="121">
        <v>120000000</v>
      </c>
      <c r="W33" s="122" t="s">
        <v>55</v>
      </c>
      <c r="X33" s="122"/>
      <c r="Y33" s="122"/>
      <c r="Z33" s="122"/>
      <c r="AA33" s="122"/>
      <c r="AB33" s="122"/>
      <c r="AC33" s="122"/>
      <c r="AD33" s="122"/>
      <c r="AE33" s="122"/>
      <c r="AF33" s="121">
        <v>120000000</v>
      </c>
      <c r="AG33" s="123">
        <v>119998812</v>
      </c>
      <c r="AH33" s="29">
        <f t="shared" ref="AH33" si="7">+AG33/AF33</f>
        <v>0.99999009999999999</v>
      </c>
      <c r="AI33" s="122" t="s">
        <v>169</v>
      </c>
      <c r="AJ33" s="122" t="s">
        <v>170</v>
      </c>
      <c r="AK33" s="30" t="s">
        <v>57</v>
      </c>
      <c r="AL33" s="31" t="s">
        <v>171</v>
      </c>
      <c r="AM33" s="124">
        <v>5.0000000000000001E-3</v>
      </c>
    </row>
    <row r="34" spans="1:39" ht="56.25" x14ac:dyDescent="0.25">
      <c r="A34" s="21"/>
      <c r="B34" s="21"/>
      <c r="C34" s="21"/>
      <c r="D34" s="21"/>
      <c r="E34" s="21"/>
      <c r="F34" s="114"/>
      <c r="G34" s="114"/>
      <c r="H34" s="114"/>
      <c r="I34" s="114"/>
      <c r="J34" s="33" t="s">
        <v>172</v>
      </c>
      <c r="K34" s="24">
        <v>0.08</v>
      </c>
      <c r="L34" s="125" t="s">
        <v>173</v>
      </c>
      <c r="M34" s="125"/>
      <c r="N34" s="125"/>
      <c r="O34" s="125"/>
      <c r="P34" s="126"/>
      <c r="Q34" s="125"/>
      <c r="R34" s="125"/>
      <c r="S34" s="125"/>
      <c r="T34" s="125"/>
      <c r="U34" s="125"/>
      <c r="V34" s="125"/>
      <c r="W34" s="125"/>
      <c r="X34" s="125"/>
      <c r="Y34" s="125"/>
      <c r="Z34" s="125"/>
      <c r="AA34" s="125"/>
      <c r="AB34" s="125"/>
      <c r="AC34" s="125"/>
      <c r="AD34" s="125"/>
      <c r="AE34" s="125"/>
      <c r="AF34" s="125"/>
      <c r="AG34" s="125"/>
      <c r="AH34" s="126"/>
      <c r="AI34" s="125"/>
      <c r="AJ34" s="125"/>
      <c r="AK34" s="34" t="s">
        <v>57</v>
      </c>
      <c r="AL34" s="35" t="s">
        <v>58</v>
      </c>
      <c r="AM34" s="124">
        <v>1</v>
      </c>
    </row>
    <row r="35" spans="1:39" ht="90" x14ac:dyDescent="0.25">
      <c r="A35" s="21"/>
      <c r="B35" s="21"/>
      <c r="C35" s="21"/>
      <c r="D35" s="21"/>
      <c r="E35" s="21"/>
      <c r="F35" s="114"/>
      <c r="G35" s="115" t="s">
        <v>174</v>
      </c>
      <c r="H35" s="115" t="s">
        <v>161</v>
      </c>
      <c r="I35" s="106" t="s">
        <v>175</v>
      </c>
      <c r="J35" s="33" t="s">
        <v>176</v>
      </c>
      <c r="K35" s="24">
        <v>91.98</v>
      </c>
      <c r="L35" s="53" t="s">
        <v>177</v>
      </c>
      <c r="M35" s="53"/>
      <c r="N35" s="36">
        <v>2</v>
      </c>
      <c r="O35" s="36">
        <v>0</v>
      </c>
      <c r="P35" s="81">
        <f>+O35/N35</f>
        <v>0</v>
      </c>
      <c r="Q35" s="127" t="s">
        <v>178</v>
      </c>
      <c r="R35" s="127" t="s">
        <v>179</v>
      </c>
      <c r="S35" s="127" t="s">
        <v>180</v>
      </c>
      <c r="T35" s="127" t="s">
        <v>90</v>
      </c>
      <c r="U35" s="128">
        <v>150000000</v>
      </c>
      <c r="V35" s="128">
        <v>150000000</v>
      </c>
      <c r="W35" s="129" t="s">
        <v>55</v>
      </c>
      <c r="X35" s="129"/>
      <c r="Y35" s="129"/>
      <c r="Z35" s="129"/>
      <c r="AA35" s="129"/>
      <c r="AB35" s="129"/>
      <c r="AC35" s="129"/>
      <c r="AD35" s="129"/>
      <c r="AE35" s="129"/>
      <c r="AF35" s="128">
        <v>150000000</v>
      </c>
      <c r="AG35" s="129">
        <v>0</v>
      </c>
      <c r="AH35" s="29">
        <f>AVERAGE(AH36:AH40)</f>
        <v>0.59888378365254824</v>
      </c>
      <c r="AI35" s="122" t="s">
        <v>169</v>
      </c>
      <c r="AJ35" s="129" t="s">
        <v>181</v>
      </c>
      <c r="AK35" s="34" t="s">
        <v>57</v>
      </c>
      <c r="AL35" s="35" t="s">
        <v>58</v>
      </c>
      <c r="AM35" s="129">
        <v>2</v>
      </c>
    </row>
    <row r="36" spans="1:39" ht="146.25" x14ac:dyDescent="0.25">
      <c r="A36" s="21"/>
      <c r="B36" s="21"/>
      <c r="C36" s="21"/>
      <c r="D36" s="21"/>
      <c r="E36" s="21"/>
      <c r="F36" s="114"/>
      <c r="G36" s="115" t="s">
        <v>182</v>
      </c>
      <c r="H36" s="115" t="s">
        <v>183</v>
      </c>
      <c r="I36" s="106" t="s">
        <v>184</v>
      </c>
      <c r="J36" s="33"/>
      <c r="K36" s="24"/>
      <c r="L36" s="71"/>
      <c r="M36" s="71"/>
      <c r="N36" s="71"/>
      <c r="O36" s="71"/>
      <c r="P36" s="130"/>
      <c r="Q36" s="127" t="s">
        <v>185</v>
      </c>
      <c r="R36" s="127" t="s">
        <v>186</v>
      </c>
      <c r="S36" s="127" t="s">
        <v>187</v>
      </c>
      <c r="T36" s="127" t="s">
        <v>90</v>
      </c>
      <c r="U36" s="131">
        <v>184361000</v>
      </c>
      <c r="V36" s="131">
        <v>184361000</v>
      </c>
      <c r="W36" s="129" t="s">
        <v>55</v>
      </c>
      <c r="X36" s="129"/>
      <c r="Y36" s="129"/>
      <c r="Z36" s="129"/>
      <c r="AA36" s="129"/>
      <c r="AB36" s="129"/>
      <c r="AC36" s="129"/>
      <c r="AD36" s="129"/>
      <c r="AE36" s="129"/>
      <c r="AF36" s="131">
        <v>184361000</v>
      </c>
      <c r="AG36" s="131">
        <v>184361000</v>
      </c>
      <c r="AH36" s="29">
        <f t="shared" ref="AH36:AH42" si="8">+AG36/AF36</f>
        <v>1</v>
      </c>
      <c r="AI36" s="122" t="s">
        <v>169</v>
      </c>
      <c r="AJ36" s="129" t="s">
        <v>188</v>
      </c>
      <c r="AK36" s="34" t="s">
        <v>57</v>
      </c>
      <c r="AL36" s="35"/>
      <c r="AM36" s="129"/>
    </row>
    <row r="37" spans="1:39" ht="191.25" x14ac:dyDescent="0.25">
      <c r="A37" s="21"/>
      <c r="B37" s="21"/>
      <c r="C37" s="21"/>
      <c r="D37" s="21"/>
      <c r="E37" s="21"/>
      <c r="F37" s="114"/>
      <c r="G37" s="115" t="s">
        <v>189</v>
      </c>
      <c r="H37" s="115" t="s">
        <v>190</v>
      </c>
      <c r="I37" s="106" t="s">
        <v>191</v>
      </c>
      <c r="J37" s="33"/>
      <c r="K37" s="24"/>
      <c r="L37" s="71"/>
      <c r="M37" s="71"/>
      <c r="N37" s="71"/>
      <c r="O37" s="71"/>
      <c r="P37" s="130"/>
      <c r="Q37" s="132" t="s">
        <v>192</v>
      </c>
      <c r="R37" s="132" t="s">
        <v>193</v>
      </c>
      <c r="S37" s="132" t="s">
        <v>194</v>
      </c>
      <c r="T37" s="132" t="s">
        <v>90</v>
      </c>
      <c r="U37" s="133">
        <v>2817310890</v>
      </c>
      <c r="V37" s="133">
        <v>2817310890</v>
      </c>
      <c r="W37" s="134"/>
      <c r="X37" s="134"/>
      <c r="Y37" s="129"/>
      <c r="Z37" s="129"/>
      <c r="AA37" s="129"/>
      <c r="AB37" s="129" t="s">
        <v>55</v>
      </c>
      <c r="AC37" s="129"/>
      <c r="AD37" s="129"/>
      <c r="AE37" s="129"/>
      <c r="AF37" s="133">
        <v>2817310890</v>
      </c>
      <c r="AG37" s="135">
        <v>2817310819.7000003</v>
      </c>
      <c r="AH37" s="29">
        <f t="shared" si="8"/>
        <v>0.99999997504712745</v>
      </c>
      <c r="AI37" s="122" t="s">
        <v>169</v>
      </c>
      <c r="AJ37" s="129" t="s">
        <v>195</v>
      </c>
      <c r="AK37" s="34" t="s">
        <v>57</v>
      </c>
      <c r="AL37" s="35"/>
      <c r="AM37" s="129"/>
    </row>
    <row r="38" spans="1:39" ht="135" x14ac:dyDescent="0.25">
      <c r="A38" s="21"/>
      <c r="B38" s="21"/>
      <c r="C38" s="21"/>
      <c r="D38" s="21"/>
      <c r="E38" s="21"/>
      <c r="F38" s="114"/>
      <c r="G38" s="115" t="s">
        <v>196</v>
      </c>
      <c r="H38" s="115" t="s">
        <v>197</v>
      </c>
      <c r="I38" s="42" t="s">
        <v>198</v>
      </c>
      <c r="J38" s="33"/>
      <c r="K38" s="24"/>
      <c r="L38" s="71"/>
      <c r="M38" s="71"/>
      <c r="N38" s="71"/>
      <c r="O38" s="71"/>
      <c r="P38" s="130"/>
      <c r="Q38" s="132" t="s">
        <v>199</v>
      </c>
      <c r="R38" s="132" t="s">
        <v>200</v>
      </c>
      <c r="S38" s="132" t="s">
        <v>90</v>
      </c>
      <c r="T38" s="132" t="s">
        <v>201</v>
      </c>
      <c r="U38" s="131">
        <v>5380000000</v>
      </c>
      <c r="V38" s="131">
        <v>5380000000</v>
      </c>
      <c r="W38" s="129"/>
      <c r="X38" s="129"/>
      <c r="Y38" s="129"/>
      <c r="Z38" s="129" t="s">
        <v>55</v>
      </c>
      <c r="AA38" s="129"/>
      <c r="AB38" s="129" t="s">
        <v>55</v>
      </c>
      <c r="AC38" s="129"/>
      <c r="AD38" s="129"/>
      <c r="AE38" s="129"/>
      <c r="AF38" s="131">
        <v>5380000000</v>
      </c>
      <c r="AG38" s="135">
        <v>5349973914.5</v>
      </c>
      <c r="AH38" s="29">
        <f t="shared" si="8"/>
        <v>0.99441894321561342</v>
      </c>
      <c r="AI38" s="122" t="s">
        <v>169</v>
      </c>
      <c r="AJ38" s="129" t="s">
        <v>202</v>
      </c>
      <c r="AK38" s="34" t="s">
        <v>57</v>
      </c>
      <c r="AL38" s="35"/>
      <c r="AM38" s="129"/>
    </row>
    <row r="39" spans="1:39" ht="157.5" x14ac:dyDescent="0.25">
      <c r="A39" s="21"/>
      <c r="B39" s="21"/>
      <c r="C39" s="21"/>
      <c r="D39" s="21"/>
      <c r="E39" s="21"/>
      <c r="F39" s="114"/>
      <c r="G39" s="115" t="s">
        <v>203</v>
      </c>
      <c r="H39" s="115" t="s">
        <v>161</v>
      </c>
      <c r="I39" s="42" t="s">
        <v>204</v>
      </c>
      <c r="J39" s="33"/>
      <c r="K39" s="24"/>
      <c r="L39" s="23"/>
      <c r="M39" s="23"/>
      <c r="N39" s="23"/>
      <c r="O39" s="23"/>
      <c r="P39" s="83"/>
      <c r="Q39" s="132" t="s">
        <v>205</v>
      </c>
      <c r="R39" s="132" t="s">
        <v>206</v>
      </c>
      <c r="S39" s="132" t="s">
        <v>90</v>
      </c>
      <c r="T39" s="132" t="s">
        <v>90</v>
      </c>
      <c r="U39" s="131">
        <v>50000000</v>
      </c>
      <c r="V39" s="131">
        <v>50000000</v>
      </c>
      <c r="W39" s="129" t="s">
        <v>55</v>
      </c>
      <c r="X39" s="129"/>
      <c r="Y39" s="129"/>
      <c r="Z39" s="129"/>
      <c r="AA39" s="129"/>
      <c r="AB39" s="129"/>
      <c r="AC39" s="129"/>
      <c r="AD39" s="129"/>
      <c r="AE39" s="129"/>
      <c r="AF39" s="131">
        <v>50000000</v>
      </c>
      <c r="AG39" s="131">
        <v>0</v>
      </c>
      <c r="AH39" s="29">
        <f t="shared" si="8"/>
        <v>0</v>
      </c>
      <c r="AI39" s="129" t="s">
        <v>169</v>
      </c>
      <c r="AJ39" s="129" t="s">
        <v>207</v>
      </c>
      <c r="AK39" s="34" t="s">
        <v>57</v>
      </c>
      <c r="AL39" s="35"/>
      <c r="AM39" s="129"/>
    </row>
    <row r="40" spans="1:39" ht="135" x14ac:dyDescent="0.25">
      <c r="A40" s="21"/>
      <c r="B40" s="21"/>
      <c r="C40" s="21"/>
      <c r="D40" s="21"/>
      <c r="E40" s="21"/>
      <c r="F40" s="114"/>
      <c r="G40" s="136" t="s">
        <v>208</v>
      </c>
      <c r="H40" s="137" t="s">
        <v>209</v>
      </c>
      <c r="I40" s="137" t="s">
        <v>210</v>
      </c>
      <c r="J40" s="33"/>
      <c r="K40" s="24"/>
      <c r="L40" s="71"/>
      <c r="M40" s="71"/>
      <c r="N40" s="137">
        <v>2</v>
      </c>
      <c r="O40" s="137">
        <v>0</v>
      </c>
      <c r="P40" s="49">
        <f>+O40/N40</f>
        <v>0</v>
      </c>
      <c r="Q40" s="137" t="s">
        <v>210</v>
      </c>
      <c r="R40" s="137" t="s">
        <v>211</v>
      </c>
      <c r="S40" s="137" t="s">
        <v>89</v>
      </c>
      <c r="T40" s="137" t="s">
        <v>212</v>
      </c>
      <c r="U40" s="138">
        <v>2000000000</v>
      </c>
      <c r="V40" s="138">
        <v>2000000000</v>
      </c>
      <c r="W40" s="137"/>
      <c r="X40" s="137"/>
      <c r="Y40" s="137"/>
      <c r="Z40" s="137" t="s">
        <v>55</v>
      </c>
      <c r="AA40" s="137"/>
      <c r="AB40" s="137"/>
      <c r="AC40" s="137"/>
      <c r="AD40" s="137"/>
      <c r="AE40" s="137"/>
      <c r="AF40" s="138">
        <f>+V40</f>
        <v>2000000000</v>
      </c>
      <c r="AG40" s="138">
        <v>0</v>
      </c>
      <c r="AH40" s="49">
        <f>+AG40/AF40</f>
        <v>0</v>
      </c>
      <c r="AI40" s="137" t="s">
        <v>169</v>
      </c>
      <c r="AJ40" s="137"/>
      <c r="AK40" s="137"/>
      <c r="AL40" s="137" t="s">
        <v>213</v>
      </c>
      <c r="AM40" s="129"/>
    </row>
    <row r="41" spans="1:39" ht="101.25" x14ac:dyDescent="0.25">
      <c r="A41" s="21"/>
      <c r="B41" s="21"/>
      <c r="C41" s="21"/>
      <c r="D41" s="21"/>
      <c r="E41" s="21"/>
      <c r="F41" s="114"/>
      <c r="G41" s="115" t="s">
        <v>214</v>
      </c>
      <c r="H41" s="115" t="s">
        <v>215</v>
      </c>
      <c r="I41" s="115" t="s">
        <v>216</v>
      </c>
      <c r="J41" s="33" t="s">
        <v>217</v>
      </c>
      <c r="K41" s="24">
        <v>2.54</v>
      </c>
      <c r="L41" s="125" t="s">
        <v>218</v>
      </c>
      <c r="M41" s="139"/>
      <c r="N41" s="140">
        <v>2</v>
      </c>
      <c r="O41" s="140">
        <v>2</v>
      </c>
      <c r="P41" s="26">
        <f>+O41/N41</f>
        <v>1</v>
      </c>
      <c r="Q41" s="129" t="s">
        <v>219</v>
      </c>
      <c r="R41" s="129" t="s">
        <v>220</v>
      </c>
      <c r="S41" s="129" t="s">
        <v>194</v>
      </c>
      <c r="T41" s="129" t="s">
        <v>194</v>
      </c>
      <c r="U41" s="131">
        <v>99999740</v>
      </c>
      <c r="V41" s="131">
        <v>99999740</v>
      </c>
      <c r="W41" s="129" t="s">
        <v>55</v>
      </c>
      <c r="X41" s="129"/>
      <c r="Y41" s="129"/>
      <c r="Z41" s="129"/>
      <c r="AA41" s="129"/>
      <c r="AB41" s="129"/>
      <c r="AC41" s="129"/>
      <c r="AD41" s="129"/>
      <c r="AE41" s="129"/>
      <c r="AF41" s="131">
        <v>99999740</v>
      </c>
      <c r="AG41" s="131">
        <v>99999740</v>
      </c>
      <c r="AH41" s="29">
        <f t="shared" si="8"/>
        <v>1</v>
      </c>
      <c r="AI41" s="129" t="s">
        <v>169</v>
      </c>
      <c r="AJ41" s="129"/>
      <c r="AK41" s="34" t="s">
        <v>57</v>
      </c>
      <c r="AL41" s="35" t="s">
        <v>58</v>
      </c>
      <c r="AM41" s="129">
        <v>0</v>
      </c>
    </row>
    <row r="42" spans="1:39" ht="101.25" x14ac:dyDescent="0.25">
      <c r="A42" s="21"/>
      <c r="B42" s="21"/>
      <c r="C42" s="21"/>
      <c r="D42" s="21"/>
      <c r="E42" s="21"/>
      <c r="F42" s="114"/>
      <c r="G42" s="115" t="s">
        <v>221</v>
      </c>
      <c r="H42" s="115" t="s">
        <v>190</v>
      </c>
      <c r="I42" s="115" t="s">
        <v>222</v>
      </c>
      <c r="J42" s="33" t="s">
        <v>223</v>
      </c>
      <c r="K42" s="24">
        <v>1</v>
      </c>
      <c r="L42" s="125" t="s">
        <v>224</v>
      </c>
      <c r="M42" s="139"/>
      <c r="N42" s="140">
        <v>2</v>
      </c>
      <c r="O42" s="140">
        <v>1</v>
      </c>
      <c r="P42" s="26">
        <f>+O42/N42</f>
        <v>0.5</v>
      </c>
      <c r="Q42" s="129" t="s">
        <v>225</v>
      </c>
      <c r="R42" s="129" t="s">
        <v>226</v>
      </c>
      <c r="S42" s="129" t="s">
        <v>227</v>
      </c>
      <c r="T42" s="129" t="s">
        <v>227</v>
      </c>
      <c r="U42" s="135">
        <v>114077539.17</v>
      </c>
      <c r="V42" s="135">
        <v>114077539.17</v>
      </c>
      <c r="W42" s="129" t="s">
        <v>55</v>
      </c>
      <c r="X42" s="129" t="s">
        <v>55</v>
      </c>
      <c r="Y42" s="129"/>
      <c r="Z42" s="129"/>
      <c r="AA42" s="129"/>
      <c r="AB42" s="129"/>
      <c r="AC42" s="129"/>
      <c r="AD42" s="129"/>
      <c r="AE42" s="129"/>
      <c r="AF42" s="135">
        <v>114077539.17</v>
      </c>
      <c r="AG42" s="135">
        <v>114077539.17</v>
      </c>
      <c r="AH42" s="29">
        <f t="shared" si="8"/>
        <v>1</v>
      </c>
      <c r="AI42" s="129" t="s">
        <v>169</v>
      </c>
      <c r="AJ42" s="129"/>
      <c r="AK42" s="34" t="s">
        <v>57</v>
      </c>
      <c r="AL42" s="35" t="s">
        <v>58</v>
      </c>
      <c r="AM42" s="129">
        <v>1</v>
      </c>
    </row>
    <row r="43" spans="1:39" ht="45" x14ac:dyDescent="0.25">
      <c r="A43" s="21"/>
      <c r="B43" s="21"/>
      <c r="C43" s="21"/>
      <c r="D43" s="21"/>
      <c r="E43" s="21"/>
      <c r="F43" s="114"/>
      <c r="G43" s="114"/>
      <c r="H43" s="114"/>
      <c r="I43" s="114"/>
      <c r="J43" s="33" t="s">
        <v>228</v>
      </c>
      <c r="K43" s="24">
        <v>0.54</v>
      </c>
      <c r="L43" s="125" t="s">
        <v>229</v>
      </c>
      <c r="M43" s="125"/>
      <c r="N43" s="125"/>
      <c r="O43" s="125"/>
      <c r="P43" s="26">
        <v>0</v>
      </c>
      <c r="Q43" s="125"/>
      <c r="R43" s="125"/>
      <c r="S43" s="125"/>
      <c r="T43" s="125"/>
      <c r="U43" s="125"/>
      <c r="V43" s="125"/>
      <c r="W43" s="125"/>
      <c r="X43" s="125"/>
      <c r="Y43" s="125"/>
      <c r="Z43" s="125"/>
      <c r="AA43" s="125"/>
      <c r="AB43" s="125"/>
      <c r="AC43" s="125"/>
      <c r="AD43" s="125"/>
      <c r="AE43" s="125"/>
      <c r="AF43" s="125"/>
      <c r="AG43" s="125"/>
      <c r="AH43" s="29">
        <v>0</v>
      </c>
      <c r="AI43" s="125"/>
      <c r="AJ43" s="125"/>
      <c r="AK43" s="34" t="s">
        <v>57</v>
      </c>
      <c r="AL43" s="35" t="s">
        <v>58</v>
      </c>
      <c r="AM43" s="129">
        <v>0</v>
      </c>
    </row>
    <row r="44" spans="1:39" ht="56.25" x14ac:dyDescent="0.25">
      <c r="A44" s="42"/>
      <c r="B44" s="42"/>
      <c r="C44" s="42"/>
      <c r="D44" s="42"/>
      <c r="E44" s="21"/>
      <c r="F44" s="114"/>
      <c r="G44" s="114"/>
      <c r="H44" s="114"/>
      <c r="I44" s="114"/>
      <c r="J44" s="33" t="s">
        <v>230</v>
      </c>
      <c r="K44" s="24">
        <v>0.9</v>
      </c>
      <c r="L44" s="141" t="s">
        <v>231</v>
      </c>
      <c r="M44" s="141"/>
      <c r="N44" s="141"/>
      <c r="O44" s="141"/>
      <c r="P44" s="26">
        <v>0</v>
      </c>
      <c r="Q44" s="141"/>
      <c r="R44" s="141"/>
      <c r="S44" s="141"/>
      <c r="T44" s="141"/>
      <c r="U44" s="141"/>
      <c r="V44" s="141"/>
      <c r="W44" s="141"/>
      <c r="X44" s="141"/>
      <c r="Y44" s="141"/>
      <c r="Z44" s="141"/>
      <c r="AA44" s="141"/>
      <c r="AB44" s="141"/>
      <c r="AC44" s="141"/>
      <c r="AD44" s="141"/>
      <c r="AE44" s="141"/>
      <c r="AF44" s="141"/>
      <c r="AG44" s="141"/>
      <c r="AH44" s="29">
        <v>0</v>
      </c>
      <c r="AI44" s="141"/>
      <c r="AJ44" s="141"/>
      <c r="AK44" s="34" t="s">
        <v>57</v>
      </c>
      <c r="AL44" s="35" t="s">
        <v>58</v>
      </c>
      <c r="AM44" s="129">
        <v>2</v>
      </c>
    </row>
    <row r="45" spans="1:39" ht="33.75" x14ac:dyDescent="0.25">
      <c r="A45" s="142"/>
      <c r="B45" s="143"/>
      <c r="C45" s="143"/>
      <c r="D45" s="143"/>
      <c r="E45" s="143"/>
      <c r="F45" s="110" t="s">
        <v>158</v>
      </c>
      <c r="G45" s="110"/>
      <c r="H45" s="110"/>
      <c r="I45" s="110"/>
      <c r="J45" s="144"/>
      <c r="K45" s="145">
        <f>SUM(K33:K44)</f>
        <v>99.980000000000018</v>
      </c>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3"/>
      <c r="AL45" s="146"/>
      <c r="AM45" s="144"/>
    </row>
    <row r="46" spans="1:39" x14ac:dyDescent="0.25">
      <c r="A46" s="147"/>
      <c r="B46" s="148"/>
      <c r="C46" s="148"/>
      <c r="D46" s="148" t="s">
        <v>232</v>
      </c>
      <c r="E46" s="148"/>
      <c r="F46" s="148"/>
      <c r="G46" s="148"/>
      <c r="H46" s="148"/>
      <c r="I46" s="148"/>
      <c r="J46" s="148"/>
      <c r="K46" s="149"/>
      <c r="L46" s="148"/>
      <c r="M46" s="148"/>
      <c r="N46" s="148"/>
      <c r="O46" s="148"/>
      <c r="P46" s="150"/>
      <c r="Q46" s="148"/>
      <c r="R46" s="148"/>
      <c r="S46" s="148"/>
      <c r="T46" s="148"/>
      <c r="U46" s="148"/>
      <c r="V46" s="148"/>
      <c r="W46" s="148"/>
      <c r="X46" s="148"/>
      <c r="Y46" s="148"/>
      <c r="Z46" s="148"/>
      <c r="AA46" s="148"/>
      <c r="AB46" s="148"/>
      <c r="AC46" s="148"/>
      <c r="AD46" s="148"/>
      <c r="AE46" s="148"/>
      <c r="AF46" s="148"/>
      <c r="AG46" s="148"/>
      <c r="AH46" s="150"/>
      <c r="AI46" s="148"/>
      <c r="AJ46" s="148"/>
      <c r="AK46" s="148"/>
      <c r="AL46" s="151"/>
      <c r="AM46" s="148"/>
    </row>
    <row r="47" spans="1:39" ht="22.5" x14ac:dyDescent="0.25">
      <c r="A47" s="152" t="s">
        <v>233</v>
      </c>
      <c r="B47" s="153"/>
      <c r="C47" s="153"/>
      <c r="D47" s="153"/>
      <c r="E47" s="153"/>
      <c r="F47" s="153"/>
      <c r="G47" s="153"/>
      <c r="H47" s="153"/>
      <c r="I47" s="153"/>
      <c r="J47" s="153"/>
      <c r="K47" s="154"/>
      <c r="L47" s="153"/>
      <c r="M47" s="153"/>
      <c r="N47" s="153"/>
      <c r="O47" s="153"/>
      <c r="P47" s="155"/>
      <c r="Q47" s="153"/>
      <c r="R47" s="153"/>
      <c r="S47" s="153"/>
      <c r="T47" s="153"/>
      <c r="U47" s="153"/>
      <c r="V47" s="153"/>
      <c r="W47" s="153"/>
      <c r="X47" s="153"/>
      <c r="Y47" s="153"/>
      <c r="Z47" s="153"/>
      <c r="AA47" s="153"/>
      <c r="AB47" s="153"/>
      <c r="AC47" s="153"/>
      <c r="AD47" s="153"/>
      <c r="AE47" s="153"/>
      <c r="AF47" s="153"/>
      <c r="AG47" s="153"/>
      <c r="AH47" s="155"/>
      <c r="AI47" s="153"/>
      <c r="AJ47" s="153"/>
      <c r="AK47" s="153"/>
      <c r="AL47" s="156"/>
      <c r="AM47" s="153"/>
    </row>
    <row r="48" spans="1:39" ht="112.5" x14ac:dyDescent="0.25">
      <c r="A48" s="157" t="s">
        <v>234</v>
      </c>
      <c r="B48" s="157" t="s">
        <v>235</v>
      </c>
      <c r="C48" s="157"/>
      <c r="D48" s="157" t="s">
        <v>236</v>
      </c>
      <c r="E48" s="157"/>
      <c r="F48" s="157" t="s">
        <v>237</v>
      </c>
      <c r="G48" s="158" t="s">
        <v>238</v>
      </c>
      <c r="H48" s="158" t="s">
        <v>239</v>
      </c>
      <c r="I48" s="158" t="s">
        <v>240</v>
      </c>
      <c r="J48" s="157" t="s">
        <v>241</v>
      </c>
      <c r="K48" s="24">
        <v>15.84</v>
      </c>
      <c r="L48" s="159" t="s">
        <v>242</v>
      </c>
      <c r="M48" s="160"/>
      <c r="N48" s="161">
        <v>1</v>
      </c>
      <c r="O48" s="161">
        <v>1</v>
      </c>
      <c r="P48" s="162">
        <f>+O48/N48</f>
        <v>1</v>
      </c>
      <c r="Q48" s="161" t="s">
        <v>243</v>
      </c>
      <c r="R48" s="161" t="s">
        <v>244</v>
      </c>
      <c r="S48" s="163">
        <v>41913</v>
      </c>
      <c r="T48" s="163">
        <v>41974</v>
      </c>
      <c r="U48" s="164">
        <v>133800000</v>
      </c>
      <c r="V48" s="163"/>
      <c r="W48" s="163" t="s">
        <v>55</v>
      </c>
      <c r="X48" s="163"/>
      <c r="Y48" s="163"/>
      <c r="Z48" s="163"/>
      <c r="AA48" s="163"/>
      <c r="AB48" s="163"/>
      <c r="AC48" s="163"/>
      <c r="AD48" s="163"/>
      <c r="AE48" s="163"/>
      <c r="AF48" s="164">
        <v>133800000</v>
      </c>
      <c r="AG48" s="164">
        <v>133800000</v>
      </c>
      <c r="AH48" s="26">
        <f>+AG48/AF48</f>
        <v>1</v>
      </c>
      <c r="AI48" s="163" t="s">
        <v>245</v>
      </c>
      <c r="AJ48" s="163"/>
      <c r="AK48" s="163" t="s">
        <v>246</v>
      </c>
      <c r="AL48" s="163" t="s">
        <v>247</v>
      </c>
      <c r="AM48" s="165">
        <v>0</v>
      </c>
    </row>
    <row r="49" spans="1:39" ht="45" x14ac:dyDescent="0.25">
      <c r="A49" s="158"/>
      <c r="B49" s="158"/>
      <c r="C49" s="158"/>
      <c r="D49" s="158"/>
      <c r="E49" s="158"/>
      <c r="F49" s="158"/>
      <c r="G49" s="158"/>
      <c r="H49" s="158"/>
      <c r="I49" s="158"/>
      <c r="J49" s="157" t="s">
        <v>248</v>
      </c>
      <c r="K49" s="24">
        <v>5.6</v>
      </c>
      <c r="L49" s="159" t="s">
        <v>229</v>
      </c>
      <c r="M49" s="159"/>
      <c r="N49" s="165">
        <v>1</v>
      </c>
      <c r="O49" s="161">
        <v>1</v>
      </c>
      <c r="P49" s="162">
        <f t="shared" ref="P49:P55" si="9">+O49/N49</f>
        <v>1</v>
      </c>
      <c r="Q49" s="161" t="s">
        <v>249</v>
      </c>
      <c r="R49" s="161" t="s">
        <v>250</v>
      </c>
      <c r="S49" s="166"/>
      <c r="T49" s="166"/>
      <c r="U49" s="166"/>
      <c r="V49" s="166"/>
      <c r="W49" s="166"/>
      <c r="X49" s="166"/>
      <c r="Y49" s="166"/>
      <c r="Z49" s="166"/>
      <c r="AA49" s="166"/>
      <c r="AB49" s="166"/>
      <c r="AC49" s="166"/>
      <c r="AD49" s="166"/>
      <c r="AE49" s="166"/>
      <c r="AF49" s="166"/>
      <c r="AG49" s="166"/>
      <c r="AH49" s="167"/>
      <c r="AI49" s="166"/>
      <c r="AJ49" s="166"/>
      <c r="AK49" s="161" t="s">
        <v>246</v>
      </c>
      <c r="AL49" s="168" t="s">
        <v>247</v>
      </c>
      <c r="AM49" s="165">
        <v>1</v>
      </c>
    </row>
    <row r="50" spans="1:39" ht="112.5" x14ac:dyDescent="0.25">
      <c r="A50" s="158"/>
      <c r="B50" s="158"/>
      <c r="C50" s="158"/>
      <c r="D50" s="158"/>
      <c r="E50" s="158"/>
      <c r="F50" s="158"/>
      <c r="G50" s="158"/>
      <c r="H50" s="158"/>
      <c r="I50" s="158"/>
      <c r="J50" s="157" t="s">
        <v>251</v>
      </c>
      <c r="K50" s="24">
        <v>9.68</v>
      </c>
      <c r="L50" s="159" t="s">
        <v>229</v>
      </c>
      <c r="M50" s="159"/>
      <c r="N50" s="165">
        <v>1</v>
      </c>
      <c r="O50" s="161">
        <v>1</v>
      </c>
      <c r="P50" s="162">
        <f t="shared" si="9"/>
        <v>1</v>
      </c>
      <c r="Q50" s="157" t="s">
        <v>252</v>
      </c>
      <c r="R50" s="157" t="s">
        <v>253</v>
      </c>
      <c r="S50" s="166"/>
      <c r="T50" s="166"/>
      <c r="U50" s="166"/>
      <c r="V50" s="166"/>
      <c r="W50" s="166"/>
      <c r="X50" s="166"/>
      <c r="Y50" s="166"/>
      <c r="Z50" s="166"/>
      <c r="AA50" s="166"/>
      <c r="AB50" s="166"/>
      <c r="AC50" s="166"/>
      <c r="AD50" s="166"/>
      <c r="AE50" s="166"/>
      <c r="AF50" s="166"/>
      <c r="AG50" s="166"/>
      <c r="AH50" s="167"/>
      <c r="AI50" s="166"/>
      <c r="AJ50" s="166"/>
      <c r="AK50" s="161" t="s">
        <v>246</v>
      </c>
      <c r="AL50" s="168" t="s">
        <v>247</v>
      </c>
      <c r="AM50" s="165">
        <v>1</v>
      </c>
    </row>
    <row r="51" spans="1:39" ht="45" x14ac:dyDescent="0.25">
      <c r="A51" s="158"/>
      <c r="B51" s="158"/>
      <c r="C51" s="158"/>
      <c r="D51" s="158"/>
      <c r="E51" s="158"/>
      <c r="F51" s="158"/>
      <c r="G51" s="158"/>
      <c r="H51" s="158"/>
      <c r="I51" s="158"/>
      <c r="J51" s="157" t="s">
        <v>254</v>
      </c>
      <c r="K51" s="24">
        <v>8.64</v>
      </c>
      <c r="L51" s="159" t="s">
        <v>255</v>
      </c>
      <c r="M51" s="159"/>
      <c r="N51" s="165">
        <v>1</v>
      </c>
      <c r="O51" s="161">
        <v>1</v>
      </c>
      <c r="P51" s="162">
        <f>+O51/N51</f>
        <v>1</v>
      </c>
      <c r="Q51" s="158"/>
      <c r="R51" s="158"/>
      <c r="S51" s="166"/>
      <c r="T51" s="166"/>
      <c r="U51" s="166"/>
      <c r="V51" s="166"/>
      <c r="W51" s="166"/>
      <c r="X51" s="166"/>
      <c r="Y51" s="166"/>
      <c r="Z51" s="166"/>
      <c r="AA51" s="166"/>
      <c r="AB51" s="166"/>
      <c r="AC51" s="166"/>
      <c r="AD51" s="166"/>
      <c r="AE51" s="166"/>
      <c r="AF51" s="166"/>
      <c r="AG51" s="166"/>
      <c r="AH51" s="167"/>
      <c r="AI51" s="166"/>
      <c r="AJ51" s="166"/>
      <c r="AK51" s="161" t="s">
        <v>246</v>
      </c>
      <c r="AL51" s="168" t="s">
        <v>247</v>
      </c>
      <c r="AM51" s="165">
        <v>1</v>
      </c>
    </row>
    <row r="52" spans="1:39" ht="45" x14ac:dyDescent="0.25">
      <c r="A52" s="158"/>
      <c r="B52" s="158"/>
      <c r="C52" s="158"/>
      <c r="D52" s="158"/>
      <c r="E52" s="158"/>
      <c r="F52" s="158"/>
      <c r="G52" s="158"/>
      <c r="H52" s="158"/>
      <c r="I52" s="158"/>
      <c r="J52" s="157" t="s">
        <v>256</v>
      </c>
      <c r="K52" s="169">
        <v>5.36</v>
      </c>
      <c r="L52" s="159" t="s">
        <v>257</v>
      </c>
      <c r="M52" s="159"/>
      <c r="N52" s="165">
        <v>1</v>
      </c>
      <c r="O52" s="161">
        <v>1</v>
      </c>
      <c r="P52" s="162">
        <f t="shared" si="9"/>
        <v>1</v>
      </c>
      <c r="Q52" s="170"/>
      <c r="R52" s="170"/>
      <c r="S52" s="171"/>
      <c r="T52" s="171"/>
      <c r="U52" s="171"/>
      <c r="V52" s="171"/>
      <c r="W52" s="171"/>
      <c r="X52" s="171"/>
      <c r="Y52" s="171"/>
      <c r="Z52" s="171"/>
      <c r="AA52" s="171"/>
      <c r="AB52" s="171"/>
      <c r="AC52" s="171"/>
      <c r="AD52" s="171"/>
      <c r="AE52" s="171"/>
      <c r="AF52" s="171"/>
      <c r="AG52" s="171"/>
      <c r="AH52" s="172"/>
      <c r="AI52" s="171"/>
      <c r="AJ52" s="171"/>
      <c r="AK52" s="161" t="s">
        <v>246</v>
      </c>
      <c r="AL52" s="168" t="s">
        <v>247</v>
      </c>
      <c r="AM52" s="165">
        <v>1</v>
      </c>
    </row>
    <row r="53" spans="1:39" ht="281.25" x14ac:dyDescent="0.25">
      <c r="A53" s="158"/>
      <c r="B53" s="158"/>
      <c r="C53" s="158"/>
      <c r="D53" s="158"/>
      <c r="E53" s="158"/>
      <c r="F53" s="158"/>
      <c r="G53" s="173" t="s">
        <v>258</v>
      </c>
      <c r="H53" s="173" t="s">
        <v>259</v>
      </c>
      <c r="I53" s="174" t="s">
        <v>260</v>
      </c>
      <c r="J53" s="175" t="s">
        <v>261</v>
      </c>
      <c r="K53" s="169">
        <v>14.08</v>
      </c>
      <c r="L53" s="176" t="s">
        <v>262</v>
      </c>
      <c r="M53" s="159"/>
      <c r="N53" s="165">
        <v>1</v>
      </c>
      <c r="O53" s="161">
        <v>1</v>
      </c>
      <c r="P53" s="162">
        <f t="shared" si="9"/>
        <v>1</v>
      </c>
      <c r="Q53" s="161" t="s">
        <v>263</v>
      </c>
      <c r="R53" s="161" t="s">
        <v>264</v>
      </c>
      <c r="S53" s="177">
        <v>41852</v>
      </c>
      <c r="T53" s="177">
        <v>41944</v>
      </c>
      <c r="U53" s="178">
        <v>63342000</v>
      </c>
      <c r="V53" s="161" t="s">
        <v>55</v>
      </c>
      <c r="W53" s="161"/>
      <c r="X53" s="161"/>
      <c r="Y53" s="161"/>
      <c r="Z53" s="161"/>
      <c r="AA53" s="161" t="s">
        <v>55</v>
      </c>
      <c r="AB53" s="161"/>
      <c r="AC53" s="161"/>
      <c r="AD53" s="161"/>
      <c r="AE53" s="161"/>
      <c r="AF53" s="178">
        <v>63342000</v>
      </c>
      <c r="AG53" s="179">
        <v>63342000</v>
      </c>
      <c r="AH53" s="162">
        <f>+AG53/AF53</f>
        <v>1</v>
      </c>
      <c r="AI53" s="161" t="s">
        <v>245</v>
      </c>
      <c r="AJ53" s="161" t="s">
        <v>265</v>
      </c>
      <c r="AK53" s="161" t="s">
        <v>246</v>
      </c>
      <c r="AL53" s="173" t="s">
        <v>247</v>
      </c>
      <c r="AM53" s="165">
        <v>0</v>
      </c>
    </row>
    <row r="54" spans="1:39" ht="101.25" x14ac:dyDescent="0.25">
      <c r="A54" s="158"/>
      <c r="B54" s="158"/>
      <c r="C54" s="158"/>
      <c r="D54" s="158"/>
      <c r="E54" s="158"/>
      <c r="F54" s="158"/>
      <c r="G54" s="157" t="s">
        <v>266</v>
      </c>
      <c r="H54" s="157" t="s">
        <v>267</v>
      </c>
      <c r="I54" s="175" t="s">
        <v>268</v>
      </c>
      <c r="J54" s="180"/>
      <c r="K54" s="181"/>
      <c r="L54" s="182"/>
      <c r="M54" s="159"/>
      <c r="N54" s="165">
        <v>1</v>
      </c>
      <c r="O54" s="165">
        <v>0</v>
      </c>
      <c r="P54" s="162">
        <f t="shared" si="9"/>
        <v>0</v>
      </c>
      <c r="Q54" s="161" t="s">
        <v>269</v>
      </c>
      <c r="R54" s="161" t="s">
        <v>73</v>
      </c>
      <c r="S54" s="177">
        <v>41944</v>
      </c>
      <c r="T54" s="177">
        <v>41974</v>
      </c>
      <c r="U54" s="183">
        <v>97262185.920000002</v>
      </c>
      <c r="V54" s="161"/>
      <c r="W54" s="161" t="s">
        <v>55</v>
      </c>
      <c r="X54" s="161"/>
      <c r="Y54" s="161"/>
      <c r="Z54" s="161"/>
      <c r="AA54" s="161"/>
      <c r="AB54" s="161"/>
      <c r="AC54" s="161"/>
      <c r="AD54" s="161"/>
      <c r="AE54" s="161"/>
      <c r="AF54" s="183">
        <v>97262185.920000002</v>
      </c>
      <c r="AG54" s="179">
        <v>0</v>
      </c>
      <c r="AH54" s="162">
        <f t="shared" ref="AH54:AH55" si="10">+AG54/AF54</f>
        <v>0</v>
      </c>
      <c r="AI54" s="161" t="s">
        <v>245</v>
      </c>
      <c r="AJ54" s="161"/>
      <c r="AK54" s="161" t="s">
        <v>246</v>
      </c>
      <c r="AL54" s="157" t="s">
        <v>247</v>
      </c>
      <c r="AM54" s="165"/>
    </row>
    <row r="55" spans="1:39" ht="213.75" x14ac:dyDescent="0.25">
      <c r="A55" s="158"/>
      <c r="B55" s="158"/>
      <c r="C55" s="158"/>
      <c r="D55" s="158"/>
      <c r="E55" s="158"/>
      <c r="F55" s="158"/>
      <c r="G55" s="157" t="s">
        <v>270</v>
      </c>
      <c r="H55" s="157" t="s">
        <v>271</v>
      </c>
      <c r="I55" s="157" t="s">
        <v>272</v>
      </c>
      <c r="J55" s="184" t="s">
        <v>273</v>
      </c>
      <c r="K55" s="169">
        <v>19.239999999999998</v>
      </c>
      <c r="L55" s="185" t="s">
        <v>274</v>
      </c>
      <c r="M55" s="157"/>
      <c r="N55" s="186">
        <v>1</v>
      </c>
      <c r="O55" s="186">
        <v>0</v>
      </c>
      <c r="P55" s="26">
        <f t="shared" si="9"/>
        <v>0</v>
      </c>
      <c r="Q55" s="161" t="s">
        <v>275</v>
      </c>
      <c r="R55" s="161" t="s">
        <v>73</v>
      </c>
      <c r="S55" s="187">
        <v>41883</v>
      </c>
      <c r="T55" s="187">
        <v>41974</v>
      </c>
      <c r="U55" s="188">
        <v>450000000</v>
      </c>
      <c r="V55" s="187" t="s">
        <v>55</v>
      </c>
      <c r="W55" s="187" t="s">
        <v>55</v>
      </c>
      <c r="X55" s="187"/>
      <c r="Y55" s="187" t="s">
        <v>55</v>
      </c>
      <c r="Z55" s="187"/>
      <c r="AA55" s="187"/>
      <c r="AB55" s="187"/>
      <c r="AC55" s="187"/>
      <c r="AD55" s="187"/>
      <c r="AE55" s="187"/>
      <c r="AF55" s="188">
        <v>450000000</v>
      </c>
      <c r="AG55" s="188">
        <v>449444320</v>
      </c>
      <c r="AH55" s="26">
        <f t="shared" si="10"/>
        <v>0.99876515555555556</v>
      </c>
      <c r="AI55" s="187" t="s">
        <v>245</v>
      </c>
      <c r="AJ55" s="187" t="s">
        <v>276</v>
      </c>
      <c r="AK55" s="161"/>
      <c r="AL55" s="157"/>
      <c r="AM55" s="165"/>
    </row>
    <row r="56" spans="1:39" ht="57" thickBot="1" x14ac:dyDescent="0.3">
      <c r="A56" s="158"/>
      <c r="B56" s="158"/>
      <c r="C56" s="158"/>
      <c r="D56" s="158"/>
      <c r="E56" s="158"/>
      <c r="F56" s="158"/>
      <c r="G56" s="170"/>
      <c r="H56" s="170"/>
      <c r="I56" s="170"/>
      <c r="J56" s="180"/>
      <c r="K56" s="189"/>
      <c r="L56" s="190"/>
      <c r="M56" s="170"/>
      <c r="N56" s="170"/>
      <c r="O56" s="170"/>
      <c r="P56" s="191"/>
      <c r="Q56" s="161" t="s">
        <v>277</v>
      </c>
      <c r="R56" s="161" t="s">
        <v>278</v>
      </c>
      <c r="S56" s="171"/>
      <c r="T56" s="171"/>
      <c r="U56" s="171"/>
      <c r="V56" s="171"/>
      <c r="W56" s="171"/>
      <c r="X56" s="171"/>
      <c r="Y56" s="171"/>
      <c r="Z56" s="171"/>
      <c r="AA56" s="171"/>
      <c r="AB56" s="171"/>
      <c r="AC56" s="171"/>
      <c r="AD56" s="171"/>
      <c r="AE56" s="171"/>
      <c r="AF56" s="171"/>
      <c r="AG56" s="171"/>
      <c r="AH56" s="191"/>
      <c r="AI56" s="171"/>
      <c r="AJ56" s="171"/>
      <c r="AK56" s="161" t="s">
        <v>246</v>
      </c>
      <c r="AL56" s="192" t="s">
        <v>247</v>
      </c>
      <c r="AM56" s="165">
        <v>0</v>
      </c>
    </row>
    <row r="57" spans="1:39" ht="135" x14ac:dyDescent="0.25">
      <c r="A57" s="158"/>
      <c r="B57" s="158"/>
      <c r="C57" s="158"/>
      <c r="D57" s="158"/>
      <c r="E57" s="158"/>
      <c r="F57" s="170"/>
      <c r="G57" s="193" t="s">
        <v>279</v>
      </c>
      <c r="H57" s="193" t="s">
        <v>280</v>
      </c>
      <c r="I57" s="193" t="s">
        <v>281</v>
      </c>
      <c r="J57" s="157" t="s">
        <v>282</v>
      </c>
      <c r="K57" s="189">
        <v>21.56</v>
      </c>
      <c r="L57" s="159" t="s">
        <v>283</v>
      </c>
      <c r="M57" s="194"/>
      <c r="N57" s="195">
        <v>1</v>
      </c>
      <c r="O57" s="195">
        <v>1</v>
      </c>
      <c r="P57" s="196">
        <f>+O57/N57</f>
        <v>1</v>
      </c>
      <c r="Q57" s="195" t="s">
        <v>284</v>
      </c>
      <c r="R57" s="195" t="s">
        <v>285</v>
      </c>
      <c r="S57" s="195" t="s">
        <v>286</v>
      </c>
      <c r="T57" s="195" t="s">
        <v>90</v>
      </c>
      <c r="U57" s="197">
        <v>45900000</v>
      </c>
      <c r="V57" s="197">
        <v>45900000</v>
      </c>
      <c r="W57" s="195" t="s">
        <v>55</v>
      </c>
      <c r="X57" s="195"/>
      <c r="Y57" s="195"/>
      <c r="Z57" s="195"/>
      <c r="AA57" s="195"/>
      <c r="AB57" s="195"/>
      <c r="AC57" s="195"/>
      <c r="AD57" s="195"/>
      <c r="AE57" s="195"/>
      <c r="AF57" s="197">
        <v>45900000</v>
      </c>
      <c r="AG57" s="198">
        <v>45735584.590000004</v>
      </c>
      <c r="AH57" s="196">
        <f>+AG57/AF57</f>
        <v>0.99641796492374735</v>
      </c>
      <c r="AI57" s="195" t="s">
        <v>287</v>
      </c>
      <c r="AJ57" s="195"/>
      <c r="AK57" s="199"/>
      <c r="AL57" s="200" t="s">
        <v>288</v>
      </c>
      <c r="AM57" s="165">
        <v>1</v>
      </c>
    </row>
    <row r="58" spans="1:39" ht="33.75" x14ac:dyDescent="0.25">
      <c r="A58" s="158"/>
      <c r="B58" s="158"/>
      <c r="C58" s="158"/>
      <c r="D58" s="158"/>
      <c r="E58" s="158"/>
      <c r="F58" s="110" t="s">
        <v>158</v>
      </c>
      <c r="G58" s="201"/>
      <c r="H58" s="201"/>
      <c r="I58" s="201"/>
      <c r="J58" s="202"/>
      <c r="K58" s="203">
        <f>SUM(K48:K57)</f>
        <v>100</v>
      </c>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204"/>
      <c r="AM58" s="126"/>
    </row>
    <row r="59" spans="1:39" ht="33.75" x14ac:dyDescent="0.25">
      <c r="A59" s="158"/>
      <c r="B59" s="158"/>
      <c r="C59" s="158"/>
      <c r="D59" s="158"/>
      <c r="E59" s="158"/>
      <c r="F59" s="205" t="s">
        <v>289</v>
      </c>
      <c r="G59" s="205"/>
      <c r="H59" s="205"/>
      <c r="I59" s="205"/>
      <c r="J59" s="206" t="s">
        <v>290</v>
      </c>
      <c r="K59" s="24">
        <f>+(0.167*100)/2.5</f>
        <v>6.68</v>
      </c>
      <c r="L59" s="206" t="s">
        <v>291</v>
      </c>
      <c r="M59" s="206"/>
      <c r="N59" s="206"/>
      <c r="O59" s="206"/>
      <c r="P59" s="119">
        <v>0</v>
      </c>
      <c r="Q59" s="206"/>
      <c r="R59" s="206"/>
      <c r="S59" s="206"/>
      <c r="T59" s="206"/>
      <c r="U59" s="206"/>
      <c r="V59" s="206"/>
      <c r="W59" s="206"/>
      <c r="X59" s="206"/>
      <c r="Y59" s="206"/>
      <c r="Z59" s="206"/>
      <c r="AA59" s="206"/>
      <c r="AB59" s="206"/>
      <c r="AC59" s="206"/>
      <c r="AD59" s="206"/>
      <c r="AE59" s="206"/>
      <c r="AF59" s="206"/>
      <c r="AG59" s="206"/>
      <c r="AH59" s="26">
        <v>0</v>
      </c>
      <c r="AI59" s="206"/>
      <c r="AJ59" s="206"/>
      <c r="AK59" s="207" t="s">
        <v>292</v>
      </c>
      <c r="AL59" s="208" t="s">
        <v>293</v>
      </c>
      <c r="AM59" s="209">
        <v>1</v>
      </c>
    </row>
    <row r="60" spans="1:39" ht="180" x14ac:dyDescent="0.25">
      <c r="A60" s="158"/>
      <c r="B60" s="158"/>
      <c r="C60" s="158"/>
      <c r="D60" s="158"/>
      <c r="E60" s="158"/>
      <c r="F60" s="210"/>
      <c r="G60" s="211" t="s">
        <v>294</v>
      </c>
      <c r="H60" s="211" t="s">
        <v>295</v>
      </c>
      <c r="I60" s="211" t="s">
        <v>296</v>
      </c>
      <c r="J60" s="206" t="s">
        <v>297</v>
      </c>
      <c r="K60" s="24">
        <f>+(1.112*100)/2.5</f>
        <v>44.480000000000004</v>
      </c>
      <c r="L60" s="206" t="s">
        <v>298</v>
      </c>
      <c r="M60" s="206"/>
      <c r="N60" s="209">
        <v>1</v>
      </c>
      <c r="O60" s="209">
        <v>1</v>
      </c>
      <c r="P60" s="119">
        <f>+O60/N60</f>
        <v>1</v>
      </c>
      <c r="Q60" s="209" t="s">
        <v>299</v>
      </c>
      <c r="R60" s="209" t="s">
        <v>300</v>
      </c>
      <c r="S60" s="209" t="s">
        <v>90</v>
      </c>
      <c r="T60" s="212" t="s">
        <v>301</v>
      </c>
      <c r="U60" s="213">
        <v>7747778296.71</v>
      </c>
      <c r="V60" s="213">
        <v>7747778296.71</v>
      </c>
      <c r="W60" s="214"/>
      <c r="X60" s="214"/>
      <c r="Y60" s="214"/>
      <c r="Z60" s="214" t="s">
        <v>55</v>
      </c>
      <c r="AA60" s="214"/>
      <c r="AB60" s="214"/>
      <c r="AC60" s="214"/>
      <c r="AD60" s="214"/>
      <c r="AE60" s="214"/>
      <c r="AF60" s="213">
        <v>7747778296.71</v>
      </c>
      <c r="AG60" s="215">
        <v>6735265689.2099991</v>
      </c>
      <c r="AH60" s="26">
        <f>+AG60/AF60</f>
        <v>0.86931574849915982</v>
      </c>
      <c r="AI60" s="216" t="s">
        <v>302</v>
      </c>
      <c r="AJ60" s="209" t="s">
        <v>303</v>
      </c>
      <c r="AK60" s="207" t="s">
        <v>292</v>
      </c>
      <c r="AL60" s="207" t="s">
        <v>293</v>
      </c>
      <c r="AM60" s="209">
        <v>1</v>
      </c>
    </row>
    <row r="61" spans="1:39" ht="33.75" x14ac:dyDescent="0.25">
      <c r="A61" s="158"/>
      <c r="B61" s="158"/>
      <c r="C61" s="158"/>
      <c r="D61" s="158"/>
      <c r="E61" s="158"/>
      <c r="F61" s="210"/>
      <c r="G61" s="210"/>
      <c r="H61" s="210"/>
      <c r="I61" s="210"/>
      <c r="J61" s="206" t="s">
        <v>304</v>
      </c>
      <c r="K61" s="24">
        <f>+(0.174*100)/2.5</f>
        <v>6.9599999999999991</v>
      </c>
      <c r="L61" s="206" t="s">
        <v>305</v>
      </c>
      <c r="M61" s="206"/>
      <c r="N61" s="206"/>
      <c r="O61" s="206"/>
      <c r="P61" s="119">
        <v>0</v>
      </c>
      <c r="Q61" s="206"/>
      <c r="R61" s="206"/>
      <c r="S61" s="206"/>
      <c r="T61" s="206"/>
      <c r="U61" s="206"/>
      <c r="V61" s="206"/>
      <c r="W61" s="206"/>
      <c r="X61" s="206"/>
      <c r="Y61" s="206"/>
      <c r="Z61" s="206"/>
      <c r="AA61" s="206"/>
      <c r="AB61" s="206"/>
      <c r="AC61" s="206"/>
      <c r="AD61" s="206"/>
      <c r="AE61" s="206"/>
      <c r="AF61" s="206"/>
      <c r="AG61" s="206"/>
      <c r="AH61" s="26">
        <v>0</v>
      </c>
      <c r="AI61" s="206"/>
      <c r="AJ61" s="206"/>
      <c r="AK61" s="207" t="s">
        <v>292</v>
      </c>
      <c r="AL61" s="208" t="s">
        <v>293</v>
      </c>
      <c r="AM61" s="209">
        <v>1</v>
      </c>
    </row>
    <row r="62" spans="1:39" ht="135" x14ac:dyDescent="0.25">
      <c r="A62" s="158"/>
      <c r="B62" s="158"/>
      <c r="C62" s="158"/>
      <c r="D62" s="158"/>
      <c r="E62" s="158"/>
      <c r="F62" s="210"/>
      <c r="G62" s="210"/>
      <c r="H62" s="210"/>
      <c r="I62" s="210"/>
      <c r="J62" s="206" t="s">
        <v>306</v>
      </c>
      <c r="K62" s="24">
        <f>+(0.286*100)/2.5</f>
        <v>11.44</v>
      </c>
      <c r="L62" s="206" t="s">
        <v>307</v>
      </c>
      <c r="M62" s="206"/>
      <c r="N62" s="206"/>
      <c r="O62" s="206"/>
      <c r="P62" s="119">
        <v>0</v>
      </c>
      <c r="Q62" s="206"/>
      <c r="R62" s="206"/>
      <c r="S62" s="206"/>
      <c r="T62" s="206"/>
      <c r="U62" s="206"/>
      <c r="V62" s="206"/>
      <c r="W62" s="206"/>
      <c r="X62" s="206"/>
      <c r="Y62" s="206"/>
      <c r="Z62" s="206"/>
      <c r="AA62" s="206"/>
      <c r="AB62" s="206"/>
      <c r="AC62" s="206"/>
      <c r="AD62" s="206"/>
      <c r="AE62" s="206"/>
      <c r="AF62" s="206"/>
      <c r="AG62" s="206"/>
      <c r="AH62" s="26">
        <v>0</v>
      </c>
      <c r="AI62" s="206"/>
      <c r="AJ62" s="206"/>
      <c r="AK62" s="207" t="s">
        <v>292</v>
      </c>
      <c r="AL62" s="208" t="s">
        <v>293</v>
      </c>
      <c r="AM62" s="209">
        <v>1</v>
      </c>
    </row>
    <row r="63" spans="1:39" ht="45" x14ac:dyDescent="0.25">
      <c r="A63" s="158"/>
      <c r="B63" s="158"/>
      <c r="C63" s="158"/>
      <c r="D63" s="158"/>
      <c r="E63" s="158"/>
      <c r="F63" s="210"/>
      <c r="G63" s="210"/>
      <c r="H63" s="210"/>
      <c r="I63" s="210"/>
      <c r="J63" s="217" t="s">
        <v>308</v>
      </c>
      <c r="K63" s="169">
        <f>+(0.383*100)/2.5</f>
        <v>15.319999999999999</v>
      </c>
      <c r="L63" s="206" t="s">
        <v>309</v>
      </c>
      <c r="M63" s="206"/>
      <c r="N63" s="206"/>
      <c r="O63" s="206"/>
      <c r="P63" s="119">
        <v>0</v>
      </c>
      <c r="Q63" s="206"/>
      <c r="R63" s="206"/>
      <c r="S63" s="206"/>
      <c r="T63" s="206"/>
      <c r="U63" s="206"/>
      <c r="V63" s="206"/>
      <c r="W63" s="206"/>
      <c r="X63" s="206"/>
      <c r="Y63" s="206"/>
      <c r="Z63" s="206"/>
      <c r="AA63" s="206"/>
      <c r="AB63" s="206"/>
      <c r="AC63" s="206"/>
      <c r="AD63" s="206"/>
      <c r="AE63" s="206"/>
      <c r="AF63" s="206"/>
      <c r="AG63" s="206"/>
      <c r="AH63" s="26">
        <v>0</v>
      </c>
      <c r="AI63" s="206"/>
      <c r="AJ63" s="206"/>
      <c r="AK63" s="207" t="s">
        <v>292</v>
      </c>
      <c r="AL63" s="208" t="s">
        <v>293</v>
      </c>
      <c r="AM63" s="209">
        <v>3</v>
      </c>
    </row>
    <row r="64" spans="1:39" ht="101.25" x14ac:dyDescent="0.25">
      <c r="A64" s="158"/>
      <c r="B64" s="158"/>
      <c r="C64" s="158"/>
      <c r="D64" s="158"/>
      <c r="E64" s="158"/>
      <c r="F64" s="210"/>
      <c r="G64" s="205" t="s">
        <v>310</v>
      </c>
      <c r="H64" s="205" t="s">
        <v>311</v>
      </c>
      <c r="I64" s="205" t="s">
        <v>312</v>
      </c>
      <c r="J64" s="218" t="s">
        <v>313</v>
      </c>
      <c r="K64" s="169">
        <f>+(0.193*100)/2.5</f>
        <v>7.7200000000000006</v>
      </c>
      <c r="L64" s="219" t="s">
        <v>314</v>
      </c>
      <c r="M64" s="220"/>
      <c r="N64" s="221">
        <v>1</v>
      </c>
      <c r="O64" s="221">
        <v>1</v>
      </c>
      <c r="P64" s="55">
        <f>+O64/N64</f>
        <v>1</v>
      </c>
      <c r="Q64" s="209" t="s">
        <v>315</v>
      </c>
      <c r="R64" s="209" t="s">
        <v>137</v>
      </c>
      <c r="S64" s="209" t="s">
        <v>316</v>
      </c>
      <c r="T64" s="209" t="s">
        <v>317</v>
      </c>
      <c r="U64" s="213">
        <v>60000000</v>
      </c>
      <c r="V64" s="222">
        <v>60000000</v>
      </c>
      <c r="W64" s="213" t="s">
        <v>55</v>
      </c>
      <c r="X64" s="213"/>
      <c r="Y64" s="213"/>
      <c r="Z64" s="213"/>
      <c r="AA64" s="213"/>
      <c r="AB64" s="213"/>
      <c r="AC64" s="213"/>
      <c r="AD64" s="213"/>
      <c r="AE64" s="213"/>
      <c r="AF64" s="222">
        <v>60000000</v>
      </c>
      <c r="AG64" s="213">
        <v>60000000</v>
      </c>
      <c r="AH64" s="26">
        <f>+AG64/AF64</f>
        <v>1</v>
      </c>
      <c r="AI64" s="213" t="s">
        <v>318</v>
      </c>
      <c r="AJ64" s="213" t="s">
        <v>319</v>
      </c>
      <c r="AK64" s="213" t="s">
        <v>292</v>
      </c>
      <c r="AL64" s="213" t="s">
        <v>293</v>
      </c>
      <c r="AM64" s="209">
        <v>1</v>
      </c>
    </row>
    <row r="65" spans="1:39" ht="56.25" x14ac:dyDescent="0.25">
      <c r="A65" s="158"/>
      <c r="B65" s="158"/>
      <c r="C65" s="158"/>
      <c r="D65" s="158"/>
      <c r="E65" s="158"/>
      <c r="F65" s="210"/>
      <c r="G65" s="210"/>
      <c r="H65" s="210"/>
      <c r="I65" s="223"/>
      <c r="J65" s="224"/>
      <c r="K65" s="189"/>
      <c r="L65" s="225"/>
      <c r="M65" s="226"/>
      <c r="N65" s="226"/>
      <c r="O65" s="226"/>
      <c r="P65" s="227"/>
      <c r="Q65" s="209" t="s">
        <v>320</v>
      </c>
      <c r="R65" s="209" t="s">
        <v>321</v>
      </c>
      <c r="S65" s="209" t="s">
        <v>316</v>
      </c>
      <c r="T65" s="209" t="s">
        <v>317</v>
      </c>
      <c r="U65" s="228"/>
      <c r="V65" s="228"/>
      <c r="W65" s="228"/>
      <c r="X65" s="228"/>
      <c r="Y65" s="228"/>
      <c r="Z65" s="228"/>
      <c r="AA65" s="228"/>
      <c r="AB65" s="228"/>
      <c r="AC65" s="228"/>
      <c r="AD65" s="228"/>
      <c r="AE65" s="228"/>
      <c r="AF65" s="228"/>
      <c r="AG65" s="228"/>
      <c r="AH65" s="229"/>
      <c r="AI65" s="228"/>
      <c r="AJ65" s="228"/>
      <c r="AK65" s="228"/>
      <c r="AL65" s="228"/>
      <c r="AM65" s="209"/>
    </row>
    <row r="66" spans="1:39" ht="78.75" x14ac:dyDescent="0.25">
      <c r="A66" s="158"/>
      <c r="B66" s="158"/>
      <c r="C66" s="158"/>
      <c r="D66" s="170"/>
      <c r="E66" s="170"/>
      <c r="F66" s="230"/>
      <c r="G66" s="230"/>
      <c r="H66" s="230"/>
      <c r="I66" s="230"/>
      <c r="J66" s="206" t="s">
        <v>322</v>
      </c>
      <c r="K66" s="189">
        <f>+(0.182*100)/2.5</f>
        <v>7.2799999999999994</v>
      </c>
      <c r="L66" s="206" t="s">
        <v>229</v>
      </c>
      <c r="M66" s="206"/>
      <c r="N66" s="206"/>
      <c r="O66" s="206"/>
      <c r="P66" s="55">
        <v>0</v>
      </c>
      <c r="Q66" s="206"/>
      <c r="R66" s="206"/>
      <c r="S66" s="206"/>
      <c r="T66" s="206"/>
      <c r="U66" s="206"/>
      <c r="V66" s="206"/>
      <c r="W66" s="206"/>
      <c r="X66" s="206"/>
      <c r="Y66" s="206"/>
      <c r="Z66" s="206"/>
      <c r="AA66" s="206"/>
      <c r="AB66" s="206"/>
      <c r="AC66" s="206"/>
      <c r="AD66" s="206"/>
      <c r="AE66" s="206"/>
      <c r="AF66" s="206"/>
      <c r="AG66" s="206"/>
      <c r="AH66" s="26">
        <v>0</v>
      </c>
      <c r="AI66" s="206"/>
      <c r="AJ66" s="206"/>
      <c r="AK66" s="231" t="s">
        <v>323</v>
      </c>
      <c r="AL66" s="232" t="s">
        <v>293</v>
      </c>
      <c r="AM66" s="209">
        <v>1</v>
      </c>
    </row>
    <row r="67" spans="1:39" ht="33.75" x14ac:dyDescent="0.25">
      <c r="A67" s="158"/>
      <c r="B67" s="158"/>
      <c r="C67" s="158"/>
      <c r="D67" s="233"/>
      <c r="E67" s="233"/>
      <c r="F67" s="110" t="s">
        <v>158</v>
      </c>
      <c r="G67" s="201"/>
      <c r="H67" s="201"/>
      <c r="I67" s="201"/>
      <c r="J67" s="234"/>
      <c r="K67" s="235">
        <f>SUM(K59:K66)</f>
        <v>99.88</v>
      </c>
      <c r="L67" s="234"/>
      <c r="M67" s="234"/>
      <c r="N67" s="234"/>
      <c r="O67" s="234"/>
      <c r="P67" s="234"/>
      <c r="Q67" s="234"/>
      <c r="R67" s="234"/>
      <c r="S67" s="234"/>
      <c r="T67" s="234"/>
      <c r="U67" s="234"/>
      <c r="V67" s="234"/>
      <c r="W67" s="234"/>
      <c r="X67" s="234"/>
      <c r="Y67" s="234"/>
      <c r="Z67" s="234"/>
      <c r="AA67" s="234"/>
      <c r="AB67" s="234"/>
      <c r="AC67" s="234"/>
      <c r="AD67" s="234"/>
      <c r="AE67" s="234"/>
      <c r="AF67" s="234"/>
      <c r="AG67" s="234"/>
      <c r="AH67" s="234"/>
      <c r="AI67" s="234"/>
      <c r="AJ67" s="234"/>
      <c r="AK67" s="144"/>
      <c r="AL67" s="236"/>
      <c r="AM67" s="237"/>
    </row>
    <row r="68" spans="1:39" ht="22.5" x14ac:dyDescent="0.25">
      <c r="A68" s="158"/>
      <c r="B68" s="158"/>
      <c r="C68" s="158"/>
      <c r="D68" s="238" t="s">
        <v>232</v>
      </c>
      <c r="E68" s="238"/>
      <c r="F68" s="239"/>
      <c r="G68" s="239"/>
      <c r="H68" s="239"/>
      <c r="I68" s="239"/>
      <c r="J68" s="240"/>
      <c r="K68" s="241"/>
      <c r="L68" s="240"/>
      <c r="M68" s="240"/>
      <c r="N68" s="240"/>
      <c r="O68" s="240"/>
      <c r="P68" s="234"/>
      <c r="Q68" s="240"/>
      <c r="R68" s="240"/>
      <c r="S68" s="240"/>
      <c r="T68" s="240"/>
      <c r="U68" s="240"/>
      <c r="V68" s="240"/>
      <c r="W68" s="240"/>
      <c r="X68" s="240"/>
      <c r="Y68" s="240"/>
      <c r="Z68" s="240"/>
      <c r="AA68" s="240"/>
      <c r="AB68" s="240"/>
      <c r="AC68" s="240"/>
      <c r="AD68" s="240"/>
      <c r="AE68" s="240"/>
      <c r="AF68" s="240"/>
      <c r="AG68" s="240"/>
      <c r="AH68" s="234"/>
      <c r="AI68" s="240"/>
      <c r="AJ68" s="240"/>
      <c r="AK68" s="242"/>
      <c r="AL68" s="243"/>
      <c r="AM68" s="242"/>
    </row>
    <row r="69" spans="1:39" ht="101.25" x14ac:dyDescent="0.25">
      <c r="A69" s="158"/>
      <c r="B69" s="158"/>
      <c r="C69" s="158"/>
      <c r="D69" s="244" t="s">
        <v>324</v>
      </c>
      <c r="E69" s="244"/>
      <c r="F69" s="205" t="s">
        <v>325</v>
      </c>
      <c r="G69" s="210" t="s">
        <v>326</v>
      </c>
      <c r="H69" s="210"/>
      <c r="I69" s="210"/>
      <c r="J69" s="245" t="s">
        <v>327</v>
      </c>
      <c r="K69" s="24">
        <f>+(1.067*100)/2</f>
        <v>53.349999999999994</v>
      </c>
      <c r="L69" s="246" t="s">
        <v>328</v>
      </c>
      <c r="M69" s="205"/>
      <c r="N69" s="247">
        <v>1</v>
      </c>
      <c r="O69" s="248">
        <v>1</v>
      </c>
      <c r="P69" s="119">
        <f t="shared" ref="P69:P70" si="11">+O69/N69</f>
        <v>1</v>
      </c>
      <c r="Q69" s="249" t="s">
        <v>329</v>
      </c>
      <c r="R69" s="249" t="s">
        <v>330</v>
      </c>
      <c r="S69" s="249" t="s">
        <v>331</v>
      </c>
      <c r="T69" s="249" t="s">
        <v>89</v>
      </c>
      <c r="U69" s="250">
        <f>350000000+38000000</f>
        <v>388000000</v>
      </c>
      <c r="V69" s="250">
        <f>350000000+38000000</f>
        <v>388000000</v>
      </c>
      <c r="W69" s="249"/>
      <c r="X69" s="249"/>
      <c r="Y69" s="249"/>
      <c r="Z69" s="249" t="s">
        <v>55</v>
      </c>
      <c r="AA69" s="249"/>
      <c r="AB69" s="249"/>
      <c r="AC69" s="249"/>
      <c r="AD69" s="249"/>
      <c r="AE69" s="249"/>
      <c r="AF69" s="250">
        <f>350000000+38000000</f>
        <v>388000000</v>
      </c>
      <c r="AG69" s="251">
        <f>349972000+38000000</f>
        <v>387972000</v>
      </c>
      <c r="AH69" s="26">
        <f t="shared" ref="AH69:AH70" si="12">+AG69/AF69</f>
        <v>0.99992783505154637</v>
      </c>
      <c r="AI69" s="249" t="s">
        <v>56</v>
      </c>
      <c r="AJ69" s="249"/>
      <c r="AK69" s="249" t="s">
        <v>292</v>
      </c>
      <c r="AL69" s="252" t="s">
        <v>293</v>
      </c>
      <c r="AM69" s="231">
        <v>1</v>
      </c>
    </row>
    <row r="70" spans="1:39" ht="135" x14ac:dyDescent="0.25">
      <c r="A70" s="158"/>
      <c r="B70" s="158"/>
      <c r="C70" s="158"/>
      <c r="D70" s="253"/>
      <c r="E70" s="253"/>
      <c r="F70" s="210"/>
      <c r="G70" s="211" t="s">
        <v>332</v>
      </c>
      <c r="H70" s="211" t="s">
        <v>333</v>
      </c>
      <c r="I70" s="211" t="s">
        <v>334</v>
      </c>
      <c r="J70" s="245" t="s">
        <v>335</v>
      </c>
      <c r="K70" s="24">
        <f>+(0.716*100)/2</f>
        <v>35.799999999999997</v>
      </c>
      <c r="L70" s="206" t="s">
        <v>336</v>
      </c>
      <c r="M70" s="246"/>
      <c r="N70" s="254">
        <v>1</v>
      </c>
      <c r="O70" s="255">
        <v>1</v>
      </c>
      <c r="P70" s="119">
        <f t="shared" si="11"/>
        <v>1</v>
      </c>
      <c r="Q70" s="255" t="s">
        <v>337</v>
      </c>
      <c r="R70" s="255" t="s">
        <v>338</v>
      </c>
      <c r="S70" s="255" t="s">
        <v>339</v>
      </c>
      <c r="T70" s="255" t="s">
        <v>89</v>
      </c>
      <c r="U70" s="256">
        <v>400000000</v>
      </c>
      <c r="V70" s="256">
        <v>400000000</v>
      </c>
      <c r="W70" s="255"/>
      <c r="X70" s="255"/>
      <c r="Y70" s="255"/>
      <c r="Z70" s="255" t="s">
        <v>55</v>
      </c>
      <c r="AA70" s="255"/>
      <c r="AB70" s="255"/>
      <c r="AC70" s="255"/>
      <c r="AD70" s="255"/>
      <c r="AE70" s="255"/>
      <c r="AF70" s="256">
        <v>400000000</v>
      </c>
      <c r="AG70" s="257">
        <v>399999999.75999999</v>
      </c>
      <c r="AH70" s="26">
        <f t="shared" si="12"/>
        <v>0.99999999939999995</v>
      </c>
      <c r="AI70" s="255" t="s">
        <v>56</v>
      </c>
      <c r="AJ70" s="255"/>
      <c r="AK70" s="247" t="s">
        <v>292</v>
      </c>
      <c r="AL70" s="258" t="s">
        <v>293</v>
      </c>
      <c r="AM70" s="254">
        <v>1</v>
      </c>
    </row>
    <row r="71" spans="1:39" ht="56.25" x14ac:dyDescent="0.25">
      <c r="A71" s="158"/>
      <c r="B71" s="158"/>
      <c r="C71" s="158"/>
      <c r="D71" s="253"/>
      <c r="E71" s="253"/>
      <c r="F71" s="230"/>
      <c r="G71" s="230"/>
      <c r="H71" s="230"/>
      <c r="I71" s="230"/>
      <c r="J71" s="245" t="s">
        <v>340</v>
      </c>
      <c r="K71" s="24">
        <f>+(0.217*100)/2</f>
        <v>10.85</v>
      </c>
      <c r="L71" s="259" t="s">
        <v>341</v>
      </c>
      <c r="M71" s="259"/>
      <c r="N71" s="259"/>
      <c r="O71" s="259"/>
      <c r="P71" s="119">
        <v>0</v>
      </c>
      <c r="Q71" s="259"/>
      <c r="R71" s="259"/>
      <c r="S71" s="259"/>
      <c r="T71" s="259"/>
      <c r="U71" s="259"/>
      <c r="V71" s="259"/>
      <c r="W71" s="259"/>
      <c r="X71" s="259"/>
      <c r="Y71" s="259"/>
      <c r="Z71" s="259"/>
      <c r="AA71" s="259"/>
      <c r="AB71" s="259"/>
      <c r="AC71" s="259"/>
      <c r="AD71" s="259"/>
      <c r="AE71" s="259"/>
      <c r="AF71" s="259"/>
      <c r="AG71" s="259"/>
      <c r="AH71" s="119">
        <v>0</v>
      </c>
      <c r="AI71" s="259"/>
      <c r="AJ71" s="259"/>
      <c r="AK71" s="259" t="s">
        <v>292</v>
      </c>
      <c r="AL71" s="260" t="s">
        <v>293</v>
      </c>
      <c r="AM71" s="231">
        <v>1</v>
      </c>
    </row>
    <row r="72" spans="1:39" ht="33.75" x14ac:dyDescent="0.25">
      <c r="A72" s="158"/>
      <c r="B72" s="158"/>
      <c r="C72" s="158"/>
      <c r="D72" s="253"/>
      <c r="E72" s="253"/>
      <c r="F72" s="110" t="s">
        <v>158</v>
      </c>
      <c r="G72" s="110"/>
      <c r="H72" s="110"/>
      <c r="I72" s="110"/>
      <c r="J72" s="261"/>
      <c r="K72" s="262">
        <f>SUM(K69:K71)</f>
        <v>99.999999999999986</v>
      </c>
      <c r="L72" s="261"/>
      <c r="M72" s="261"/>
      <c r="N72" s="261"/>
      <c r="O72" s="261"/>
      <c r="P72" s="261"/>
      <c r="Q72" s="261"/>
      <c r="R72" s="261"/>
      <c r="S72" s="261"/>
      <c r="T72" s="261"/>
      <c r="U72" s="261"/>
      <c r="V72" s="261"/>
      <c r="W72" s="261"/>
      <c r="X72" s="261"/>
      <c r="Y72" s="261"/>
      <c r="Z72" s="261"/>
      <c r="AA72" s="261"/>
      <c r="AB72" s="261"/>
      <c r="AC72" s="261"/>
      <c r="AD72" s="261"/>
      <c r="AE72" s="261"/>
      <c r="AF72" s="261"/>
      <c r="AG72" s="261"/>
      <c r="AH72" s="261"/>
      <c r="AI72" s="261"/>
      <c r="AJ72" s="261"/>
      <c r="AK72" s="144"/>
      <c r="AL72" s="113"/>
      <c r="AM72" s="263"/>
    </row>
    <row r="73" spans="1:39" ht="202.5" x14ac:dyDescent="0.25">
      <c r="A73" s="158"/>
      <c r="B73" s="158"/>
      <c r="C73" s="158"/>
      <c r="D73" s="253"/>
      <c r="E73" s="253"/>
      <c r="F73" s="118" t="s">
        <v>342</v>
      </c>
      <c r="G73" s="264"/>
      <c r="H73" s="264"/>
      <c r="I73" s="264"/>
      <c r="J73" s="115" t="s">
        <v>343</v>
      </c>
      <c r="K73" s="24">
        <f>+(0.212*100)/3</f>
        <v>7.0666666666666664</v>
      </c>
      <c r="L73" s="115" t="s">
        <v>344</v>
      </c>
      <c r="M73" s="115"/>
      <c r="N73" s="115"/>
      <c r="O73" s="115"/>
      <c r="P73" s="119">
        <v>0</v>
      </c>
      <c r="Q73" s="115"/>
      <c r="R73" s="115"/>
      <c r="S73" s="115"/>
      <c r="T73" s="115"/>
      <c r="U73" s="115"/>
      <c r="V73" s="115"/>
      <c r="W73" s="115"/>
      <c r="X73" s="115"/>
      <c r="Y73" s="115"/>
      <c r="Z73" s="115"/>
      <c r="AA73" s="115"/>
      <c r="AB73" s="115"/>
      <c r="AC73" s="115"/>
      <c r="AD73" s="115"/>
      <c r="AE73" s="115"/>
      <c r="AF73" s="115"/>
      <c r="AG73" s="115"/>
      <c r="AH73" s="119">
        <v>0</v>
      </c>
      <c r="AI73" s="115"/>
      <c r="AJ73" s="115"/>
      <c r="AK73" s="265" t="s">
        <v>292</v>
      </c>
      <c r="AL73" s="35" t="s">
        <v>293</v>
      </c>
      <c r="AM73" s="265" t="s">
        <v>345</v>
      </c>
    </row>
    <row r="74" spans="1:39" ht="45" x14ac:dyDescent="0.25">
      <c r="A74" s="158"/>
      <c r="B74" s="158"/>
      <c r="C74" s="158"/>
      <c r="D74" s="253"/>
      <c r="E74" s="253"/>
      <c r="F74" s="266"/>
      <c r="G74" s="266"/>
      <c r="H74" s="266"/>
      <c r="I74" s="266"/>
      <c r="J74" s="115" t="s">
        <v>346</v>
      </c>
      <c r="K74" s="24">
        <f>+(0.455*100)/3</f>
        <v>15.166666666666666</v>
      </c>
      <c r="L74" s="115" t="s">
        <v>347</v>
      </c>
      <c r="M74" s="115"/>
      <c r="N74" s="115"/>
      <c r="O74" s="115"/>
      <c r="P74" s="119">
        <v>0</v>
      </c>
      <c r="Q74" s="115"/>
      <c r="R74" s="115"/>
      <c r="S74" s="115"/>
      <c r="T74" s="115"/>
      <c r="U74" s="115"/>
      <c r="V74" s="115"/>
      <c r="W74" s="115"/>
      <c r="X74" s="115"/>
      <c r="Y74" s="115"/>
      <c r="Z74" s="115"/>
      <c r="AA74" s="115"/>
      <c r="AB74" s="115"/>
      <c r="AC74" s="115"/>
      <c r="AD74" s="115"/>
      <c r="AE74" s="115"/>
      <c r="AF74" s="115"/>
      <c r="AG74" s="115"/>
      <c r="AH74" s="119">
        <v>0</v>
      </c>
      <c r="AI74" s="115"/>
      <c r="AJ74" s="115"/>
      <c r="AK74" s="265" t="s">
        <v>292</v>
      </c>
      <c r="AL74" s="35" t="s">
        <v>293</v>
      </c>
      <c r="AM74" s="265">
        <v>1</v>
      </c>
    </row>
    <row r="75" spans="1:39" ht="90" x14ac:dyDescent="0.25">
      <c r="A75" s="158"/>
      <c r="B75" s="158"/>
      <c r="C75" s="158"/>
      <c r="D75" s="253"/>
      <c r="E75" s="253"/>
      <c r="F75" s="266"/>
      <c r="G75" s="117" t="s">
        <v>348</v>
      </c>
      <c r="H75" s="117" t="s">
        <v>349</v>
      </c>
      <c r="I75" s="117" t="s">
        <v>350</v>
      </c>
      <c r="J75" s="115" t="s">
        <v>351</v>
      </c>
      <c r="K75" s="24">
        <f>+(1.174*100)/3</f>
        <v>39.133333333333333</v>
      </c>
      <c r="L75" s="115" t="s">
        <v>352</v>
      </c>
      <c r="M75" s="115"/>
      <c r="N75" s="118">
        <v>1</v>
      </c>
      <c r="O75" s="118">
        <v>1</v>
      </c>
      <c r="P75" s="119">
        <f>+O75/N75</f>
        <v>1</v>
      </c>
      <c r="Q75" s="118" t="s">
        <v>353</v>
      </c>
      <c r="R75" s="118" t="s">
        <v>354</v>
      </c>
      <c r="S75" s="118" t="s">
        <v>339</v>
      </c>
      <c r="T75" s="118" t="s">
        <v>355</v>
      </c>
      <c r="U75" s="267">
        <v>3791502663.8800001</v>
      </c>
      <c r="V75" s="267">
        <v>3791502663.8800001</v>
      </c>
      <c r="W75" s="118"/>
      <c r="X75" s="118"/>
      <c r="Y75" s="118"/>
      <c r="Z75" s="118" t="s">
        <v>55</v>
      </c>
      <c r="AA75" s="118"/>
      <c r="AB75" s="118"/>
      <c r="AC75" s="118"/>
      <c r="AD75" s="118"/>
      <c r="AE75" s="118"/>
      <c r="AF75" s="267">
        <v>3791502663.8800001</v>
      </c>
      <c r="AG75" s="268">
        <v>2085123607.99</v>
      </c>
      <c r="AH75" s="119">
        <f>+AG75/AF75</f>
        <v>0.54994649690057384</v>
      </c>
      <c r="AI75" s="118" t="s">
        <v>356</v>
      </c>
      <c r="AJ75" s="118"/>
      <c r="AK75" s="265" t="s">
        <v>292</v>
      </c>
      <c r="AL75" s="265" t="s">
        <v>293</v>
      </c>
      <c r="AM75" s="118">
        <v>1</v>
      </c>
    </row>
    <row r="76" spans="1:39" ht="33.75" x14ac:dyDescent="0.25">
      <c r="A76" s="158"/>
      <c r="B76" s="158"/>
      <c r="C76" s="158"/>
      <c r="D76" s="253"/>
      <c r="E76" s="253"/>
      <c r="F76" s="266"/>
      <c r="G76" s="266"/>
      <c r="H76" s="266"/>
      <c r="I76" s="266"/>
      <c r="J76" s="115" t="s">
        <v>357</v>
      </c>
      <c r="K76" s="169">
        <f>+(0.153*100)/3</f>
        <v>5.0999999999999996</v>
      </c>
      <c r="L76" s="115" t="s">
        <v>358</v>
      </c>
      <c r="M76" s="115"/>
      <c r="N76" s="115"/>
      <c r="O76" s="115"/>
      <c r="P76" s="119">
        <v>0</v>
      </c>
      <c r="Q76" s="115"/>
      <c r="R76" s="115"/>
      <c r="S76" s="115"/>
      <c r="T76" s="115"/>
      <c r="U76" s="115"/>
      <c r="V76" s="115"/>
      <c r="W76" s="115"/>
      <c r="X76" s="115"/>
      <c r="Y76" s="115"/>
      <c r="Z76" s="115"/>
      <c r="AA76" s="115"/>
      <c r="AB76" s="115"/>
      <c r="AC76" s="115"/>
      <c r="AD76" s="115"/>
      <c r="AE76" s="115"/>
      <c r="AF76" s="115"/>
      <c r="AG76" s="115"/>
      <c r="AH76" s="119">
        <v>0</v>
      </c>
      <c r="AI76" s="115"/>
      <c r="AJ76" s="115"/>
      <c r="AK76" s="265" t="s">
        <v>292</v>
      </c>
      <c r="AL76" s="35" t="s">
        <v>293</v>
      </c>
      <c r="AM76" s="118">
        <v>1</v>
      </c>
    </row>
    <row r="77" spans="1:39" ht="101.25" x14ac:dyDescent="0.25">
      <c r="A77" s="158"/>
      <c r="B77" s="158"/>
      <c r="C77" s="158"/>
      <c r="D77" s="253"/>
      <c r="E77" s="253"/>
      <c r="F77" s="266"/>
      <c r="G77" s="139" t="s">
        <v>359</v>
      </c>
      <c r="H77" s="139" t="s">
        <v>360</v>
      </c>
      <c r="I77" s="139" t="s">
        <v>361</v>
      </c>
      <c r="J77" s="269" t="s">
        <v>362</v>
      </c>
      <c r="K77" s="169">
        <f>+(0.388*100)/3</f>
        <v>12.933333333333335</v>
      </c>
      <c r="L77" s="270" t="s">
        <v>363</v>
      </c>
      <c r="M77" s="22"/>
      <c r="N77" s="271">
        <v>0.8</v>
      </c>
      <c r="O77" s="36">
        <v>0.8</v>
      </c>
      <c r="P77" s="26">
        <f>+O77/N77</f>
        <v>1</v>
      </c>
      <c r="Q77" s="272" t="s">
        <v>364</v>
      </c>
      <c r="R77" s="272" t="s">
        <v>365</v>
      </c>
      <c r="S77" s="273" t="s">
        <v>90</v>
      </c>
      <c r="T77" s="273" t="s">
        <v>366</v>
      </c>
      <c r="U77" s="274">
        <v>380000000</v>
      </c>
      <c r="V77" s="274">
        <v>380000000</v>
      </c>
      <c r="W77" s="274" t="s">
        <v>55</v>
      </c>
      <c r="X77" s="274"/>
      <c r="Y77" s="274"/>
      <c r="Z77" s="274"/>
      <c r="AA77" s="274"/>
      <c r="AB77" s="274"/>
      <c r="AC77" s="274"/>
      <c r="AD77" s="274"/>
      <c r="AE77" s="274"/>
      <c r="AF77" s="274">
        <v>380000000</v>
      </c>
      <c r="AG77" s="274">
        <v>380000000</v>
      </c>
      <c r="AH77" s="119">
        <f t="shared" ref="AH77" si="13">+AG77/AF77</f>
        <v>1</v>
      </c>
      <c r="AI77" s="274" t="s">
        <v>367</v>
      </c>
      <c r="AJ77" s="274"/>
      <c r="AK77" s="274" t="s">
        <v>292</v>
      </c>
      <c r="AL77" s="274" t="s">
        <v>293</v>
      </c>
      <c r="AM77" s="272">
        <v>0.8</v>
      </c>
    </row>
    <row r="78" spans="1:39" ht="67.5" x14ac:dyDescent="0.25">
      <c r="A78" s="158"/>
      <c r="B78" s="158"/>
      <c r="C78" s="158"/>
      <c r="D78" s="253"/>
      <c r="E78" s="253"/>
      <c r="F78" s="266"/>
      <c r="G78" s="266"/>
      <c r="H78" s="266"/>
      <c r="I78" s="266"/>
      <c r="J78" s="269"/>
      <c r="K78" s="189"/>
      <c r="L78" s="270"/>
      <c r="M78" s="42"/>
      <c r="N78" s="42"/>
      <c r="O78" s="42"/>
      <c r="P78" s="162"/>
      <c r="Q78" s="272" t="s">
        <v>368</v>
      </c>
      <c r="R78" s="272" t="s">
        <v>369</v>
      </c>
      <c r="S78" s="275"/>
      <c r="T78" s="275"/>
      <c r="U78" s="275"/>
      <c r="V78" s="275"/>
      <c r="W78" s="275"/>
      <c r="X78" s="275"/>
      <c r="Y78" s="275"/>
      <c r="Z78" s="275"/>
      <c r="AA78" s="275"/>
      <c r="AB78" s="275"/>
      <c r="AC78" s="275"/>
      <c r="AD78" s="275"/>
      <c r="AE78" s="275"/>
      <c r="AF78" s="275"/>
      <c r="AG78" s="275"/>
      <c r="AH78" s="276"/>
      <c r="AI78" s="275"/>
      <c r="AJ78" s="275"/>
      <c r="AK78" s="275"/>
      <c r="AL78" s="275"/>
      <c r="AM78" s="272"/>
    </row>
    <row r="79" spans="1:39" ht="146.25" x14ac:dyDescent="0.25">
      <c r="A79" s="158"/>
      <c r="B79" s="158"/>
      <c r="C79" s="158"/>
      <c r="D79" s="253"/>
      <c r="E79" s="253"/>
      <c r="F79" s="266"/>
      <c r="G79" s="266"/>
      <c r="H79" s="266"/>
      <c r="I79" s="266"/>
      <c r="J79" s="115" t="s">
        <v>370</v>
      </c>
      <c r="K79" s="189">
        <f>+(0.413*100)/3</f>
        <v>13.766666666666666</v>
      </c>
      <c r="L79" s="115" t="s">
        <v>371</v>
      </c>
      <c r="M79" s="115"/>
      <c r="N79" s="115"/>
      <c r="O79" s="115"/>
      <c r="P79" s="119">
        <v>0</v>
      </c>
      <c r="Q79" s="115"/>
      <c r="R79" s="115"/>
      <c r="S79" s="115"/>
      <c r="T79" s="115"/>
      <c r="U79" s="115"/>
      <c r="V79" s="115"/>
      <c r="W79" s="115"/>
      <c r="X79" s="115"/>
      <c r="Y79" s="115"/>
      <c r="Z79" s="115"/>
      <c r="AA79" s="115"/>
      <c r="AB79" s="115"/>
      <c r="AC79" s="115"/>
      <c r="AD79" s="115"/>
      <c r="AE79" s="115"/>
      <c r="AF79" s="115"/>
      <c r="AG79" s="115"/>
      <c r="AH79" s="119">
        <v>0</v>
      </c>
      <c r="AI79" s="115"/>
      <c r="AJ79" s="115"/>
      <c r="AK79" s="265" t="s">
        <v>292</v>
      </c>
      <c r="AL79" s="35" t="s">
        <v>293</v>
      </c>
      <c r="AM79" s="272">
        <v>7</v>
      </c>
    </row>
    <row r="80" spans="1:39" ht="45" x14ac:dyDescent="0.25">
      <c r="A80" s="158"/>
      <c r="B80" s="158"/>
      <c r="C80" s="158"/>
      <c r="D80" s="253"/>
      <c r="E80" s="253"/>
      <c r="F80" s="266"/>
      <c r="G80" s="266"/>
      <c r="H80" s="266"/>
      <c r="I80" s="266"/>
      <c r="J80" s="115" t="s">
        <v>372</v>
      </c>
      <c r="K80" s="24">
        <f>+(0.136*100)/3</f>
        <v>4.5333333333333341</v>
      </c>
      <c r="L80" s="115" t="s">
        <v>373</v>
      </c>
      <c r="M80" s="115"/>
      <c r="N80" s="115">
        <v>7</v>
      </c>
      <c r="O80" s="115">
        <v>7</v>
      </c>
      <c r="P80" s="26">
        <f>+O80/N80</f>
        <v>1</v>
      </c>
      <c r="Q80" s="115"/>
      <c r="R80" s="115"/>
      <c r="S80" s="115"/>
      <c r="T80" s="115"/>
      <c r="U80" s="115"/>
      <c r="V80" s="115"/>
      <c r="W80" s="115"/>
      <c r="X80" s="115"/>
      <c r="Y80" s="115"/>
      <c r="Z80" s="115"/>
      <c r="AA80" s="115"/>
      <c r="AB80" s="115"/>
      <c r="AC80" s="115"/>
      <c r="AD80" s="115"/>
      <c r="AE80" s="115"/>
      <c r="AF80" s="115"/>
      <c r="AG80" s="115"/>
      <c r="AH80" s="119">
        <v>0</v>
      </c>
      <c r="AI80" s="115"/>
      <c r="AJ80" s="115"/>
      <c r="AK80" s="265" t="s">
        <v>292</v>
      </c>
      <c r="AL80" s="35" t="s">
        <v>293</v>
      </c>
      <c r="AM80" s="272">
        <v>7</v>
      </c>
    </row>
    <row r="81" spans="1:39" ht="78.75" x14ac:dyDescent="0.25">
      <c r="A81" s="158"/>
      <c r="B81" s="158"/>
      <c r="C81" s="158"/>
      <c r="D81" s="277"/>
      <c r="E81" s="277"/>
      <c r="F81" s="278"/>
      <c r="G81" s="278"/>
      <c r="H81" s="278"/>
      <c r="I81" s="278"/>
      <c r="J81" s="115" t="s">
        <v>374</v>
      </c>
      <c r="K81" s="24">
        <f>+(0.068*100)/3</f>
        <v>2.2666666666666671</v>
      </c>
      <c r="L81" s="115" t="s">
        <v>375</v>
      </c>
      <c r="M81" s="115"/>
      <c r="N81" s="115"/>
      <c r="O81" s="115"/>
      <c r="P81" s="119">
        <v>0</v>
      </c>
      <c r="Q81" s="115"/>
      <c r="R81" s="115"/>
      <c r="S81" s="115"/>
      <c r="T81" s="115"/>
      <c r="U81" s="115"/>
      <c r="V81" s="115"/>
      <c r="W81" s="115"/>
      <c r="X81" s="115"/>
      <c r="Y81" s="115"/>
      <c r="Z81" s="115"/>
      <c r="AA81" s="115"/>
      <c r="AB81" s="115"/>
      <c r="AC81" s="115"/>
      <c r="AD81" s="115"/>
      <c r="AE81" s="115"/>
      <c r="AF81" s="115"/>
      <c r="AG81" s="115"/>
      <c r="AH81" s="119">
        <v>0</v>
      </c>
      <c r="AI81" s="115"/>
      <c r="AJ81" s="115"/>
      <c r="AK81" s="265" t="s">
        <v>292</v>
      </c>
      <c r="AL81" s="35" t="s">
        <v>293</v>
      </c>
      <c r="AM81" s="118">
        <v>1</v>
      </c>
    </row>
    <row r="82" spans="1:39" ht="33.75" x14ac:dyDescent="0.25">
      <c r="A82" s="158"/>
      <c r="B82" s="158"/>
      <c r="C82" s="158"/>
      <c r="D82" s="143"/>
      <c r="E82" s="143"/>
      <c r="F82" s="110" t="s">
        <v>158</v>
      </c>
      <c r="G82" s="110"/>
      <c r="H82" s="110"/>
      <c r="I82" s="110"/>
      <c r="J82" s="143"/>
      <c r="K82" s="145">
        <f>SUM(K73:K81)</f>
        <v>99.966666666666669</v>
      </c>
      <c r="L82" s="143"/>
      <c r="M82" s="143"/>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6"/>
      <c r="AM82" s="143"/>
    </row>
    <row r="83" spans="1:39" ht="23.25" thickBot="1" x14ac:dyDescent="0.3">
      <c r="A83" s="158"/>
      <c r="B83" s="158"/>
      <c r="C83" s="158"/>
      <c r="D83" s="279" t="s">
        <v>376</v>
      </c>
      <c r="E83" s="279"/>
      <c r="F83" s="280"/>
      <c r="G83" s="280"/>
      <c r="H83" s="280"/>
      <c r="I83" s="280"/>
      <c r="J83" s="280"/>
      <c r="K83" s="281"/>
      <c r="L83" s="280"/>
      <c r="M83" s="280"/>
      <c r="N83" s="280"/>
      <c r="O83" s="280"/>
      <c r="P83" s="143"/>
      <c r="Q83" s="280"/>
      <c r="R83" s="280"/>
      <c r="S83" s="280"/>
      <c r="T83" s="280"/>
      <c r="U83" s="280"/>
      <c r="V83" s="280"/>
      <c r="W83" s="280"/>
      <c r="X83" s="280"/>
      <c r="Y83" s="280"/>
      <c r="Z83" s="280"/>
      <c r="AA83" s="280"/>
      <c r="AB83" s="280"/>
      <c r="AC83" s="280"/>
      <c r="AD83" s="280"/>
      <c r="AE83" s="280"/>
      <c r="AF83" s="280"/>
      <c r="AG83" s="280"/>
      <c r="AH83" s="143"/>
      <c r="AI83" s="280"/>
      <c r="AJ83" s="280"/>
      <c r="AK83" s="280"/>
      <c r="AL83" s="282"/>
      <c r="AM83" s="280"/>
    </row>
    <row r="84" spans="1:39" ht="101.25" x14ac:dyDescent="0.25">
      <c r="A84" s="158"/>
      <c r="B84" s="158"/>
      <c r="C84" s="158"/>
      <c r="D84" s="139" t="s">
        <v>377</v>
      </c>
      <c r="E84" s="139"/>
      <c r="F84" s="139" t="s">
        <v>378</v>
      </c>
      <c r="G84" s="117" t="s">
        <v>379</v>
      </c>
      <c r="H84" s="117" t="s">
        <v>380</v>
      </c>
      <c r="I84" s="117" t="s">
        <v>381</v>
      </c>
      <c r="J84" s="283" t="s">
        <v>382</v>
      </c>
      <c r="K84" s="284">
        <f>+(3.727*100)/5</f>
        <v>74.539999999999992</v>
      </c>
      <c r="L84" s="283" t="s">
        <v>383</v>
      </c>
      <c r="M84" s="283"/>
      <c r="N84" s="285">
        <v>32</v>
      </c>
      <c r="O84" s="285">
        <v>26</v>
      </c>
      <c r="P84" s="119">
        <f>+O84/N84</f>
        <v>0.8125</v>
      </c>
      <c r="Q84" s="117" t="s">
        <v>384</v>
      </c>
      <c r="R84" s="117" t="s">
        <v>385</v>
      </c>
      <c r="S84" s="117" t="s">
        <v>386</v>
      </c>
      <c r="T84" s="117" t="s">
        <v>90</v>
      </c>
      <c r="U84" s="286">
        <v>28000000000</v>
      </c>
      <c r="V84" s="286">
        <v>28000000000</v>
      </c>
      <c r="W84" s="287"/>
      <c r="X84" s="287"/>
      <c r="Y84" s="287"/>
      <c r="Z84" s="287" t="s">
        <v>55</v>
      </c>
      <c r="AA84" s="287"/>
      <c r="AB84" s="287"/>
      <c r="AC84" s="287"/>
      <c r="AD84" s="287"/>
      <c r="AE84" s="287"/>
      <c r="AF84" s="286">
        <v>28000000000</v>
      </c>
      <c r="AG84" s="288">
        <v>27790231179.640003</v>
      </c>
      <c r="AH84" s="289">
        <f>+AG84/AF84</f>
        <v>0.99250825641571438</v>
      </c>
      <c r="AI84" s="287" t="s">
        <v>387</v>
      </c>
      <c r="AJ84" s="287" t="s">
        <v>388</v>
      </c>
      <c r="AK84" s="278" t="s">
        <v>389</v>
      </c>
      <c r="AL84" s="278" t="s">
        <v>390</v>
      </c>
      <c r="AM84" s="265">
        <v>32</v>
      </c>
    </row>
    <row r="85" spans="1:39" ht="146.25" x14ac:dyDescent="0.25">
      <c r="A85" s="158"/>
      <c r="B85" s="158"/>
      <c r="C85" s="158"/>
      <c r="D85" s="266"/>
      <c r="E85" s="266"/>
      <c r="F85" s="266"/>
      <c r="G85" s="117" t="s">
        <v>391</v>
      </c>
      <c r="H85" s="117" t="s">
        <v>380</v>
      </c>
      <c r="I85" s="117" t="s">
        <v>392</v>
      </c>
      <c r="J85" s="266"/>
      <c r="K85" s="284"/>
      <c r="L85" s="266"/>
      <c r="M85" s="266"/>
      <c r="N85" s="266"/>
      <c r="O85" s="266"/>
      <c r="P85" s="290"/>
      <c r="Q85" s="117" t="s">
        <v>393</v>
      </c>
      <c r="R85" s="117" t="s">
        <v>394</v>
      </c>
      <c r="S85" s="117" t="s">
        <v>90</v>
      </c>
      <c r="T85" s="117" t="s">
        <v>90</v>
      </c>
      <c r="U85" s="291">
        <v>9197000000</v>
      </c>
      <c r="V85" s="291">
        <v>9197000000</v>
      </c>
      <c r="W85" s="287"/>
      <c r="X85" s="287"/>
      <c r="Y85" s="287"/>
      <c r="Z85" s="287" t="s">
        <v>55</v>
      </c>
      <c r="AA85" s="287"/>
      <c r="AB85" s="287"/>
      <c r="AC85" s="287"/>
      <c r="AD85" s="287"/>
      <c r="AE85" s="287"/>
      <c r="AF85" s="291">
        <v>9197000000</v>
      </c>
      <c r="AG85" s="288">
        <v>0</v>
      </c>
      <c r="AH85" s="289">
        <f t="shared" ref="AH85:AH89" si="14">+AG85/AF85</f>
        <v>0</v>
      </c>
      <c r="AI85" s="287" t="s">
        <v>387</v>
      </c>
      <c r="AJ85" s="287" t="s">
        <v>395</v>
      </c>
      <c r="AK85" s="278" t="s">
        <v>389</v>
      </c>
      <c r="AL85" s="278" t="s">
        <v>390</v>
      </c>
      <c r="AM85" s="265"/>
    </row>
    <row r="86" spans="1:39" ht="101.25" x14ac:dyDescent="0.25">
      <c r="A86" s="158"/>
      <c r="B86" s="158"/>
      <c r="C86" s="158"/>
      <c r="D86" s="266"/>
      <c r="E86" s="266"/>
      <c r="F86" s="266"/>
      <c r="G86" s="117" t="s">
        <v>396</v>
      </c>
      <c r="H86" s="117" t="s">
        <v>380</v>
      </c>
      <c r="I86" s="117" t="s">
        <v>397</v>
      </c>
      <c r="J86" s="266"/>
      <c r="K86" s="284"/>
      <c r="L86" s="266"/>
      <c r="M86" s="266"/>
      <c r="N86" s="266"/>
      <c r="O86" s="266"/>
      <c r="P86" s="290"/>
      <c r="Q86" s="117" t="s">
        <v>398</v>
      </c>
      <c r="R86" s="117" t="s">
        <v>394</v>
      </c>
      <c r="S86" s="117" t="s">
        <v>399</v>
      </c>
      <c r="T86" s="117" t="s">
        <v>90</v>
      </c>
      <c r="U86" s="291">
        <v>5500000000</v>
      </c>
      <c r="V86" s="291">
        <v>5500000000</v>
      </c>
      <c r="W86" s="287"/>
      <c r="X86" s="287"/>
      <c r="Y86" s="287"/>
      <c r="Z86" s="287" t="s">
        <v>55</v>
      </c>
      <c r="AA86" s="287"/>
      <c r="AB86" s="287"/>
      <c r="AC86" s="287"/>
      <c r="AD86" s="287"/>
      <c r="AE86" s="287"/>
      <c r="AF86" s="291">
        <v>5500000000</v>
      </c>
      <c r="AG86" s="288">
        <v>5499999998.8699999</v>
      </c>
      <c r="AH86" s="289">
        <f t="shared" si="14"/>
        <v>0.99999999979454546</v>
      </c>
      <c r="AI86" s="287" t="s">
        <v>387</v>
      </c>
      <c r="AJ86" s="287" t="s">
        <v>400</v>
      </c>
      <c r="AK86" s="278" t="s">
        <v>389</v>
      </c>
      <c r="AL86" s="278" t="s">
        <v>390</v>
      </c>
      <c r="AM86" s="265"/>
    </row>
    <row r="87" spans="1:39" ht="146.25" x14ac:dyDescent="0.25">
      <c r="A87" s="158"/>
      <c r="B87" s="158"/>
      <c r="C87" s="158"/>
      <c r="D87" s="266"/>
      <c r="E87" s="266"/>
      <c r="F87" s="266"/>
      <c r="G87" s="117" t="s">
        <v>401</v>
      </c>
      <c r="H87" s="117" t="s">
        <v>380</v>
      </c>
      <c r="I87" s="117" t="s">
        <v>402</v>
      </c>
      <c r="J87" s="266"/>
      <c r="K87" s="284"/>
      <c r="L87" s="266"/>
      <c r="M87" s="266"/>
      <c r="N87" s="266"/>
      <c r="O87" s="266"/>
      <c r="P87" s="290"/>
      <c r="Q87" s="117" t="s">
        <v>403</v>
      </c>
      <c r="R87" s="117" t="s">
        <v>394</v>
      </c>
      <c r="S87" s="117" t="s">
        <v>404</v>
      </c>
      <c r="T87" s="117" t="s">
        <v>405</v>
      </c>
      <c r="U87" s="291">
        <v>5100000000</v>
      </c>
      <c r="V87" s="291">
        <v>5100000000</v>
      </c>
      <c r="W87" s="287"/>
      <c r="X87" s="287"/>
      <c r="Y87" s="287"/>
      <c r="Z87" s="287" t="s">
        <v>55</v>
      </c>
      <c r="AA87" s="287"/>
      <c r="AB87" s="287"/>
      <c r="AC87" s="287"/>
      <c r="AD87" s="287"/>
      <c r="AE87" s="287"/>
      <c r="AF87" s="291">
        <v>5100000000</v>
      </c>
      <c r="AG87" s="288">
        <v>5099479584.460001</v>
      </c>
      <c r="AH87" s="289">
        <f t="shared" si="14"/>
        <v>0.99989795773725509</v>
      </c>
      <c r="AI87" s="287" t="s">
        <v>387</v>
      </c>
      <c r="AJ87" s="287" t="s">
        <v>406</v>
      </c>
      <c r="AK87" s="278" t="s">
        <v>389</v>
      </c>
      <c r="AL87" s="278" t="s">
        <v>390</v>
      </c>
      <c r="AM87" s="265"/>
    </row>
    <row r="88" spans="1:39" ht="101.25" x14ac:dyDescent="0.25">
      <c r="A88" s="158"/>
      <c r="B88" s="158"/>
      <c r="C88" s="158"/>
      <c r="D88" s="266"/>
      <c r="E88" s="266"/>
      <c r="F88" s="266"/>
      <c r="G88" s="117" t="s">
        <v>407</v>
      </c>
      <c r="H88" s="117" t="s">
        <v>380</v>
      </c>
      <c r="I88" s="117" t="s">
        <v>408</v>
      </c>
      <c r="J88" s="266"/>
      <c r="K88" s="284"/>
      <c r="L88" s="266"/>
      <c r="M88" s="266"/>
      <c r="N88" s="266"/>
      <c r="O88" s="266"/>
      <c r="P88" s="290"/>
      <c r="Q88" s="117" t="s">
        <v>409</v>
      </c>
      <c r="R88" s="117" t="s">
        <v>410</v>
      </c>
      <c r="S88" s="117" t="s">
        <v>411</v>
      </c>
      <c r="T88" s="117" t="s">
        <v>412</v>
      </c>
      <c r="U88" s="291">
        <v>1125000000</v>
      </c>
      <c r="V88" s="291">
        <v>1125000000</v>
      </c>
      <c r="W88" s="287"/>
      <c r="X88" s="287"/>
      <c r="Y88" s="287"/>
      <c r="Z88" s="287" t="s">
        <v>55</v>
      </c>
      <c r="AA88" s="287"/>
      <c r="AB88" s="287"/>
      <c r="AC88" s="287"/>
      <c r="AD88" s="287"/>
      <c r="AE88" s="287"/>
      <c r="AF88" s="291">
        <v>1125000000</v>
      </c>
      <c r="AG88" s="288">
        <v>1125000000</v>
      </c>
      <c r="AH88" s="289">
        <f t="shared" si="14"/>
        <v>1</v>
      </c>
      <c r="AI88" s="287" t="s">
        <v>387</v>
      </c>
      <c r="AJ88" s="287" t="s">
        <v>413</v>
      </c>
      <c r="AK88" s="278" t="s">
        <v>389</v>
      </c>
      <c r="AL88" s="278" t="s">
        <v>390</v>
      </c>
      <c r="AM88" s="265"/>
    </row>
    <row r="89" spans="1:39" ht="78.75" x14ac:dyDescent="0.25">
      <c r="A89" s="158"/>
      <c r="B89" s="158"/>
      <c r="C89" s="158"/>
      <c r="D89" s="266"/>
      <c r="E89" s="266"/>
      <c r="F89" s="266"/>
      <c r="G89" s="117" t="s">
        <v>414</v>
      </c>
      <c r="H89" s="117" t="s">
        <v>380</v>
      </c>
      <c r="I89" s="117" t="s">
        <v>415</v>
      </c>
      <c r="J89" s="278"/>
      <c r="K89" s="284"/>
      <c r="L89" s="278"/>
      <c r="M89" s="278"/>
      <c r="N89" s="278"/>
      <c r="O89" s="278"/>
      <c r="P89" s="292"/>
      <c r="Q89" s="117" t="s">
        <v>416</v>
      </c>
      <c r="R89" s="117" t="s">
        <v>394</v>
      </c>
      <c r="S89" s="117" t="s">
        <v>417</v>
      </c>
      <c r="T89" s="117" t="s">
        <v>418</v>
      </c>
      <c r="U89" s="291">
        <v>1800000000</v>
      </c>
      <c r="V89" s="291">
        <v>1800000000</v>
      </c>
      <c r="W89" s="287"/>
      <c r="X89" s="287"/>
      <c r="Y89" s="287"/>
      <c r="Z89" s="287" t="s">
        <v>55</v>
      </c>
      <c r="AA89" s="287"/>
      <c r="AB89" s="287"/>
      <c r="AC89" s="287"/>
      <c r="AD89" s="287"/>
      <c r="AE89" s="287"/>
      <c r="AF89" s="291">
        <v>1800000000</v>
      </c>
      <c r="AG89" s="288">
        <v>1800000000</v>
      </c>
      <c r="AH89" s="289">
        <f t="shared" si="14"/>
        <v>1</v>
      </c>
      <c r="AI89" s="287" t="s">
        <v>387</v>
      </c>
      <c r="AJ89" s="287"/>
      <c r="AK89" s="278" t="s">
        <v>389</v>
      </c>
      <c r="AL89" s="278" t="s">
        <v>390</v>
      </c>
      <c r="AM89" s="265"/>
    </row>
    <row r="90" spans="1:39" ht="101.25" x14ac:dyDescent="0.25">
      <c r="A90" s="158"/>
      <c r="B90" s="158"/>
      <c r="C90" s="158"/>
      <c r="D90" s="266"/>
      <c r="E90" s="266"/>
      <c r="F90" s="266"/>
      <c r="G90" s="293" t="s">
        <v>419</v>
      </c>
      <c r="H90" s="293" t="s">
        <v>420</v>
      </c>
      <c r="I90" s="293" t="s">
        <v>421</v>
      </c>
      <c r="J90" s="278"/>
      <c r="K90" s="284"/>
      <c r="L90" s="278"/>
      <c r="M90" s="278"/>
      <c r="N90" s="140">
        <v>32</v>
      </c>
      <c r="O90" s="140">
        <v>0</v>
      </c>
      <c r="P90" s="26">
        <f>+O90/N90</f>
        <v>0</v>
      </c>
      <c r="Q90" s="294" t="s">
        <v>422</v>
      </c>
      <c r="R90" s="294" t="s">
        <v>423</v>
      </c>
      <c r="S90" s="294" t="s">
        <v>424</v>
      </c>
      <c r="T90" s="294" t="s">
        <v>425</v>
      </c>
      <c r="U90" s="295">
        <v>10001000000</v>
      </c>
      <c r="V90" s="295">
        <v>10001000000</v>
      </c>
      <c r="W90" s="293"/>
      <c r="X90" s="293"/>
      <c r="Y90" s="293"/>
      <c r="Z90" s="293" t="s">
        <v>55</v>
      </c>
      <c r="AA90" s="293"/>
      <c r="AB90" s="293"/>
      <c r="AC90" s="293"/>
      <c r="AD90" s="293"/>
      <c r="AE90" s="293"/>
      <c r="AF90" s="295">
        <f t="shared" ref="AF90:AF91" si="15">+V90</f>
        <v>10001000000</v>
      </c>
      <c r="AG90" s="296">
        <v>0</v>
      </c>
      <c r="AH90" s="119">
        <f>+AG90/AF90</f>
        <v>0</v>
      </c>
      <c r="AI90" s="34" t="s">
        <v>387</v>
      </c>
      <c r="AJ90" s="34" t="s">
        <v>426</v>
      </c>
      <c r="AK90" s="34"/>
      <c r="AL90" s="34" t="s">
        <v>427</v>
      </c>
      <c r="AM90" s="265"/>
    </row>
    <row r="91" spans="1:39" ht="135" x14ac:dyDescent="0.25">
      <c r="A91" s="158"/>
      <c r="B91" s="158"/>
      <c r="C91" s="158"/>
      <c r="D91" s="266"/>
      <c r="E91" s="266"/>
      <c r="F91" s="266"/>
      <c r="G91" s="297" t="s">
        <v>428</v>
      </c>
      <c r="H91" s="293" t="s">
        <v>429</v>
      </c>
      <c r="I91" s="298" t="s">
        <v>430</v>
      </c>
      <c r="J91" s="278"/>
      <c r="K91" s="284"/>
      <c r="L91" s="278"/>
      <c r="M91" s="278"/>
      <c r="N91" s="287"/>
      <c r="O91" s="278"/>
      <c r="P91" s="292"/>
      <c r="Q91" s="297" t="s">
        <v>428</v>
      </c>
      <c r="R91" s="294" t="s">
        <v>431</v>
      </c>
      <c r="S91" s="294" t="s">
        <v>89</v>
      </c>
      <c r="T91" s="294" t="s">
        <v>432</v>
      </c>
      <c r="U91" s="295">
        <v>3989298606</v>
      </c>
      <c r="V91" s="295">
        <v>3989298606</v>
      </c>
      <c r="W91" s="298"/>
      <c r="X91" s="298"/>
      <c r="Y91" s="298"/>
      <c r="Z91" s="298" t="s">
        <v>55</v>
      </c>
      <c r="AA91" s="298"/>
      <c r="AB91" s="298"/>
      <c r="AC91" s="298"/>
      <c r="AD91" s="298"/>
      <c r="AE91" s="298"/>
      <c r="AF91" s="295">
        <f t="shared" si="15"/>
        <v>3989298606</v>
      </c>
      <c r="AG91" s="296">
        <v>0</v>
      </c>
      <c r="AH91" s="119">
        <f>+AG91/AF91</f>
        <v>0</v>
      </c>
      <c r="AI91" s="30"/>
      <c r="AJ91" s="30" t="s">
        <v>433</v>
      </c>
      <c r="AK91" s="30"/>
      <c r="AL91" s="30" t="s">
        <v>427</v>
      </c>
      <c r="AM91" s="265"/>
    </row>
    <row r="92" spans="1:39" ht="101.25" x14ac:dyDescent="0.25">
      <c r="A92" s="158"/>
      <c r="B92" s="158"/>
      <c r="C92" s="158"/>
      <c r="D92" s="266"/>
      <c r="E92" s="266"/>
      <c r="F92" s="266"/>
      <c r="G92" s="299" t="s">
        <v>434</v>
      </c>
      <c r="H92" s="300" t="s">
        <v>209</v>
      </c>
      <c r="I92" s="300"/>
      <c r="J92" s="278"/>
      <c r="K92" s="284"/>
      <c r="L92" s="278"/>
      <c r="M92" s="278"/>
      <c r="N92" s="300">
        <v>32</v>
      </c>
      <c r="O92" s="300">
        <v>0</v>
      </c>
      <c r="P92" s="49">
        <f>+O92/N92</f>
        <v>0</v>
      </c>
      <c r="Q92" s="300" t="s">
        <v>435</v>
      </c>
      <c r="R92" s="300" t="s">
        <v>436</v>
      </c>
      <c r="S92" s="300" t="s">
        <v>89</v>
      </c>
      <c r="T92" s="300" t="s">
        <v>432</v>
      </c>
      <c r="U92" s="301">
        <v>9999000000</v>
      </c>
      <c r="V92" s="301">
        <v>9999000000</v>
      </c>
      <c r="W92" s="300"/>
      <c r="X92" s="300"/>
      <c r="Y92" s="300"/>
      <c r="Z92" s="300" t="s">
        <v>55</v>
      </c>
      <c r="AA92" s="300"/>
      <c r="AB92" s="300"/>
      <c r="AC92" s="300"/>
      <c r="AD92" s="300"/>
      <c r="AE92" s="300"/>
      <c r="AF92" s="301">
        <f>+V92</f>
        <v>9999000000</v>
      </c>
      <c r="AG92" s="301">
        <v>4990900000</v>
      </c>
      <c r="AH92" s="302">
        <f>+AG92/AF92</f>
        <v>0.49913991399139912</v>
      </c>
      <c r="AI92" s="300" t="s">
        <v>387</v>
      </c>
      <c r="AJ92" s="300"/>
      <c r="AK92" s="300"/>
      <c r="AL92" s="300" t="s">
        <v>427</v>
      </c>
      <c r="AM92" s="265"/>
    </row>
    <row r="93" spans="1:39" ht="67.5" x14ac:dyDescent="0.25">
      <c r="A93" s="158"/>
      <c r="B93" s="158"/>
      <c r="C93" s="158"/>
      <c r="D93" s="266"/>
      <c r="E93" s="266"/>
      <c r="F93" s="266"/>
      <c r="G93" s="266"/>
      <c r="H93" s="266"/>
      <c r="I93" s="266"/>
      <c r="J93" s="117" t="s">
        <v>437</v>
      </c>
      <c r="K93" s="284">
        <f>+(0.08*100)/5</f>
        <v>1.6</v>
      </c>
      <c r="L93" s="117" t="s">
        <v>438</v>
      </c>
      <c r="M93" s="117"/>
      <c r="N93" s="117"/>
      <c r="O93" s="117"/>
      <c r="P93" s="49">
        <v>0</v>
      </c>
      <c r="Q93" s="117"/>
      <c r="R93" s="117"/>
      <c r="S93" s="117"/>
      <c r="T93" s="117"/>
      <c r="U93" s="117"/>
      <c r="V93" s="117"/>
      <c r="W93" s="117"/>
      <c r="X93" s="117"/>
      <c r="Y93" s="117"/>
      <c r="Z93" s="117"/>
      <c r="AA93" s="117"/>
      <c r="AB93" s="117"/>
      <c r="AC93" s="117"/>
      <c r="AD93" s="117"/>
      <c r="AE93" s="117"/>
      <c r="AF93" s="117"/>
      <c r="AG93" s="117"/>
      <c r="AH93" s="302">
        <v>0</v>
      </c>
      <c r="AI93" s="117"/>
      <c r="AJ93" s="117"/>
      <c r="AK93" s="117" t="s">
        <v>389</v>
      </c>
      <c r="AL93" s="303" t="s">
        <v>390</v>
      </c>
      <c r="AM93" s="265">
        <v>0</v>
      </c>
    </row>
    <row r="94" spans="1:39" ht="33.75" x14ac:dyDescent="0.25">
      <c r="A94" s="158"/>
      <c r="B94" s="158"/>
      <c r="C94" s="158"/>
      <c r="D94" s="266"/>
      <c r="E94" s="266"/>
      <c r="F94" s="266"/>
      <c r="G94" s="266"/>
      <c r="H94" s="266"/>
      <c r="I94" s="266"/>
      <c r="J94" s="117" t="s">
        <v>439</v>
      </c>
      <c r="K94" s="284">
        <f>+(0.055*100)/5</f>
        <v>1.1000000000000001</v>
      </c>
      <c r="L94" s="117" t="s">
        <v>440</v>
      </c>
      <c r="M94" s="117"/>
      <c r="N94" s="117"/>
      <c r="O94" s="117"/>
      <c r="P94" s="49">
        <v>0</v>
      </c>
      <c r="Q94" s="117"/>
      <c r="R94" s="117"/>
      <c r="S94" s="117"/>
      <c r="T94" s="117"/>
      <c r="U94" s="117"/>
      <c r="V94" s="117"/>
      <c r="W94" s="117"/>
      <c r="X94" s="117"/>
      <c r="Y94" s="117"/>
      <c r="Z94" s="117"/>
      <c r="AA94" s="117"/>
      <c r="AB94" s="117"/>
      <c r="AC94" s="117"/>
      <c r="AD94" s="117"/>
      <c r="AE94" s="117"/>
      <c r="AF94" s="117"/>
      <c r="AG94" s="117"/>
      <c r="AH94" s="302">
        <v>0</v>
      </c>
      <c r="AI94" s="117"/>
      <c r="AJ94" s="117"/>
      <c r="AK94" s="117" t="s">
        <v>389</v>
      </c>
      <c r="AL94" s="303" t="s">
        <v>390</v>
      </c>
      <c r="AM94" s="265">
        <v>1</v>
      </c>
    </row>
    <row r="95" spans="1:39" ht="33.75" x14ac:dyDescent="0.25">
      <c r="A95" s="158"/>
      <c r="B95" s="158"/>
      <c r="C95" s="158"/>
      <c r="D95" s="266"/>
      <c r="E95" s="266"/>
      <c r="F95" s="266"/>
      <c r="G95" s="266"/>
      <c r="H95" s="266"/>
      <c r="I95" s="266"/>
      <c r="J95" s="139" t="s">
        <v>441</v>
      </c>
      <c r="K95" s="284">
        <f>+(0.263*100)/5</f>
        <v>5.26</v>
      </c>
      <c r="L95" s="117" t="s">
        <v>442</v>
      </c>
      <c r="M95" s="117"/>
      <c r="N95" s="117"/>
      <c r="O95" s="117"/>
      <c r="P95" s="49">
        <v>0</v>
      </c>
      <c r="Q95" s="117"/>
      <c r="R95" s="117"/>
      <c r="S95" s="117"/>
      <c r="T95" s="117"/>
      <c r="U95" s="117"/>
      <c r="V95" s="117"/>
      <c r="W95" s="117"/>
      <c r="X95" s="117"/>
      <c r="Y95" s="117"/>
      <c r="Z95" s="117"/>
      <c r="AA95" s="117"/>
      <c r="AB95" s="117"/>
      <c r="AC95" s="117"/>
      <c r="AD95" s="117"/>
      <c r="AE95" s="117"/>
      <c r="AF95" s="117"/>
      <c r="AG95" s="117"/>
      <c r="AH95" s="302">
        <v>0</v>
      </c>
      <c r="AI95" s="117"/>
      <c r="AJ95" s="117"/>
      <c r="AK95" s="117" t="s">
        <v>389</v>
      </c>
      <c r="AL95" s="303" t="s">
        <v>390</v>
      </c>
      <c r="AM95" s="265">
        <v>200</v>
      </c>
    </row>
    <row r="96" spans="1:39" ht="90" x14ac:dyDescent="0.25">
      <c r="A96" s="158"/>
      <c r="B96" s="158"/>
      <c r="C96" s="158"/>
      <c r="D96" s="266"/>
      <c r="E96" s="266"/>
      <c r="F96" s="266"/>
      <c r="G96" s="117" t="s">
        <v>443</v>
      </c>
      <c r="H96" s="117" t="s">
        <v>380</v>
      </c>
      <c r="I96" s="304" t="s">
        <v>444</v>
      </c>
      <c r="J96" s="139" t="s">
        <v>445</v>
      </c>
      <c r="K96" s="305">
        <f>+(0.436*100)/5</f>
        <v>8.7200000000000006</v>
      </c>
      <c r="L96" s="139" t="s">
        <v>446</v>
      </c>
      <c r="M96" s="117"/>
      <c r="N96" s="265">
        <v>1</v>
      </c>
      <c r="O96" s="265">
        <v>1</v>
      </c>
      <c r="P96" s="119">
        <f t="shared" ref="P96:P98" si="16">+O96/N96</f>
        <v>1</v>
      </c>
      <c r="Q96" s="117" t="s">
        <v>447</v>
      </c>
      <c r="R96" s="117" t="s">
        <v>448</v>
      </c>
      <c r="S96" s="117" t="s">
        <v>399</v>
      </c>
      <c r="T96" s="117" t="s">
        <v>90</v>
      </c>
      <c r="U96" s="286">
        <v>1800000000</v>
      </c>
      <c r="V96" s="286">
        <v>1800000000</v>
      </c>
      <c r="W96" s="265"/>
      <c r="X96" s="265"/>
      <c r="Y96" s="265"/>
      <c r="Z96" s="265" t="s">
        <v>55</v>
      </c>
      <c r="AA96" s="265"/>
      <c r="AB96" s="265"/>
      <c r="AC96" s="265"/>
      <c r="AD96" s="265"/>
      <c r="AE96" s="265"/>
      <c r="AF96" s="286">
        <v>1800000000</v>
      </c>
      <c r="AG96" s="268">
        <v>1799882936.54</v>
      </c>
      <c r="AH96" s="289">
        <f t="shared" ref="AH96:AH106" si="17">+AG96/AF96</f>
        <v>0.99993496474444443</v>
      </c>
      <c r="AI96" s="287" t="s">
        <v>387</v>
      </c>
      <c r="AJ96" s="265"/>
      <c r="AK96" s="117" t="s">
        <v>389</v>
      </c>
      <c r="AL96" s="117" t="s">
        <v>390</v>
      </c>
      <c r="AM96" s="265">
        <v>1</v>
      </c>
    </row>
    <row r="97" spans="1:39" ht="101.25" x14ac:dyDescent="0.25">
      <c r="A97" s="158"/>
      <c r="B97" s="158"/>
      <c r="C97" s="158"/>
      <c r="D97" s="266"/>
      <c r="E97" s="266"/>
      <c r="F97" s="266"/>
      <c r="G97" s="139" t="s">
        <v>449</v>
      </c>
      <c r="H97" s="139" t="s">
        <v>380</v>
      </c>
      <c r="I97" s="304" t="s">
        <v>450</v>
      </c>
      <c r="J97" s="278"/>
      <c r="K97" s="305"/>
      <c r="L97" s="278"/>
      <c r="M97" s="117"/>
      <c r="N97" s="265">
        <v>1</v>
      </c>
      <c r="O97" s="265">
        <v>0</v>
      </c>
      <c r="P97" s="119">
        <f>+O97/N97</f>
        <v>0</v>
      </c>
      <c r="Q97" s="265" t="s">
        <v>451</v>
      </c>
      <c r="R97" s="265" t="s">
        <v>448</v>
      </c>
      <c r="S97" s="265" t="s">
        <v>452</v>
      </c>
      <c r="T97" s="265" t="s">
        <v>453</v>
      </c>
      <c r="U97" s="306">
        <v>12963000000</v>
      </c>
      <c r="V97" s="286">
        <v>3900000000</v>
      </c>
      <c r="W97" s="265"/>
      <c r="X97" s="265"/>
      <c r="Y97" s="265"/>
      <c r="Z97" s="265" t="s">
        <v>55</v>
      </c>
      <c r="AA97" s="265"/>
      <c r="AB97" s="265"/>
      <c r="AC97" s="265"/>
      <c r="AD97" s="265"/>
      <c r="AE97" s="265"/>
      <c r="AF97" s="286">
        <v>3900000000</v>
      </c>
      <c r="AG97" s="268">
        <v>3822335981.4400001</v>
      </c>
      <c r="AH97" s="289">
        <f t="shared" si="17"/>
        <v>0.9800861490871795</v>
      </c>
      <c r="AI97" s="287" t="s">
        <v>387</v>
      </c>
      <c r="AJ97" s="265" t="s">
        <v>454</v>
      </c>
      <c r="AK97" s="265" t="s">
        <v>389</v>
      </c>
      <c r="AL97" s="265" t="s">
        <v>390</v>
      </c>
      <c r="AM97" s="265"/>
    </row>
    <row r="98" spans="1:39" ht="90" x14ac:dyDescent="0.25">
      <c r="A98" s="158"/>
      <c r="B98" s="158"/>
      <c r="C98" s="158"/>
      <c r="D98" s="266"/>
      <c r="E98" s="266"/>
      <c r="F98" s="266"/>
      <c r="G98" s="117" t="s">
        <v>455</v>
      </c>
      <c r="H98" s="117" t="s">
        <v>380</v>
      </c>
      <c r="I98" s="117" t="s">
        <v>456</v>
      </c>
      <c r="J98" s="266" t="s">
        <v>457</v>
      </c>
      <c r="K98" s="284">
        <f>+(0.258*100)/5</f>
        <v>5.16</v>
      </c>
      <c r="L98" s="139" t="s">
        <v>458</v>
      </c>
      <c r="M98" s="22"/>
      <c r="N98" s="140">
        <v>3</v>
      </c>
      <c r="O98" s="140">
        <v>9</v>
      </c>
      <c r="P98" s="119">
        <f t="shared" si="16"/>
        <v>3</v>
      </c>
      <c r="Q98" s="117" t="s">
        <v>456</v>
      </c>
      <c r="R98" s="117" t="s">
        <v>394</v>
      </c>
      <c r="S98" s="265" t="s">
        <v>459</v>
      </c>
      <c r="T98" s="265" t="s">
        <v>460</v>
      </c>
      <c r="U98" s="286">
        <v>6114638714</v>
      </c>
      <c r="V98" s="286">
        <v>6114638714</v>
      </c>
      <c r="W98" s="265"/>
      <c r="X98" s="265"/>
      <c r="Y98" s="265"/>
      <c r="Z98" s="265" t="s">
        <v>55</v>
      </c>
      <c r="AA98" s="265"/>
      <c r="AB98" s="265"/>
      <c r="AC98" s="265"/>
      <c r="AD98" s="265"/>
      <c r="AE98" s="265"/>
      <c r="AF98" s="286">
        <v>6114638714</v>
      </c>
      <c r="AG98" s="268">
        <v>4191331082.4900007</v>
      </c>
      <c r="AH98" s="289">
        <f t="shared" si="17"/>
        <v>0.6854585002534298</v>
      </c>
      <c r="AI98" s="287" t="s">
        <v>387</v>
      </c>
      <c r="AJ98" s="265"/>
      <c r="AK98" s="265" t="s">
        <v>389</v>
      </c>
      <c r="AL98" s="265" t="s">
        <v>390</v>
      </c>
      <c r="AM98" s="265">
        <v>1</v>
      </c>
    </row>
    <row r="99" spans="1:39" ht="101.25" x14ac:dyDescent="0.25">
      <c r="A99" s="158"/>
      <c r="B99" s="158"/>
      <c r="C99" s="158"/>
      <c r="D99" s="266"/>
      <c r="E99" s="266"/>
      <c r="F99" s="266"/>
      <c r="G99" s="117" t="s">
        <v>461</v>
      </c>
      <c r="H99" s="117" t="s">
        <v>380</v>
      </c>
      <c r="I99" s="117" t="s">
        <v>462</v>
      </c>
      <c r="J99" s="266"/>
      <c r="K99" s="284"/>
      <c r="L99" s="266"/>
      <c r="M99" s="21"/>
      <c r="N99" s="266"/>
      <c r="O99" s="266"/>
      <c r="P99" s="290"/>
      <c r="Q99" s="117" t="s">
        <v>462</v>
      </c>
      <c r="R99" s="117" t="s">
        <v>394</v>
      </c>
      <c r="S99" s="117" t="s">
        <v>411</v>
      </c>
      <c r="T99" s="117" t="s">
        <v>463</v>
      </c>
      <c r="U99" s="286">
        <v>750000000</v>
      </c>
      <c r="V99" s="286">
        <v>750000000</v>
      </c>
      <c r="W99" s="265"/>
      <c r="X99" s="265"/>
      <c r="Y99" s="265"/>
      <c r="Z99" s="265" t="s">
        <v>55</v>
      </c>
      <c r="AA99" s="265"/>
      <c r="AB99" s="265"/>
      <c r="AC99" s="265"/>
      <c r="AD99" s="265"/>
      <c r="AE99" s="265"/>
      <c r="AF99" s="286">
        <v>750000000</v>
      </c>
      <c r="AG99" s="286">
        <v>750000000</v>
      </c>
      <c r="AH99" s="289">
        <f t="shared" si="17"/>
        <v>1</v>
      </c>
      <c r="AI99" s="287" t="s">
        <v>387</v>
      </c>
      <c r="AJ99" s="265" t="s">
        <v>464</v>
      </c>
      <c r="AK99" s="265" t="s">
        <v>389</v>
      </c>
      <c r="AL99" s="265" t="s">
        <v>390</v>
      </c>
      <c r="AM99" s="265"/>
    </row>
    <row r="100" spans="1:39" ht="101.25" x14ac:dyDescent="0.25">
      <c r="A100" s="158"/>
      <c r="B100" s="158"/>
      <c r="C100" s="158"/>
      <c r="D100" s="266"/>
      <c r="E100" s="266"/>
      <c r="F100" s="266"/>
      <c r="G100" s="117" t="s">
        <v>465</v>
      </c>
      <c r="H100" s="117" t="s">
        <v>380</v>
      </c>
      <c r="I100" s="117" t="s">
        <v>466</v>
      </c>
      <c r="J100" s="266"/>
      <c r="K100" s="284"/>
      <c r="L100" s="266"/>
      <c r="M100" s="21"/>
      <c r="N100" s="266"/>
      <c r="O100" s="266"/>
      <c r="P100" s="290"/>
      <c r="Q100" s="117" t="s">
        <v>466</v>
      </c>
      <c r="R100" s="117" t="s">
        <v>394</v>
      </c>
      <c r="S100" s="117" t="s">
        <v>90</v>
      </c>
      <c r="T100" s="117" t="s">
        <v>467</v>
      </c>
      <c r="U100" s="286">
        <v>800000000</v>
      </c>
      <c r="V100" s="286">
        <v>800000000</v>
      </c>
      <c r="W100" s="265"/>
      <c r="X100" s="265"/>
      <c r="Y100" s="265"/>
      <c r="Z100" s="265" t="s">
        <v>55</v>
      </c>
      <c r="AA100" s="265"/>
      <c r="AB100" s="265"/>
      <c r="AC100" s="265"/>
      <c r="AD100" s="265"/>
      <c r="AE100" s="265"/>
      <c r="AF100" s="286">
        <v>800000000</v>
      </c>
      <c r="AG100" s="268">
        <v>799948079.6500001</v>
      </c>
      <c r="AH100" s="289">
        <f t="shared" si="17"/>
        <v>0.99993509956250015</v>
      </c>
      <c r="AI100" s="287" t="s">
        <v>387</v>
      </c>
      <c r="AJ100" s="265" t="s">
        <v>468</v>
      </c>
      <c r="AK100" s="265" t="s">
        <v>389</v>
      </c>
      <c r="AL100" s="265" t="s">
        <v>390</v>
      </c>
      <c r="AM100" s="265"/>
    </row>
    <row r="101" spans="1:39" ht="123.75" x14ac:dyDescent="0.25">
      <c r="A101" s="158"/>
      <c r="B101" s="158"/>
      <c r="C101" s="158"/>
      <c r="D101" s="266"/>
      <c r="E101" s="266"/>
      <c r="F101" s="266"/>
      <c r="G101" s="117" t="s">
        <v>469</v>
      </c>
      <c r="H101" s="117" t="s">
        <v>380</v>
      </c>
      <c r="I101" s="117" t="s">
        <v>470</v>
      </c>
      <c r="J101" s="266"/>
      <c r="K101" s="284"/>
      <c r="L101" s="266"/>
      <c r="M101" s="21"/>
      <c r="N101" s="266"/>
      <c r="O101" s="266"/>
      <c r="P101" s="290"/>
      <c r="Q101" s="117" t="s">
        <v>470</v>
      </c>
      <c r="R101" s="117"/>
      <c r="S101" s="117"/>
      <c r="T101" s="117"/>
      <c r="U101" s="286">
        <v>526000000</v>
      </c>
      <c r="V101" s="286">
        <v>526000000</v>
      </c>
      <c r="W101" s="265"/>
      <c r="X101" s="265"/>
      <c r="Y101" s="265"/>
      <c r="Z101" s="265" t="s">
        <v>55</v>
      </c>
      <c r="AA101" s="265"/>
      <c r="AB101" s="265"/>
      <c r="AC101" s="265"/>
      <c r="AD101" s="265"/>
      <c r="AE101" s="265"/>
      <c r="AF101" s="286">
        <v>526000000</v>
      </c>
      <c r="AG101" s="268">
        <v>0</v>
      </c>
      <c r="AH101" s="289">
        <f t="shared" si="17"/>
        <v>0</v>
      </c>
      <c r="AI101" s="287" t="s">
        <v>387</v>
      </c>
      <c r="AJ101" s="117" t="s">
        <v>470</v>
      </c>
      <c r="AK101" s="265" t="s">
        <v>389</v>
      </c>
      <c r="AL101" s="265" t="s">
        <v>390</v>
      </c>
      <c r="AM101" s="265"/>
    </row>
    <row r="102" spans="1:39" ht="112.5" x14ac:dyDescent="0.25">
      <c r="A102" s="158"/>
      <c r="B102" s="158"/>
      <c r="C102" s="158"/>
      <c r="D102" s="266"/>
      <c r="E102" s="266"/>
      <c r="F102" s="266"/>
      <c r="G102" s="117" t="s">
        <v>471</v>
      </c>
      <c r="H102" s="117" t="s">
        <v>380</v>
      </c>
      <c r="I102" s="117" t="s">
        <v>472</v>
      </c>
      <c r="J102" s="266"/>
      <c r="K102" s="284"/>
      <c r="L102" s="266"/>
      <c r="M102" s="21"/>
      <c r="N102" s="266"/>
      <c r="O102" s="266"/>
      <c r="P102" s="290"/>
      <c r="Q102" s="117" t="s">
        <v>472</v>
      </c>
      <c r="R102" s="117" t="s">
        <v>394</v>
      </c>
      <c r="S102" s="117" t="s">
        <v>473</v>
      </c>
      <c r="T102" s="117" t="s">
        <v>474</v>
      </c>
      <c r="U102" s="286">
        <v>1000000000</v>
      </c>
      <c r="V102" s="286">
        <v>1000000000</v>
      </c>
      <c r="W102" s="265"/>
      <c r="X102" s="265"/>
      <c r="Y102" s="265"/>
      <c r="Z102" s="265" t="s">
        <v>55</v>
      </c>
      <c r="AA102" s="265"/>
      <c r="AB102" s="265"/>
      <c r="AC102" s="265"/>
      <c r="AD102" s="265"/>
      <c r="AE102" s="265"/>
      <c r="AF102" s="286">
        <v>1000000000</v>
      </c>
      <c r="AG102" s="268">
        <v>0</v>
      </c>
      <c r="AH102" s="289">
        <f t="shared" si="17"/>
        <v>0</v>
      </c>
      <c r="AI102" s="287" t="s">
        <v>387</v>
      </c>
      <c r="AJ102" s="265" t="s">
        <v>475</v>
      </c>
      <c r="AK102" s="265" t="s">
        <v>389</v>
      </c>
      <c r="AL102" s="265" t="s">
        <v>390</v>
      </c>
      <c r="AM102" s="265"/>
    </row>
    <row r="103" spans="1:39" ht="135" x14ac:dyDescent="0.25">
      <c r="A103" s="158"/>
      <c r="B103" s="158"/>
      <c r="C103" s="158"/>
      <c r="D103" s="266"/>
      <c r="E103" s="266"/>
      <c r="F103" s="266"/>
      <c r="G103" s="117" t="s">
        <v>476</v>
      </c>
      <c r="H103" s="117" t="s">
        <v>380</v>
      </c>
      <c r="I103" s="117" t="s">
        <v>477</v>
      </c>
      <c r="J103" s="266"/>
      <c r="K103" s="284"/>
      <c r="L103" s="266"/>
      <c r="M103" s="21"/>
      <c r="N103" s="266"/>
      <c r="O103" s="266"/>
      <c r="P103" s="290"/>
      <c r="Q103" s="117" t="s">
        <v>477</v>
      </c>
      <c r="R103" s="117" t="s">
        <v>394</v>
      </c>
      <c r="S103" s="117" t="s">
        <v>417</v>
      </c>
      <c r="T103" s="117" t="s">
        <v>478</v>
      </c>
      <c r="U103" s="286">
        <v>2580900000</v>
      </c>
      <c r="V103" s="286">
        <v>2580900000</v>
      </c>
      <c r="W103" s="265"/>
      <c r="X103" s="265"/>
      <c r="Y103" s="265"/>
      <c r="Z103" s="265" t="s">
        <v>55</v>
      </c>
      <c r="AA103" s="265"/>
      <c r="AB103" s="265"/>
      <c r="AC103" s="265"/>
      <c r="AD103" s="265"/>
      <c r="AE103" s="265"/>
      <c r="AF103" s="286">
        <v>2580900000</v>
      </c>
      <c r="AG103" s="268">
        <v>2580900000.0000005</v>
      </c>
      <c r="AH103" s="289">
        <f t="shared" si="17"/>
        <v>1.0000000000000002</v>
      </c>
      <c r="AI103" s="287" t="s">
        <v>387</v>
      </c>
      <c r="AJ103" s="265" t="s">
        <v>479</v>
      </c>
      <c r="AK103" s="265" t="s">
        <v>389</v>
      </c>
      <c r="AL103" s="265" t="s">
        <v>390</v>
      </c>
      <c r="AM103" s="265"/>
    </row>
    <row r="104" spans="1:39" ht="67.5" x14ac:dyDescent="0.25">
      <c r="A104" s="158"/>
      <c r="B104" s="158"/>
      <c r="C104" s="158"/>
      <c r="D104" s="266"/>
      <c r="E104" s="266"/>
      <c r="F104" s="266"/>
      <c r="G104" s="117" t="s">
        <v>480</v>
      </c>
      <c r="H104" s="117" t="s">
        <v>380</v>
      </c>
      <c r="I104" s="117" t="s">
        <v>481</v>
      </c>
      <c r="J104" s="266"/>
      <c r="K104" s="284"/>
      <c r="L104" s="266"/>
      <c r="M104" s="21"/>
      <c r="N104" s="266"/>
      <c r="O104" s="266"/>
      <c r="P104" s="290"/>
      <c r="Q104" s="117" t="s">
        <v>481</v>
      </c>
      <c r="R104" s="117" t="s">
        <v>394</v>
      </c>
      <c r="S104" s="117" t="s">
        <v>417</v>
      </c>
      <c r="T104" s="117" t="s">
        <v>366</v>
      </c>
      <c r="U104" s="268">
        <v>135000000</v>
      </c>
      <c r="V104" s="286">
        <v>135000000</v>
      </c>
      <c r="W104" s="265"/>
      <c r="X104" s="265"/>
      <c r="Y104" s="265"/>
      <c r="Z104" s="265" t="s">
        <v>55</v>
      </c>
      <c r="AA104" s="265"/>
      <c r="AB104" s="265"/>
      <c r="AC104" s="265"/>
      <c r="AD104" s="265"/>
      <c r="AE104" s="265"/>
      <c r="AF104" s="268">
        <v>135000000</v>
      </c>
      <c r="AG104" s="268">
        <v>135000000</v>
      </c>
      <c r="AH104" s="289">
        <f t="shared" si="17"/>
        <v>1</v>
      </c>
      <c r="AI104" s="287" t="s">
        <v>387</v>
      </c>
      <c r="AJ104" s="265" t="s">
        <v>479</v>
      </c>
      <c r="AK104" s="265" t="s">
        <v>389</v>
      </c>
      <c r="AL104" s="265" t="s">
        <v>390</v>
      </c>
      <c r="AM104" s="265"/>
    </row>
    <row r="105" spans="1:39" ht="180" x14ac:dyDescent="0.25">
      <c r="A105" s="158"/>
      <c r="B105" s="158"/>
      <c r="C105" s="158"/>
      <c r="D105" s="266"/>
      <c r="E105" s="266"/>
      <c r="F105" s="266"/>
      <c r="G105" s="307" t="s">
        <v>482</v>
      </c>
      <c r="H105" s="293" t="s">
        <v>420</v>
      </c>
      <c r="I105" s="298" t="s">
        <v>483</v>
      </c>
      <c r="J105" s="266"/>
      <c r="K105" s="284"/>
      <c r="L105" s="266"/>
      <c r="M105" s="21"/>
      <c r="N105" s="265">
        <v>1</v>
      </c>
      <c r="O105" s="265">
        <v>0</v>
      </c>
      <c r="P105" s="26">
        <f>+O105/N105</f>
        <v>0</v>
      </c>
      <c r="Q105" s="307" t="s">
        <v>482</v>
      </c>
      <c r="R105" s="294" t="s">
        <v>431</v>
      </c>
      <c r="S105" s="294" t="s">
        <v>90</v>
      </c>
      <c r="T105" s="294" t="s">
        <v>484</v>
      </c>
      <c r="U105" s="308">
        <v>2018069312</v>
      </c>
      <c r="V105" s="308">
        <v>2018069312</v>
      </c>
      <c r="W105" s="298"/>
      <c r="X105" s="298"/>
      <c r="Y105" s="298"/>
      <c r="Z105" s="298" t="s">
        <v>55</v>
      </c>
      <c r="AA105" s="298"/>
      <c r="AB105" s="298"/>
      <c r="AC105" s="298"/>
      <c r="AD105" s="298"/>
      <c r="AE105" s="298"/>
      <c r="AF105" s="309">
        <f>+V105</f>
        <v>2018069312</v>
      </c>
      <c r="AG105" s="296">
        <v>0</v>
      </c>
      <c r="AH105" s="119">
        <f>+AG105/AF105</f>
        <v>0</v>
      </c>
      <c r="AI105" s="30"/>
      <c r="AJ105" s="30" t="s">
        <v>485</v>
      </c>
      <c r="AK105" s="30"/>
      <c r="AL105" s="30" t="s">
        <v>486</v>
      </c>
      <c r="AM105" s="265"/>
    </row>
    <row r="106" spans="1:39" ht="112.5" x14ac:dyDescent="0.25">
      <c r="A106" s="158"/>
      <c r="B106" s="158"/>
      <c r="C106" s="158"/>
      <c r="D106" s="266"/>
      <c r="E106" s="266"/>
      <c r="F106" s="266"/>
      <c r="G106" s="139" t="s">
        <v>487</v>
      </c>
      <c r="H106" s="139" t="s">
        <v>380</v>
      </c>
      <c r="I106" s="139" t="s">
        <v>488</v>
      </c>
      <c r="J106" s="117" t="s">
        <v>489</v>
      </c>
      <c r="K106" s="284">
        <f>+(0.078*100)/5</f>
        <v>1.56</v>
      </c>
      <c r="L106" s="115" t="s">
        <v>490</v>
      </c>
      <c r="M106" s="115"/>
      <c r="N106" s="265">
        <v>1</v>
      </c>
      <c r="O106" s="265">
        <v>0</v>
      </c>
      <c r="P106" s="119">
        <f t="shared" ref="P106:P107" si="18">+O106/N106</f>
        <v>0</v>
      </c>
      <c r="Q106" s="139" t="s">
        <v>491</v>
      </c>
      <c r="R106" s="139" t="s">
        <v>492</v>
      </c>
      <c r="S106" s="139" t="s">
        <v>459</v>
      </c>
      <c r="T106" s="139" t="s">
        <v>460</v>
      </c>
      <c r="U106" s="310">
        <v>500000000</v>
      </c>
      <c r="V106" s="310">
        <v>500000000</v>
      </c>
      <c r="W106" s="139"/>
      <c r="X106" s="139"/>
      <c r="Y106" s="139"/>
      <c r="Z106" s="139" t="s">
        <v>55</v>
      </c>
      <c r="AA106" s="139"/>
      <c r="AB106" s="139"/>
      <c r="AC106" s="139"/>
      <c r="AD106" s="139"/>
      <c r="AE106" s="139"/>
      <c r="AF106" s="274">
        <v>500000000</v>
      </c>
      <c r="AG106" s="274">
        <v>0</v>
      </c>
      <c r="AH106" s="311">
        <f t="shared" si="17"/>
        <v>0</v>
      </c>
      <c r="AI106" s="139" t="s">
        <v>493</v>
      </c>
      <c r="AJ106" s="139"/>
      <c r="AK106" s="139" t="s">
        <v>389</v>
      </c>
      <c r="AL106" s="139" t="s">
        <v>390</v>
      </c>
      <c r="AM106" s="265">
        <v>1</v>
      </c>
    </row>
    <row r="107" spans="1:39" ht="33.75" x14ac:dyDescent="0.25">
      <c r="A107" s="158"/>
      <c r="B107" s="158"/>
      <c r="C107" s="158"/>
      <c r="D107" s="266"/>
      <c r="E107" s="266"/>
      <c r="F107" s="266"/>
      <c r="G107" s="266"/>
      <c r="H107" s="266"/>
      <c r="I107" s="266"/>
      <c r="J107" s="117" t="s">
        <v>494</v>
      </c>
      <c r="K107" s="284">
        <f>+(0.078*100)/5</f>
        <v>1.56</v>
      </c>
      <c r="L107" s="115" t="s">
        <v>495</v>
      </c>
      <c r="M107" s="115"/>
      <c r="N107" s="265">
        <v>1</v>
      </c>
      <c r="O107" s="265">
        <v>0</v>
      </c>
      <c r="P107" s="119">
        <f t="shared" si="18"/>
        <v>0</v>
      </c>
      <c r="Q107" s="278"/>
      <c r="R107" s="278"/>
      <c r="S107" s="278"/>
      <c r="T107" s="278"/>
      <c r="U107" s="312"/>
      <c r="V107" s="312"/>
      <c r="W107" s="278"/>
      <c r="X107" s="278"/>
      <c r="Y107" s="278"/>
      <c r="Z107" s="278"/>
      <c r="AA107" s="278"/>
      <c r="AB107" s="278"/>
      <c r="AC107" s="278"/>
      <c r="AD107" s="278"/>
      <c r="AE107" s="278"/>
      <c r="AF107" s="278"/>
      <c r="AG107" s="278"/>
      <c r="AH107" s="289"/>
      <c r="AI107" s="278"/>
      <c r="AJ107" s="278"/>
      <c r="AK107" s="278"/>
      <c r="AL107" s="278"/>
      <c r="AM107" s="265">
        <v>1</v>
      </c>
    </row>
    <row r="108" spans="1:39" ht="33.75" x14ac:dyDescent="0.25">
      <c r="A108" s="158"/>
      <c r="B108" s="158"/>
      <c r="C108" s="158"/>
      <c r="D108" s="266"/>
      <c r="E108" s="266"/>
      <c r="F108" s="278"/>
      <c r="G108" s="278"/>
      <c r="H108" s="278"/>
      <c r="I108" s="278"/>
      <c r="J108" s="117" t="s">
        <v>496</v>
      </c>
      <c r="K108" s="284">
        <f>+(0.025*100)/5</f>
        <v>0.5</v>
      </c>
      <c r="L108" s="34" t="s">
        <v>497</v>
      </c>
      <c r="M108" s="34"/>
      <c r="N108" s="34"/>
      <c r="O108" s="34"/>
      <c r="P108" s="119">
        <v>0</v>
      </c>
      <c r="Q108" s="34"/>
      <c r="R108" s="34"/>
      <c r="S108" s="34"/>
      <c r="T108" s="34"/>
      <c r="U108" s="34"/>
      <c r="V108" s="34"/>
      <c r="W108" s="34"/>
      <c r="X108" s="34"/>
      <c r="Y108" s="34"/>
      <c r="Z108" s="34"/>
      <c r="AA108" s="34"/>
      <c r="AB108" s="34"/>
      <c r="AC108" s="34"/>
      <c r="AD108" s="34"/>
      <c r="AE108" s="34"/>
      <c r="AF108" s="34"/>
      <c r="AG108" s="34"/>
      <c r="AH108" s="119">
        <v>0</v>
      </c>
      <c r="AI108" s="34"/>
      <c r="AJ108" s="34"/>
      <c r="AK108" s="117" t="s">
        <v>389</v>
      </c>
      <c r="AL108" s="303" t="s">
        <v>390</v>
      </c>
      <c r="AM108" s="265">
        <v>1</v>
      </c>
    </row>
    <row r="109" spans="1:39" ht="33.75" x14ac:dyDescent="0.25">
      <c r="A109" s="158"/>
      <c r="B109" s="158"/>
      <c r="C109" s="158"/>
      <c r="D109" s="266"/>
      <c r="E109" s="266"/>
      <c r="F109" s="110" t="s">
        <v>158</v>
      </c>
      <c r="G109" s="110"/>
      <c r="H109" s="110"/>
      <c r="I109" s="110"/>
      <c r="J109" s="261"/>
      <c r="K109" s="313">
        <f>SUM(K84:K108)</f>
        <v>99.999999999999986</v>
      </c>
      <c r="L109" s="112"/>
      <c r="M109" s="112"/>
      <c r="N109" s="112"/>
      <c r="O109" s="112"/>
      <c r="P109" s="112"/>
      <c r="Q109" s="112"/>
      <c r="R109" s="112"/>
      <c r="S109" s="112"/>
      <c r="T109" s="112"/>
      <c r="U109" s="112"/>
      <c r="V109" s="112"/>
      <c r="W109" s="112"/>
      <c r="X109" s="112"/>
      <c r="Y109" s="112"/>
      <c r="Z109" s="112"/>
      <c r="AA109" s="112"/>
      <c r="AB109" s="112"/>
      <c r="AC109" s="112"/>
      <c r="AD109" s="112"/>
      <c r="AE109" s="112"/>
      <c r="AF109" s="112"/>
      <c r="AG109" s="112"/>
      <c r="AH109" s="112"/>
      <c r="AI109" s="112"/>
      <c r="AJ109" s="112"/>
      <c r="AK109" s="143"/>
      <c r="AL109" s="146"/>
      <c r="AM109" s="314"/>
    </row>
    <row r="110" spans="1:39" ht="101.25" x14ac:dyDescent="0.25">
      <c r="A110" s="158"/>
      <c r="B110" s="158"/>
      <c r="C110" s="158"/>
      <c r="D110" s="266"/>
      <c r="E110" s="266"/>
      <c r="F110" s="315" t="s">
        <v>498</v>
      </c>
      <c r="G110" s="207" t="s">
        <v>499</v>
      </c>
      <c r="H110" s="207" t="s">
        <v>500</v>
      </c>
      <c r="I110" s="207"/>
      <c r="J110" s="231" t="s">
        <v>501</v>
      </c>
      <c r="K110" s="316">
        <f>+(0.359*100)/4</f>
        <v>8.9749999999999996</v>
      </c>
      <c r="L110" s="231" t="s">
        <v>502</v>
      </c>
      <c r="M110" s="231"/>
      <c r="N110" s="231">
        <v>3</v>
      </c>
      <c r="O110" s="231">
        <v>0</v>
      </c>
      <c r="P110" s="119">
        <f>+O110/N110</f>
        <v>0</v>
      </c>
      <c r="Q110" s="207" t="s">
        <v>500</v>
      </c>
      <c r="R110" s="231"/>
      <c r="S110" s="231"/>
      <c r="T110" s="231"/>
      <c r="U110" s="317">
        <v>1800000000</v>
      </c>
      <c r="V110" s="317">
        <v>1800000000</v>
      </c>
      <c r="W110" s="231"/>
      <c r="X110" s="231"/>
      <c r="Y110" s="231"/>
      <c r="Z110" s="231" t="s">
        <v>55</v>
      </c>
      <c r="AA110" s="231"/>
      <c r="AB110" s="231"/>
      <c r="AC110" s="231"/>
      <c r="AD110" s="231"/>
      <c r="AE110" s="231"/>
      <c r="AF110" s="317">
        <v>1800000000</v>
      </c>
      <c r="AG110" s="318">
        <v>0</v>
      </c>
      <c r="AH110" s="289">
        <f t="shared" ref="AH110" si="19">+AG110/AF110</f>
        <v>0</v>
      </c>
      <c r="AI110" s="231"/>
      <c r="AJ110" s="231" t="s">
        <v>503</v>
      </c>
      <c r="AK110" s="231" t="s">
        <v>504</v>
      </c>
      <c r="AL110" s="231" t="s">
        <v>390</v>
      </c>
      <c r="AM110" s="231">
        <v>3</v>
      </c>
    </row>
    <row r="111" spans="1:39" ht="101.25" x14ac:dyDescent="0.25">
      <c r="A111" s="158"/>
      <c r="B111" s="158"/>
      <c r="C111" s="158"/>
      <c r="D111" s="266"/>
      <c r="E111" s="266"/>
      <c r="F111" s="319"/>
      <c r="G111" s="319"/>
      <c r="H111" s="319"/>
      <c r="I111" s="319"/>
      <c r="J111" s="144" t="s">
        <v>505</v>
      </c>
      <c r="K111" s="316">
        <f>+(0.05*100)/4</f>
        <v>1.25</v>
      </c>
      <c r="L111" s="231" t="s">
        <v>506</v>
      </c>
      <c r="M111" s="231"/>
      <c r="N111" s="231"/>
      <c r="O111" s="231"/>
      <c r="P111" s="144"/>
      <c r="Q111" s="231"/>
      <c r="R111" s="231"/>
      <c r="S111" s="231"/>
      <c r="T111" s="231"/>
      <c r="U111" s="231"/>
      <c r="V111" s="231"/>
      <c r="W111" s="231"/>
      <c r="X111" s="231"/>
      <c r="Y111" s="231"/>
      <c r="Z111" s="231"/>
      <c r="AA111" s="231"/>
      <c r="AB111" s="231"/>
      <c r="AC111" s="231"/>
      <c r="AD111" s="231"/>
      <c r="AE111" s="231"/>
      <c r="AF111" s="231"/>
      <c r="AG111" s="231"/>
      <c r="AH111" s="144"/>
      <c r="AI111" s="231"/>
      <c r="AJ111" s="231"/>
      <c r="AK111" s="231" t="s">
        <v>504</v>
      </c>
      <c r="AL111" s="232" t="s">
        <v>390</v>
      </c>
      <c r="AM111" s="231">
        <v>1</v>
      </c>
    </row>
    <row r="112" spans="1:39" ht="101.25" x14ac:dyDescent="0.25">
      <c r="A112" s="158"/>
      <c r="B112" s="158"/>
      <c r="C112" s="158"/>
      <c r="D112" s="266"/>
      <c r="E112" s="266"/>
      <c r="F112" s="319"/>
      <c r="G112" s="319"/>
      <c r="H112" s="319"/>
      <c r="I112" s="319"/>
      <c r="J112" s="320" t="s">
        <v>507</v>
      </c>
      <c r="K112" s="316">
        <f>+(0.56*100)/4</f>
        <v>14.000000000000002</v>
      </c>
      <c r="L112" s="321" t="s">
        <v>508</v>
      </c>
      <c r="M112" s="321"/>
      <c r="N112" s="321"/>
      <c r="O112" s="321"/>
      <c r="P112" s="322"/>
      <c r="Q112" s="321"/>
      <c r="R112" s="321"/>
      <c r="S112" s="321"/>
      <c r="T112" s="321"/>
      <c r="U112" s="321"/>
      <c r="V112" s="321"/>
      <c r="W112" s="321"/>
      <c r="X112" s="321"/>
      <c r="Y112" s="321"/>
      <c r="Z112" s="321"/>
      <c r="AA112" s="321"/>
      <c r="AB112" s="321"/>
      <c r="AC112" s="321"/>
      <c r="AD112" s="321"/>
      <c r="AE112" s="321"/>
      <c r="AF112" s="321"/>
      <c r="AG112" s="321"/>
      <c r="AH112" s="322"/>
      <c r="AI112" s="321"/>
      <c r="AJ112" s="321"/>
      <c r="AK112" s="207" t="s">
        <v>504</v>
      </c>
      <c r="AL112" s="208" t="s">
        <v>390</v>
      </c>
      <c r="AM112" s="231">
        <v>2</v>
      </c>
    </row>
    <row r="113" spans="1:39" ht="112.5" x14ac:dyDescent="0.25">
      <c r="A113" s="158"/>
      <c r="B113" s="158"/>
      <c r="C113" s="158"/>
      <c r="D113" s="266"/>
      <c r="E113" s="266"/>
      <c r="F113" s="319"/>
      <c r="G113" s="323" t="s">
        <v>509</v>
      </c>
      <c r="H113" s="324" t="s">
        <v>510</v>
      </c>
      <c r="I113" s="324" t="s">
        <v>511</v>
      </c>
      <c r="J113" s="320" t="s">
        <v>512</v>
      </c>
      <c r="K113" s="316">
        <f>+(1.44*100)/4</f>
        <v>36</v>
      </c>
      <c r="L113" s="321" t="s">
        <v>513</v>
      </c>
      <c r="M113" s="321"/>
      <c r="N113" s="325">
        <v>10</v>
      </c>
      <c r="O113" s="325">
        <v>0</v>
      </c>
      <c r="P113" s="119">
        <f>+O113/N113</f>
        <v>0</v>
      </c>
      <c r="Q113" s="324" t="s">
        <v>514</v>
      </c>
      <c r="R113" s="324" t="s">
        <v>515</v>
      </c>
      <c r="S113" s="324" t="s">
        <v>516</v>
      </c>
      <c r="T113" s="324" t="s">
        <v>201</v>
      </c>
      <c r="U113" s="326">
        <v>712500000</v>
      </c>
      <c r="V113" s="326">
        <v>712500000</v>
      </c>
      <c r="W113" s="324"/>
      <c r="X113" s="324"/>
      <c r="Y113" s="324"/>
      <c r="Z113" s="324" t="s">
        <v>55</v>
      </c>
      <c r="AA113" s="324"/>
      <c r="AB113" s="324"/>
      <c r="AC113" s="324"/>
      <c r="AD113" s="324"/>
      <c r="AE113" s="324"/>
      <c r="AF113" s="327">
        <f>+V113</f>
        <v>712500000</v>
      </c>
      <c r="AG113" s="328">
        <v>0</v>
      </c>
      <c r="AH113" s="119">
        <f>+AG113/AF113</f>
        <v>0</v>
      </c>
      <c r="AI113" s="325" t="s">
        <v>517</v>
      </c>
      <c r="AJ113" s="325" t="s">
        <v>518</v>
      </c>
      <c r="AK113" s="325"/>
      <c r="AL113" s="325" t="s">
        <v>519</v>
      </c>
      <c r="AM113" s="231">
        <v>10</v>
      </c>
    </row>
    <row r="114" spans="1:39" ht="101.25" x14ac:dyDescent="0.25">
      <c r="A114" s="158"/>
      <c r="B114" s="158"/>
      <c r="C114" s="158"/>
      <c r="D114" s="266"/>
      <c r="E114" s="266"/>
      <c r="F114" s="319"/>
      <c r="G114" s="319"/>
      <c r="H114" s="319"/>
      <c r="I114" s="319"/>
      <c r="J114" s="320" t="s">
        <v>520</v>
      </c>
      <c r="K114" s="316">
        <f>+(1.22*100)/4</f>
        <v>30.5</v>
      </c>
      <c r="L114" s="329" t="s">
        <v>521</v>
      </c>
      <c r="M114" s="329"/>
      <c r="N114" s="329"/>
      <c r="O114" s="329"/>
      <c r="P114" s="112"/>
      <c r="Q114" s="329"/>
      <c r="R114" s="329"/>
      <c r="S114" s="329"/>
      <c r="T114" s="329"/>
      <c r="U114" s="329"/>
      <c r="V114" s="329"/>
      <c r="W114" s="329"/>
      <c r="X114" s="329"/>
      <c r="Y114" s="329"/>
      <c r="Z114" s="329"/>
      <c r="AA114" s="329"/>
      <c r="AB114" s="329"/>
      <c r="AC114" s="329"/>
      <c r="AD114" s="329"/>
      <c r="AE114" s="329"/>
      <c r="AF114" s="329"/>
      <c r="AG114" s="329"/>
      <c r="AH114" s="112"/>
      <c r="AI114" s="329"/>
      <c r="AJ114" s="329"/>
      <c r="AK114" s="231" t="s">
        <v>504</v>
      </c>
      <c r="AL114" s="330" t="s">
        <v>390</v>
      </c>
      <c r="AM114" s="231">
        <v>15</v>
      </c>
    </row>
    <row r="115" spans="1:39" ht="101.25" x14ac:dyDescent="0.25">
      <c r="A115" s="158"/>
      <c r="B115" s="158"/>
      <c r="C115" s="158"/>
      <c r="D115" s="266"/>
      <c r="E115" s="266"/>
      <c r="F115" s="319"/>
      <c r="G115" s="319"/>
      <c r="H115" s="319"/>
      <c r="I115" s="319"/>
      <c r="J115" s="320" t="s">
        <v>522</v>
      </c>
      <c r="K115" s="316">
        <f>+(0.22*100)/4</f>
        <v>5.5</v>
      </c>
      <c r="L115" s="329" t="s">
        <v>523</v>
      </c>
      <c r="M115" s="329"/>
      <c r="N115" s="329"/>
      <c r="O115" s="329"/>
      <c r="P115" s="112"/>
      <c r="Q115" s="329"/>
      <c r="R115" s="329"/>
      <c r="S115" s="329"/>
      <c r="T115" s="329"/>
      <c r="U115" s="329"/>
      <c r="V115" s="329"/>
      <c r="W115" s="329"/>
      <c r="X115" s="329"/>
      <c r="Y115" s="329"/>
      <c r="Z115" s="329"/>
      <c r="AA115" s="329"/>
      <c r="AB115" s="329"/>
      <c r="AC115" s="329"/>
      <c r="AD115" s="329"/>
      <c r="AE115" s="329"/>
      <c r="AF115" s="329"/>
      <c r="AG115" s="329"/>
      <c r="AH115" s="112"/>
      <c r="AI115" s="329"/>
      <c r="AJ115" s="329"/>
      <c r="AK115" s="231" t="s">
        <v>504</v>
      </c>
      <c r="AL115" s="232" t="s">
        <v>390</v>
      </c>
      <c r="AM115" s="231">
        <v>0</v>
      </c>
    </row>
    <row r="116" spans="1:39" ht="101.25" x14ac:dyDescent="0.25">
      <c r="A116" s="170"/>
      <c r="B116" s="170"/>
      <c r="C116" s="170"/>
      <c r="D116" s="278"/>
      <c r="E116" s="278"/>
      <c r="F116" s="331"/>
      <c r="G116" s="207" t="s">
        <v>524</v>
      </c>
      <c r="H116" s="207" t="s">
        <v>500</v>
      </c>
      <c r="I116" s="331"/>
      <c r="J116" s="329" t="s">
        <v>525</v>
      </c>
      <c r="K116" s="316">
        <f>+(0.14*100)/4</f>
        <v>3.5000000000000004</v>
      </c>
      <c r="L116" s="329" t="s">
        <v>526</v>
      </c>
      <c r="M116" s="329"/>
      <c r="N116" s="254">
        <v>1</v>
      </c>
      <c r="O116" s="254">
        <v>0</v>
      </c>
      <c r="P116" s="119">
        <f>+O116/N116</f>
        <v>0</v>
      </c>
      <c r="Q116" s="207" t="s">
        <v>500</v>
      </c>
      <c r="R116" s="254"/>
      <c r="S116" s="254"/>
      <c r="T116" s="254"/>
      <c r="U116" s="332">
        <v>100000000</v>
      </c>
      <c r="V116" s="332">
        <v>100000000</v>
      </c>
      <c r="W116" s="254"/>
      <c r="X116" s="254"/>
      <c r="Y116" s="254"/>
      <c r="Z116" s="254" t="s">
        <v>55</v>
      </c>
      <c r="AA116" s="254"/>
      <c r="AB116" s="254"/>
      <c r="AC116" s="254"/>
      <c r="AD116" s="254"/>
      <c r="AE116" s="254"/>
      <c r="AF116" s="332">
        <v>100000000</v>
      </c>
      <c r="AG116" s="318">
        <v>0</v>
      </c>
      <c r="AH116" s="289">
        <f t="shared" ref="AH116" si="20">+AG116/AF116</f>
        <v>0</v>
      </c>
      <c r="AI116" s="254"/>
      <c r="AJ116" s="231" t="s">
        <v>503</v>
      </c>
      <c r="AK116" s="231" t="s">
        <v>504</v>
      </c>
      <c r="AL116" s="231" t="s">
        <v>390</v>
      </c>
      <c r="AM116" s="254">
        <v>1</v>
      </c>
    </row>
    <row r="117" spans="1:39" ht="33.75" x14ac:dyDescent="0.25">
      <c r="A117" s="142"/>
      <c r="B117" s="233"/>
      <c r="C117" s="233"/>
      <c r="D117" s="233"/>
      <c r="E117" s="233"/>
      <c r="F117" s="110" t="s">
        <v>158</v>
      </c>
      <c r="G117" s="333"/>
      <c r="H117" s="333"/>
      <c r="I117" s="333"/>
      <c r="J117" s="112"/>
      <c r="K117" s="334">
        <f>SUM(K110:K116)</f>
        <v>99.724999999999994</v>
      </c>
      <c r="L117" s="112"/>
      <c r="M117" s="112"/>
      <c r="N117" s="112"/>
      <c r="O117" s="112"/>
      <c r="P117" s="112"/>
      <c r="Q117" s="112"/>
      <c r="R117" s="112"/>
      <c r="S117" s="112"/>
      <c r="T117" s="112"/>
      <c r="U117" s="112"/>
      <c r="V117" s="112"/>
      <c r="W117" s="112"/>
      <c r="X117" s="112"/>
      <c r="Y117" s="112"/>
      <c r="Z117" s="112"/>
      <c r="AA117" s="112"/>
      <c r="AB117" s="112"/>
      <c r="AC117" s="112"/>
      <c r="AD117" s="112"/>
      <c r="AE117" s="112"/>
      <c r="AF117" s="112"/>
      <c r="AG117" s="112"/>
      <c r="AH117" s="112"/>
      <c r="AI117" s="112"/>
      <c r="AJ117" s="112"/>
      <c r="AK117" s="144"/>
      <c r="AL117" s="113"/>
      <c r="AM117" s="144"/>
    </row>
    <row r="118" spans="1:39" ht="22.5" x14ac:dyDescent="0.25">
      <c r="A118" s="279"/>
      <c r="B118" s="335"/>
      <c r="C118" s="335"/>
      <c r="D118" s="279" t="s">
        <v>376</v>
      </c>
      <c r="E118" s="279"/>
      <c r="F118" s="336"/>
      <c r="G118" s="337"/>
      <c r="H118" s="337"/>
      <c r="I118" s="337"/>
      <c r="J118" s="336"/>
      <c r="K118" s="338"/>
      <c r="L118" s="336"/>
      <c r="M118" s="336"/>
      <c r="N118" s="336"/>
      <c r="O118" s="336"/>
      <c r="P118" s="112"/>
      <c r="Q118" s="336"/>
      <c r="R118" s="336"/>
      <c r="S118" s="336"/>
      <c r="T118" s="336"/>
      <c r="U118" s="336"/>
      <c r="V118" s="336"/>
      <c r="W118" s="336"/>
      <c r="X118" s="336"/>
      <c r="Y118" s="336"/>
      <c r="Z118" s="336"/>
      <c r="AA118" s="336"/>
      <c r="AB118" s="336"/>
      <c r="AC118" s="336"/>
      <c r="AD118" s="336"/>
      <c r="AE118" s="336"/>
      <c r="AF118" s="336"/>
      <c r="AG118" s="336"/>
      <c r="AH118" s="112"/>
      <c r="AI118" s="336"/>
      <c r="AJ118" s="336"/>
      <c r="AK118" s="242"/>
      <c r="AL118" s="339"/>
      <c r="AM118" s="340"/>
    </row>
    <row r="119" spans="1:39" ht="22.5" x14ac:dyDescent="0.25">
      <c r="A119" s="341" t="s">
        <v>527</v>
      </c>
      <c r="B119" s="342"/>
      <c r="C119" s="342"/>
      <c r="D119" s="342"/>
      <c r="E119" s="342"/>
      <c r="F119" s="343"/>
      <c r="G119" s="343"/>
      <c r="H119" s="343"/>
      <c r="I119" s="343"/>
      <c r="J119" s="343"/>
      <c r="K119" s="344"/>
      <c r="L119" s="343"/>
      <c r="M119" s="343"/>
      <c r="N119" s="343"/>
      <c r="O119" s="343"/>
      <c r="P119" s="112"/>
      <c r="Q119" s="343"/>
      <c r="R119" s="343"/>
      <c r="S119" s="343"/>
      <c r="T119" s="343"/>
      <c r="U119" s="343"/>
      <c r="V119" s="343"/>
      <c r="W119" s="343"/>
      <c r="X119" s="343"/>
      <c r="Y119" s="343"/>
      <c r="Z119" s="343"/>
      <c r="AA119" s="343"/>
      <c r="AB119" s="343"/>
      <c r="AC119" s="343"/>
      <c r="AD119" s="343"/>
      <c r="AE119" s="343"/>
      <c r="AF119" s="343"/>
      <c r="AG119" s="343"/>
      <c r="AH119" s="112"/>
      <c r="AI119" s="343"/>
      <c r="AJ119" s="343"/>
      <c r="AK119" s="345"/>
      <c r="AL119" s="346"/>
      <c r="AM119" s="347"/>
    </row>
    <row r="120" spans="1:39" ht="101.25" x14ac:dyDescent="0.25">
      <c r="A120" s="139" t="s">
        <v>528</v>
      </c>
      <c r="B120" s="348" t="s">
        <v>529</v>
      </c>
      <c r="C120" s="348"/>
      <c r="D120" s="348" t="s">
        <v>530</v>
      </c>
      <c r="E120" s="348"/>
      <c r="F120" s="139" t="s">
        <v>531</v>
      </c>
      <c r="G120" s="266"/>
      <c r="H120" s="266"/>
      <c r="I120" s="266"/>
      <c r="J120" s="265" t="s">
        <v>532</v>
      </c>
      <c r="K120" s="349">
        <f>+(0.75*100)/2.5</f>
        <v>30</v>
      </c>
      <c r="L120" s="265" t="s">
        <v>533</v>
      </c>
      <c r="M120" s="265"/>
      <c r="N120" s="265"/>
      <c r="O120" s="265"/>
      <c r="P120" s="350">
        <v>1</v>
      </c>
      <c r="Q120" s="265"/>
      <c r="R120" s="265"/>
      <c r="S120" s="265"/>
      <c r="T120" s="265"/>
      <c r="U120" s="265"/>
      <c r="V120" s="265"/>
      <c r="W120" s="265"/>
      <c r="X120" s="265"/>
      <c r="Y120" s="265"/>
      <c r="Z120" s="265"/>
      <c r="AA120" s="265"/>
      <c r="AB120" s="265"/>
      <c r="AC120" s="265"/>
      <c r="AD120" s="265"/>
      <c r="AE120" s="265"/>
      <c r="AF120" s="265"/>
      <c r="AG120" s="265"/>
      <c r="AH120" s="119">
        <v>1</v>
      </c>
      <c r="AI120" s="265"/>
      <c r="AJ120" s="265"/>
      <c r="AK120" s="265" t="s">
        <v>534</v>
      </c>
      <c r="AL120" s="35" t="s">
        <v>535</v>
      </c>
      <c r="AM120" s="118">
        <v>1</v>
      </c>
    </row>
    <row r="121" spans="1:39" ht="33.75" x14ac:dyDescent="0.25">
      <c r="A121" s="351"/>
      <c r="B121" s="352"/>
      <c r="C121" s="352"/>
      <c r="D121" s="352"/>
      <c r="E121" s="352"/>
      <c r="F121" s="278"/>
      <c r="G121" s="266"/>
      <c r="H121" s="266"/>
      <c r="I121" s="266"/>
      <c r="J121" s="139" t="s">
        <v>536</v>
      </c>
      <c r="K121" s="349">
        <f>+(1.75*100)/2.5</f>
        <v>70</v>
      </c>
      <c r="L121" s="139" t="s">
        <v>537</v>
      </c>
      <c r="M121" s="139"/>
      <c r="N121" s="139"/>
      <c r="O121" s="139"/>
      <c r="P121" s="350">
        <v>1</v>
      </c>
      <c r="Q121" s="139"/>
      <c r="R121" s="139"/>
      <c r="S121" s="139"/>
      <c r="T121" s="139"/>
      <c r="U121" s="139"/>
      <c r="V121" s="139"/>
      <c r="W121" s="139"/>
      <c r="X121" s="139"/>
      <c r="Y121" s="139"/>
      <c r="Z121" s="139"/>
      <c r="AA121" s="139"/>
      <c r="AB121" s="139"/>
      <c r="AC121" s="139"/>
      <c r="AD121" s="139"/>
      <c r="AE121" s="139"/>
      <c r="AF121" s="139"/>
      <c r="AG121" s="139"/>
      <c r="AH121" s="119">
        <v>1</v>
      </c>
      <c r="AI121" s="139"/>
      <c r="AJ121" s="139"/>
      <c r="AK121" s="140" t="s">
        <v>534</v>
      </c>
      <c r="AL121" s="353" t="s">
        <v>535</v>
      </c>
      <c r="AM121" s="118">
        <f>[1]SOCIOCULTURAL!AH5</f>
        <v>1</v>
      </c>
    </row>
    <row r="122" spans="1:39" ht="33.75" x14ac:dyDescent="0.25">
      <c r="A122" s="351"/>
      <c r="B122" s="352"/>
      <c r="C122" s="352"/>
      <c r="D122" s="352"/>
      <c r="E122" s="352"/>
      <c r="F122" s="110" t="s">
        <v>158</v>
      </c>
      <c r="G122" s="110"/>
      <c r="H122" s="110"/>
      <c r="I122" s="110"/>
      <c r="J122" s="143"/>
      <c r="K122" s="313">
        <f>SUM(K120:K121)</f>
        <v>100</v>
      </c>
      <c r="L122" s="143"/>
      <c r="M122" s="143"/>
      <c r="N122" s="143"/>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c r="AJ122" s="143"/>
      <c r="AK122" s="143"/>
      <c r="AL122" s="146"/>
      <c r="AM122" s="48"/>
    </row>
    <row r="123" spans="1:39" ht="45" x14ac:dyDescent="0.25">
      <c r="A123" s="351"/>
      <c r="B123" s="352"/>
      <c r="C123" s="352"/>
      <c r="D123" s="352"/>
      <c r="E123" s="352"/>
      <c r="F123" s="139" t="s">
        <v>538</v>
      </c>
      <c r="G123" s="266"/>
      <c r="H123" s="266"/>
      <c r="I123" s="266"/>
      <c r="J123" s="354" t="s">
        <v>539</v>
      </c>
      <c r="K123" s="284">
        <f>+(0.002*100)/2</f>
        <v>0.1</v>
      </c>
      <c r="L123" s="355" t="s">
        <v>540</v>
      </c>
      <c r="M123" s="355"/>
      <c r="N123" s="355"/>
      <c r="O123" s="355"/>
      <c r="P123" s="350">
        <v>0</v>
      </c>
      <c r="Q123" s="355"/>
      <c r="R123" s="355"/>
      <c r="S123" s="355"/>
      <c r="T123" s="355"/>
      <c r="U123" s="355"/>
      <c r="V123" s="355"/>
      <c r="W123" s="355"/>
      <c r="X123" s="355"/>
      <c r="Y123" s="355"/>
      <c r="Z123" s="355"/>
      <c r="AA123" s="355"/>
      <c r="AB123" s="355"/>
      <c r="AC123" s="355"/>
      <c r="AD123" s="355"/>
      <c r="AE123" s="355"/>
      <c r="AF123" s="355"/>
      <c r="AG123" s="355"/>
      <c r="AH123" s="119">
        <v>0</v>
      </c>
      <c r="AI123" s="355"/>
      <c r="AJ123" s="355"/>
      <c r="AK123" s="265" t="s">
        <v>534</v>
      </c>
      <c r="AL123" s="35" t="s">
        <v>535</v>
      </c>
      <c r="AM123" s="118">
        <v>1</v>
      </c>
    </row>
    <row r="124" spans="1:39" ht="135" x14ac:dyDescent="0.25">
      <c r="A124" s="351"/>
      <c r="B124" s="352"/>
      <c r="C124" s="352"/>
      <c r="D124" s="352"/>
      <c r="E124" s="352"/>
      <c r="F124" s="266"/>
      <c r="G124" s="356" t="s">
        <v>541</v>
      </c>
      <c r="H124" s="356" t="s">
        <v>542</v>
      </c>
      <c r="I124" s="357" t="s">
        <v>543</v>
      </c>
      <c r="J124" s="354" t="s">
        <v>544</v>
      </c>
      <c r="K124" s="305">
        <f t="shared" ref="K124:K127" si="21">+(0.002*100)/2</f>
        <v>0.1</v>
      </c>
      <c r="L124" s="355" t="s">
        <v>545</v>
      </c>
      <c r="M124" s="348"/>
      <c r="N124" s="358">
        <v>1</v>
      </c>
      <c r="O124" s="359">
        <v>1</v>
      </c>
      <c r="P124" s="350">
        <f>+O124/N124</f>
        <v>1</v>
      </c>
      <c r="Q124" s="359" t="s">
        <v>546</v>
      </c>
      <c r="R124" s="359" t="s">
        <v>547</v>
      </c>
      <c r="S124" s="359" t="s">
        <v>548</v>
      </c>
      <c r="T124" s="359" t="s">
        <v>549</v>
      </c>
      <c r="U124" s="360">
        <f>+V124+V125</f>
        <v>5083787971.1400003</v>
      </c>
      <c r="V124" s="267">
        <v>4283325253.8099999</v>
      </c>
      <c r="W124" s="118"/>
      <c r="X124" s="118"/>
      <c r="Y124" s="118"/>
      <c r="Z124" s="118" t="s">
        <v>55</v>
      </c>
      <c r="AA124" s="118"/>
      <c r="AB124" s="118"/>
      <c r="AC124" s="118"/>
      <c r="AD124" s="118"/>
      <c r="AE124" s="118"/>
      <c r="AF124" s="267">
        <v>4283325253.8099999</v>
      </c>
      <c r="AG124" s="267">
        <v>4283325253.8099999</v>
      </c>
      <c r="AH124" s="119">
        <f t="shared" ref="AH124:AH125" si="22">+AG124/AF124</f>
        <v>1</v>
      </c>
      <c r="AI124" s="118"/>
      <c r="AJ124" s="118"/>
      <c r="AK124" s="361" t="s">
        <v>534</v>
      </c>
      <c r="AL124" s="361" t="s">
        <v>535</v>
      </c>
      <c r="AM124" s="118">
        <v>1</v>
      </c>
    </row>
    <row r="125" spans="1:39" ht="123.75" x14ac:dyDescent="0.25">
      <c r="A125" s="351"/>
      <c r="B125" s="352"/>
      <c r="C125" s="352"/>
      <c r="D125" s="352"/>
      <c r="E125" s="352"/>
      <c r="F125" s="266"/>
      <c r="G125" s="356" t="s">
        <v>550</v>
      </c>
      <c r="H125" s="356" t="s">
        <v>542</v>
      </c>
      <c r="I125" s="357" t="s">
        <v>543</v>
      </c>
      <c r="J125" s="30"/>
      <c r="K125" s="305"/>
      <c r="L125" s="355"/>
      <c r="M125" s="362"/>
      <c r="N125" s="363"/>
      <c r="O125" s="363"/>
      <c r="P125" s="191"/>
      <c r="Q125" s="363"/>
      <c r="R125" s="363"/>
      <c r="S125" s="363"/>
      <c r="T125" s="363"/>
      <c r="U125" s="364"/>
      <c r="V125" s="267">
        <v>800462717.33000004</v>
      </c>
      <c r="W125" s="118"/>
      <c r="X125" s="118"/>
      <c r="Y125" s="118"/>
      <c r="Z125" s="118" t="s">
        <v>55</v>
      </c>
      <c r="AA125" s="118"/>
      <c r="AB125" s="118"/>
      <c r="AC125" s="118"/>
      <c r="AD125" s="118"/>
      <c r="AE125" s="118"/>
      <c r="AF125" s="267">
        <v>800462717.33000004</v>
      </c>
      <c r="AG125" s="267">
        <v>800462717.33000004</v>
      </c>
      <c r="AH125" s="119">
        <f t="shared" si="22"/>
        <v>1</v>
      </c>
      <c r="AI125" s="118"/>
      <c r="AJ125" s="118"/>
      <c r="AK125" s="361"/>
      <c r="AL125" s="361"/>
      <c r="AM125" s="118"/>
    </row>
    <row r="126" spans="1:39" ht="90" x14ac:dyDescent="0.25">
      <c r="A126" s="351"/>
      <c r="B126" s="352"/>
      <c r="C126" s="352"/>
      <c r="D126" s="352"/>
      <c r="E126" s="352"/>
      <c r="F126" s="266"/>
      <c r="G126" s="266"/>
      <c r="H126" s="266"/>
      <c r="I126" s="266"/>
      <c r="J126" s="30" t="s">
        <v>551</v>
      </c>
      <c r="K126" s="284">
        <f t="shared" si="21"/>
        <v>0.1</v>
      </c>
      <c r="L126" s="355" t="s">
        <v>552</v>
      </c>
      <c r="M126" s="355"/>
      <c r="N126" s="355"/>
      <c r="O126" s="355"/>
      <c r="P126" s="119">
        <v>0</v>
      </c>
      <c r="Q126" s="355"/>
      <c r="R126" s="355"/>
      <c r="S126" s="355"/>
      <c r="T126" s="355"/>
      <c r="U126" s="355"/>
      <c r="V126" s="355"/>
      <c r="W126" s="355"/>
      <c r="X126" s="355"/>
      <c r="Y126" s="355"/>
      <c r="Z126" s="355"/>
      <c r="AA126" s="355"/>
      <c r="AB126" s="355"/>
      <c r="AC126" s="355"/>
      <c r="AD126" s="355"/>
      <c r="AE126" s="355"/>
      <c r="AF126" s="355"/>
      <c r="AG126" s="355"/>
      <c r="AH126" s="119">
        <v>0</v>
      </c>
      <c r="AI126" s="355"/>
      <c r="AJ126" s="355"/>
      <c r="AK126" s="361" t="s">
        <v>534</v>
      </c>
      <c r="AL126" s="365" t="s">
        <v>535</v>
      </c>
      <c r="AM126" s="118">
        <v>1</v>
      </c>
    </row>
    <row r="127" spans="1:39" ht="101.25" x14ac:dyDescent="0.25">
      <c r="A127" s="351"/>
      <c r="B127" s="352"/>
      <c r="C127" s="352"/>
      <c r="D127" s="352"/>
      <c r="E127" s="352"/>
      <c r="F127" s="266"/>
      <c r="G127" s="266"/>
      <c r="H127" s="266"/>
      <c r="I127" s="266"/>
      <c r="J127" s="34" t="s">
        <v>553</v>
      </c>
      <c r="K127" s="284">
        <f t="shared" si="21"/>
        <v>0.1</v>
      </c>
      <c r="L127" s="355" t="s">
        <v>554</v>
      </c>
      <c r="M127" s="355"/>
      <c r="N127" s="355"/>
      <c r="O127" s="355"/>
      <c r="P127" s="119">
        <v>0</v>
      </c>
      <c r="Q127" s="355"/>
      <c r="R127" s="355"/>
      <c r="S127" s="355"/>
      <c r="T127" s="355"/>
      <c r="U127" s="355"/>
      <c r="V127" s="355"/>
      <c r="W127" s="355"/>
      <c r="X127" s="355"/>
      <c r="Y127" s="355"/>
      <c r="Z127" s="355"/>
      <c r="AA127" s="355"/>
      <c r="AB127" s="355"/>
      <c r="AC127" s="355"/>
      <c r="AD127" s="355"/>
      <c r="AE127" s="355"/>
      <c r="AF127" s="355"/>
      <c r="AG127" s="355"/>
      <c r="AH127" s="119">
        <v>0</v>
      </c>
      <c r="AI127" s="355"/>
      <c r="AJ127" s="355"/>
      <c r="AK127" s="361" t="s">
        <v>534</v>
      </c>
      <c r="AL127" s="365" t="s">
        <v>535</v>
      </c>
      <c r="AM127" s="118">
        <v>1</v>
      </c>
    </row>
    <row r="128" spans="1:39" ht="33.75" x14ac:dyDescent="0.25">
      <c r="A128" s="351"/>
      <c r="B128" s="352"/>
      <c r="C128" s="352"/>
      <c r="D128" s="352"/>
      <c r="E128" s="352"/>
      <c r="F128" s="266"/>
      <c r="G128" s="266"/>
      <c r="H128" s="266"/>
      <c r="I128" s="266"/>
      <c r="J128" s="34" t="s">
        <v>555</v>
      </c>
      <c r="K128" s="284">
        <f>+(0.019*100)/2</f>
        <v>0.95</v>
      </c>
      <c r="L128" s="355" t="s">
        <v>556</v>
      </c>
      <c r="M128" s="355"/>
      <c r="N128" s="355"/>
      <c r="O128" s="355"/>
      <c r="P128" s="119">
        <v>0</v>
      </c>
      <c r="Q128" s="355"/>
      <c r="R128" s="355"/>
      <c r="S128" s="355"/>
      <c r="T128" s="355"/>
      <c r="U128" s="355"/>
      <c r="V128" s="355"/>
      <c r="W128" s="355"/>
      <c r="X128" s="355"/>
      <c r="Y128" s="355"/>
      <c r="Z128" s="355"/>
      <c r="AA128" s="355"/>
      <c r="AB128" s="355"/>
      <c r="AC128" s="355"/>
      <c r="AD128" s="355"/>
      <c r="AE128" s="355"/>
      <c r="AF128" s="355"/>
      <c r="AG128" s="355"/>
      <c r="AH128" s="119">
        <v>0</v>
      </c>
      <c r="AI128" s="355"/>
      <c r="AJ128" s="355"/>
      <c r="AK128" s="361" t="s">
        <v>534</v>
      </c>
      <c r="AL128" s="365" t="s">
        <v>535</v>
      </c>
      <c r="AM128" s="118">
        <v>1</v>
      </c>
    </row>
    <row r="129" spans="1:39" ht="168.75" x14ac:dyDescent="0.25">
      <c r="A129" s="351"/>
      <c r="B129" s="352"/>
      <c r="C129" s="352"/>
      <c r="D129" s="352"/>
      <c r="E129" s="352"/>
      <c r="F129" s="266"/>
      <c r="G129" s="356" t="s">
        <v>557</v>
      </c>
      <c r="H129" s="356" t="s">
        <v>558</v>
      </c>
      <c r="I129" s="34" t="s">
        <v>559</v>
      </c>
      <c r="J129" s="34" t="s">
        <v>560</v>
      </c>
      <c r="K129" s="366">
        <f>+(0.758*100)/2</f>
        <v>37.9</v>
      </c>
      <c r="L129" s="355" t="s">
        <v>561</v>
      </c>
      <c r="M129" s="355"/>
      <c r="N129" s="118">
        <v>0.94000000000000006</v>
      </c>
      <c r="O129" s="118">
        <v>0</v>
      </c>
      <c r="P129" s="119">
        <f>+O129/N129</f>
        <v>0</v>
      </c>
      <c r="Q129" s="118" t="s">
        <v>562</v>
      </c>
      <c r="R129" s="118" t="s">
        <v>563</v>
      </c>
      <c r="S129" s="118" t="s">
        <v>90</v>
      </c>
      <c r="T129" s="118" t="s">
        <v>564</v>
      </c>
      <c r="U129" s="267">
        <v>75000000</v>
      </c>
      <c r="V129" s="267">
        <v>75000000</v>
      </c>
      <c r="W129" s="118"/>
      <c r="X129" s="118"/>
      <c r="Y129" s="118"/>
      <c r="Z129" s="118" t="s">
        <v>55</v>
      </c>
      <c r="AA129" s="118"/>
      <c r="AB129" s="118"/>
      <c r="AC129" s="118"/>
      <c r="AD129" s="118"/>
      <c r="AE129" s="118"/>
      <c r="AF129" s="267">
        <v>75000000</v>
      </c>
      <c r="AG129" s="268">
        <v>74999999.390000001</v>
      </c>
      <c r="AH129" s="119">
        <f t="shared" ref="AH129:AH133" si="23">+AG129/AF129</f>
        <v>0.99999999186666666</v>
      </c>
      <c r="AI129" s="118" t="s">
        <v>565</v>
      </c>
      <c r="AJ129" s="118" t="s">
        <v>566</v>
      </c>
      <c r="AK129" s="361" t="s">
        <v>534</v>
      </c>
      <c r="AL129" s="361" t="s">
        <v>535</v>
      </c>
      <c r="AM129" s="118">
        <v>0.94000000000000006</v>
      </c>
    </row>
    <row r="130" spans="1:39" ht="146.25" x14ac:dyDescent="0.25">
      <c r="A130" s="351"/>
      <c r="B130" s="352"/>
      <c r="C130" s="352"/>
      <c r="D130" s="352"/>
      <c r="E130" s="352"/>
      <c r="F130" s="266"/>
      <c r="G130" s="356" t="s">
        <v>567</v>
      </c>
      <c r="H130" s="356" t="s">
        <v>568</v>
      </c>
      <c r="I130" s="356" t="s">
        <v>569</v>
      </c>
      <c r="J130" s="367" t="s">
        <v>570</v>
      </c>
      <c r="K130" s="366">
        <f>+(0.454*100)/2</f>
        <v>22.7</v>
      </c>
      <c r="L130" s="368" t="s">
        <v>571</v>
      </c>
      <c r="M130" s="355"/>
      <c r="N130" s="118">
        <v>0.90000000000000013</v>
      </c>
      <c r="O130" s="118">
        <v>0</v>
      </c>
      <c r="P130" s="119">
        <f t="shared" ref="P130:P131" si="24">+O130/N130</f>
        <v>0</v>
      </c>
      <c r="Q130" s="118" t="s">
        <v>572</v>
      </c>
      <c r="R130" s="118" t="s">
        <v>563</v>
      </c>
      <c r="S130" s="118" t="s">
        <v>90</v>
      </c>
      <c r="T130" s="118" t="s">
        <v>90</v>
      </c>
      <c r="U130" s="369">
        <v>1000000000</v>
      </c>
      <c r="V130" s="369">
        <v>1000000000</v>
      </c>
      <c r="W130" s="118"/>
      <c r="X130" s="118"/>
      <c r="Y130" s="118"/>
      <c r="Z130" s="118" t="s">
        <v>55</v>
      </c>
      <c r="AA130" s="118"/>
      <c r="AB130" s="118"/>
      <c r="AC130" s="118"/>
      <c r="AD130" s="118"/>
      <c r="AE130" s="118"/>
      <c r="AF130" s="369">
        <v>1000000000</v>
      </c>
      <c r="AG130" s="268">
        <v>600000000</v>
      </c>
      <c r="AH130" s="119">
        <f t="shared" si="23"/>
        <v>0.6</v>
      </c>
      <c r="AI130" s="118" t="s">
        <v>573</v>
      </c>
      <c r="AJ130" s="118" t="s">
        <v>566</v>
      </c>
      <c r="AK130" s="265" t="s">
        <v>534</v>
      </c>
      <c r="AL130" s="265" t="s">
        <v>535</v>
      </c>
      <c r="AM130" s="118">
        <v>0.90000000000000013</v>
      </c>
    </row>
    <row r="131" spans="1:39" ht="191.25" x14ac:dyDescent="0.25">
      <c r="A131" s="351"/>
      <c r="B131" s="352"/>
      <c r="C131" s="352"/>
      <c r="D131" s="352"/>
      <c r="E131" s="352"/>
      <c r="F131" s="266"/>
      <c r="G131" s="356" t="s">
        <v>574</v>
      </c>
      <c r="H131" s="356" t="s">
        <v>575</v>
      </c>
      <c r="I131" s="34" t="s">
        <v>576</v>
      </c>
      <c r="J131" s="367"/>
      <c r="K131" s="370"/>
      <c r="L131" s="368"/>
      <c r="M131" s="371"/>
      <c r="N131" s="372">
        <v>0.90000000000000013</v>
      </c>
      <c r="O131" s="38">
        <v>0.9</v>
      </c>
      <c r="P131" s="26">
        <f t="shared" si="24"/>
        <v>0.99999999999999989</v>
      </c>
      <c r="Q131" s="34" t="s">
        <v>577</v>
      </c>
      <c r="R131" s="34" t="s">
        <v>578</v>
      </c>
      <c r="S131" s="34" t="s">
        <v>90</v>
      </c>
      <c r="T131" s="34" t="s">
        <v>432</v>
      </c>
      <c r="U131" s="369">
        <v>400000000</v>
      </c>
      <c r="V131" s="369">
        <v>400000000</v>
      </c>
      <c r="W131" s="265"/>
      <c r="X131" s="265"/>
      <c r="Y131" s="265"/>
      <c r="Z131" s="265" t="s">
        <v>55</v>
      </c>
      <c r="AA131" s="265"/>
      <c r="AB131" s="265"/>
      <c r="AC131" s="265"/>
      <c r="AD131" s="265"/>
      <c r="AE131" s="265"/>
      <c r="AF131" s="369">
        <v>400000000</v>
      </c>
      <c r="AG131" s="369">
        <v>400000000</v>
      </c>
      <c r="AH131" s="119">
        <f t="shared" si="23"/>
        <v>1</v>
      </c>
      <c r="AI131" s="265" t="s">
        <v>579</v>
      </c>
      <c r="AJ131" s="265"/>
      <c r="AK131" s="265" t="s">
        <v>534</v>
      </c>
      <c r="AL131" s="265" t="s">
        <v>535</v>
      </c>
      <c r="AM131" s="118"/>
    </row>
    <row r="132" spans="1:39" ht="90" x14ac:dyDescent="0.25">
      <c r="A132" s="351"/>
      <c r="B132" s="352"/>
      <c r="C132" s="352"/>
      <c r="D132" s="352"/>
      <c r="E132" s="352"/>
      <c r="F132" s="266"/>
      <c r="G132" s="356" t="s">
        <v>580</v>
      </c>
      <c r="H132" s="356" t="s">
        <v>581</v>
      </c>
      <c r="I132" s="34" t="s">
        <v>576</v>
      </c>
      <c r="J132" s="367"/>
      <c r="K132" s="373"/>
      <c r="L132" s="368"/>
      <c r="M132" s="374"/>
      <c r="N132" s="374"/>
      <c r="O132" s="374"/>
      <c r="P132" s="191"/>
      <c r="Q132" s="34" t="s">
        <v>582</v>
      </c>
      <c r="R132" s="34" t="s">
        <v>583</v>
      </c>
      <c r="S132" s="34" t="s">
        <v>90</v>
      </c>
      <c r="T132" s="34" t="s">
        <v>432</v>
      </c>
      <c r="U132" s="369">
        <v>150000000</v>
      </c>
      <c r="V132" s="369">
        <v>150000000</v>
      </c>
      <c r="W132" s="265"/>
      <c r="X132" s="265"/>
      <c r="Y132" s="265"/>
      <c r="Z132" s="265" t="s">
        <v>55</v>
      </c>
      <c r="AA132" s="265"/>
      <c r="AB132" s="265"/>
      <c r="AC132" s="265"/>
      <c r="AD132" s="265"/>
      <c r="AE132" s="265"/>
      <c r="AF132" s="369">
        <v>150000000</v>
      </c>
      <c r="AG132" s="369">
        <v>150000000</v>
      </c>
      <c r="AH132" s="119">
        <f t="shared" si="23"/>
        <v>1</v>
      </c>
      <c r="AI132" s="265" t="s">
        <v>579</v>
      </c>
      <c r="AJ132" s="265"/>
      <c r="AK132" s="265" t="s">
        <v>534</v>
      </c>
      <c r="AL132" s="265" t="s">
        <v>535</v>
      </c>
      <c r="AM132" s="118"/>
    </row>
    <row r="133" spans="1:39" ht="90" x14ac:dyDescent="0.25">
      <c r="A133" s="351"/>
      <c r="B133" s="352"/>
      <c r="C133" s="352"/>
      <c r="D133" s="352"/>
      <c r="E133" s="352"/>
      <c r="F133" s="266"/>
      <c r="G133" s="375" t="s">
        <v>584</v>
      </c>
      <c r="H133" s="376" t="s">
        <v>585</v>
      </c>
      <c r="I133" s="376" t="s">
        <v>586</v>
      </c>
      <c r="J133" s="367"/>
      <c r="K133" s="373"/>
      <c r="L133" s="368"/>
      <c r="M133" s="374"/>
      <c r="N133" s="377">
        <v>0.9</v>
      </c>
      <c r="O133" s="377">
        <v>0</v>
      </c>
      <c r="P133" s="119">
        <f t="shared" ref="P133" si="25">+O133/N133</f>
        <v>0</v>
      </c>
      <c r="Q133" s="376" t="s">
        <v>587</v>
      </c>
      <c r="R133" s="376" t="s">
        <v>588</v>
      </c>
      <c r="S133" s="376" t="s">
        <v>90</v>
      </c>
      <c r="T133" s="376" t="s">
        <v>201</v>
      </c>
      <c r="U133" s="378">
        <v>1081495712</v>
      </c>
      <c r="V133" s="378">
        <v>1081495712</v>
      </c>
      <c r="W133" s="376"/>
      <c r="X133" s="376"/>
      <c r="Y133" s="376"/>
      <c r="Z133" s="376" t="s">
        <v>55</v>
      </c>
      <c r="AA133" s="376"/>
      <c r="AB133" s="376"/>
      <c r="AC133" s="376"/>
      <c r="AD133" s="376"/>
      <c r="AE133" s="376"/>
      <c r="AF133" s="379">
        <f>+V133</f>
        <v>1081495712</v>
      </c>
      <c r="AG133" s="379">
        <v>0</v>
      </c>
      <c r="AH133" s="119">
        <f t="shared" si="23"/>
        <v>0</v>
      </c>
      <c r="AI133" s="380"/>
      <c r="AJ133" s="380" t="s">
        <v>589</v>
      </c>
      <c r="AK133" s="380"/>
      <c r="AL133" s="380" t="s">
        <v>590</v>
      </c>
      <c r="AM133" s="118"/>
    </row>
    <row r="134" spans="1:39" ht="67.5" x14ac:dyDescent="0.25">
      <c r="A134" s="351"/>
      <c r="B134" s="352"/>
      <c r="C134" s="352"/>
      <c r="D134" s="352"/>
      <c r="E134" s="352"/>
      <c r="F134" s="266"/>
      <c r="G134" s="266"/>
      <c r="H134" s="266"/>
      <c r="I134" s="266"/>
      <c r="J134" s="34" t="s">
        <v>591</v>
      </c>
      <c r="K134" s="373">
        <f>+(0.004*100)/2</f>
        <v>0.2</v>
      </c>
      <c r="L134" s="355" t="s">
        <v>592</v>
      </c>
      <c r="M134" s="355"/>
      <c r="N134" s="355"/>
      <c r="O134" s="355"/>
      <c r="P134" s="119">
        <v>0</v>
      </c>
      <c r="Q134" s="355"/>
      <c r="R134" s="355"/>
      <c r="S134" s="355"/>
      <c r="T134" s="355"/>
      <c r="U134" s="355"/>
      <c r="V134" s="355"/>
      <c r="W134" s="355"/>
      <c r="X134" s="355"/>
      <c r="Y134" s="355"/>
      <c r="Z134" s="355"/>
      <c r="AA134" s="355"/>
      <c r="AB134" s="355"/>
      <c r="AC134" s="355"/>
      <c r="AD134" s="355"/>
      <c r="AE134" s="355"/>
      <c r="AF134" s="355"/>
      <c r="AG134" s="355"/>
      <c r="AH134" s="119">
        <v>0</v>
      </c>
      <c r="AI134" s="355"/>
      <c r="AJ134" s="355"/>
      <c r="AK134" s="265" t="s">
        <v>534</v>
      </c>
      <c r="AL134" s="35" t="s">
        <v>535</v>
      </c>
      <c r="AM134" s="265">
        <v>1</v>
      </c>
    </row>
    <row r="135" spans="1:39" ht="112.5" x14ac:dyDescent="0.25">
      <c r="A135" s="351"/>
      <c r="B135" s="352"/>
      <c r="C135" s="352"/>
      <c r="D135" s="352"/>
      <c r="E135" s="352"/>
      <c r="F135" s="266"/>
      <c r="G135" s="381" t="s">
        <v>593</v>
      </c>
      <c r="H135" s="356" t="s">
        <v>594</v>
      </c>
      <c r="I135" s="34" t="s">
        <v>595</v>
      </c>
      <c r="J135" s="34" t="s">
        <v>596</v>
      </c>
      <c r="K135" s="284">
        <f>+(0.383*100)/2</f>
        <v>19.149999999999999</v>
      </c>
      <c r="L135" s="355" t="s">
        <v>597</v>
      </c>
      <c r="M135" s="355"/>
      <c r="N135" s="118">
        <v>0.65</v>
      </c>
      <c r="O135" s="118">
        <v>0.65</v>
      </c>
      <c r="P135" s="119">
        <f t="shared" ref="P135" si="26">+O135/N135</f>
        <v>1</v>
      </c>
      <c r="Q135" s="34" t="s">
        <v>595</v>
      </c>
      <c r="R135" s="118" t="s">
        <v>598</v>
      </c>
      <c r="S135" s="118" t="s">
        <v>548</v>
      </c>
      <c r="T135" s="118" t="s">
        <v>549</v>
      </c>
      <c r="U135" s="382">
        <v>180000000</v>
      </c>
      <c r="V135" s="382">
        <v>180000000</v>
      </c>
      <c r="W135" s="118"/>
      <c r="X135" s="118"/>
      <c r="Y135" s="118"/>
      <c r="Z135" s="118" t="s">
        <v>55</v>
      </c>
      <c r="AA135" s="118"/>
      <c r="AB135" s="118"/>
      <c r="AC135" s="118"/>
      <c r="AD135" s="118"/>
      <c r="AE135" s="118"/>
      <c r="AF135" s="382">
        <v>180000000</v>
      </c>
      <c r="AG135" s="382">
        <v>180000000</v>
      </c>
      <c r="AH135" s="119">
        <f t="shared" ref="AH135" si="27">+AG135/AF135</f>
        <v>1</v>
      </c>
      <c r="AI135" s="118"/>
      <c r="AJ135" s="118"/>
      <c r="AK135" s="265" t="s">
        <v>534</v>
      </c>
      <c r="AL135" s="265" t="s">
        <v>535</v>
      </c>
      <c r="AM135" s="118">
        <v>0.65</v>
      </c>
    </row>
    <row r="136" spans="1:39" ht="45" x14ac:dyDescent="0.25">
      <c r="A136" s="351"/>
      <c r="B136" s="352"/>
      <c r="C136" s="352"/>
      <c r="D136" s="352"/>
      <c r="E136" s="352"/>
      <c r="F136" s="266"/>
      <c r="G136" s="266"/>
      <c r="H136" s="266"/>
      <c r="I136" s="266"/>
      <c r="J136" s="34" t="s">
        <v>599</v>
      </c>
      <c r="K136" s="284">
        <f>+(0.106*100)/2</f>
        <v>5.3</v>
      </c>
      <c r="L136" s="355" t="s">
        <v>600</v>
      </c>
      <c r="M136" s="355"/>
      <c r="N136" s="355"/>
      <c r="O136" s="355"/>
      <c r="P136" s="119">
        <v>0</v>
      </c>
      <c r="Q136" s="355"/>
      <c r="R136" s="355"/>
      <c r="S136" s="355"/>
      <c r="T136" s="355"/>
      <c r="U136" s="355"/>
      <c r="V136" s="355"/>
      <c r="W136" s="355"/>
      <c r="X136" s="355"/>
      <c r="Y136" s="355"/>
      <c r="Z136" s="355"/>
      <c r="AA136" s="355"/>
      <c r="AB136" s="355"/>
      <c r="AC136" s="355"/>
      <c r="AD136" s="355"/>
      <c r="AE136" s="355"/>
      <c r="AF136" s="355"/>
      <c r="AG136" s="355"/>
      <c r="AH136" s="119">
        <v>0</v>
      </c>
      <c r="AI136" s="355"/>
      <c r="AJ136" s="355"/>
      <c r="AK136" s="265" t="s">
        <v>534</v>
      </c>
      <c r="AL136" s="35" t="s">
        <v>535</v>
      </c>
      <c r="AM136" s="265">
        <v>2</v>
      </c>
    </row>
    <row r="137" spans="1:39" ht="135" x14ac:dyDescent="0.25">
      <c r="A137" s="351"/>
      <c r="B137" s="352"/>
      <c r="C137" s="352"/>
      <c r="D137" s="352"/>
      <c r="E137" s="352"/>
      <c r="F137" s="266"/>
      <c r="G137" s="294" t="s">
        <v>601</v>
      </c>
      <c r="H137" s="294" t="s">
        <v>602</v>
      </c>
      <c r="I137" s="34" t="s">
        <v>603</v>
      </c>
      <c r="J137" s="34" t="s">
        <v>604</v>
      </c>
      <c r="K137" s="284">
        <f>+(0.255*100)/2</f>
        <v>12.75</v>
      </c>
      <c r="L137" s="355" t="s">
        <v>605</v>
      </c>
      <c r="M137" s="355"/>
      <c r="N137" s="118">
        <v>0.64603658536585362</v>
      </c>
      <c r="O137" s="118">
        <v>0.65</v>
      </c>
      <c r="P137" s="119">
        <f t="shared" ref="P137" si="28">+O137/N137</f>
        <v>1.0061349693251536</v>
      </c>
      <c r="Q137" s="118" t="s">
        <v>606</v>
      </c>
      <c r="R137" s="118" t="s">
        <v>607</v>
      </c>
      <c r="S137" s="118" t="s">
        <v>548</v>
      </c>
      <c r="T137" s="118" t="s">
        <v>90</v>
      </c>
      <c r="U137" s="369">
        <v>940000000</v>
      </c>
      <c r="V137" s="369">
        <v>940000000</v>
      </c>
      <c r="W137" s="118"/>
      <c r="X137" s="118"/>
      <c r="Y137" s="118"/>
      <c r="Z137" s="118" t="s">
        <v>55</v>
      </c>
      <c r="AA137" s="118"/>
      <c r="AB137" s="118"/>
      <c r="AC137" s="118"/>
      <c r="AD137" s="118"/>
      <c r="AE137" s="118"/>
      <c r="AF137" s="369">
        <v>940000000</v>
      </c>
      <c r="AG137" s="268">
        <v>939999999.70000005</v>
      </c>
      <c r="AH137" s="119">
        <f t="shared" ref="AH137" si="29">+AG137/AF137</f>
        <v>0.99999999968085107</v>
      </c>
      <c r="AI137" s="118"/>
      <c r="AJ137" s="118"/>
      <c r="AK137" s="265" t="s">
        <v>534</v>
      </c>
      <c r="AL137" s="265" t="s">
        <v>535</v>
      </c>
      <c r="AM137" s="118">
        <v>0.64603658536585362</v>
      </c>
    </row>
    <row r="138" spans="1:39" ht="33.75" x14ac:dyDescent="0.25">
      <c r="A138" s="351"/>
      <c r="B138" s="352"/>
      <c r="C138" s="352"/>
      <c r="D138" s="352"/>
      <c r="E138" s="352"/>
      <c r="F138" s="266"/>
      <c r="G138" s="266"/>
      <c r="H138" s="266"/>
      <c r="I138" s="266"/>
      <c r="J138" s="34" t="s">
        <v>608</v>
      </c>
      <c r="K138" s="284">
        <f>+(0.005*100)/2</f>
        <v>0.25</v>
      </c>
      <c r="L138" s="355" t="s">
        <v>609</v>
      </c>
      <c r="M138" s="355"/>
      <c r="N138" s="355"/>
      <c r="O138" s="355"/>
      <c r="P138" s="119">
        <v>0</v>
      </c>
      <c r="Q138" s="355"/>
      <c r="R138" s="355"/>
      <c r="S138" s="355"/>
      <c r="T138" s="355"/>
      <c r="U138" s="355"/>
      <c r="V138" s="355"/>
      <c r="W138" s="355"/>
      <c r="X138" s="355"/>
      <c r="Y138" s="355"/>
      <c r="Z138" s="355"/>
      <c r="AA138" s="355"/>
      <c r="AB138" s="355"/>
      <c r="AC138" s="355"/>
      <c r="AD138" s="355"/>
      <c r="AE138" s="355"/>
      <c r="AF138" s="355"/>
      <c r="AG138" s="355"/>
      <c r="AH138" s="119">
        <v>0</v>
      </c>
      <c r="AI138" s="355"/>
      <c r="AJ138" s="355"/>
      <c r="AK138" s="265" t="s">
        <v>534</v>
      </c>
      <c r="AL138" s="35" t="s">
        <v>535</v>
      </c>
      <c r="AM138" s="118">
        <v>1</v>
      </c>
    </row>
    <row r="139" spans="1:39" ht="135" x14ac:dyDescent="0.25">
      <c r="A139" s="351"/>
      <c r="B139" s="352"/>
      <c r="C139" s="352"/>
      <c r="D139" s="352"/>
      <c r="E139" s="352"/>
      <c r="F139" s="266"/>
      <c r="G139" s="356" t="s">
        <v>610</v>
      </c>
      <c r="H139" s="356" t="s">
        <v>611</v>
      </c>
      <c r="I139" s="34" t="s">
        <v>612</v>
      </c>
      <c r="J139" s="383" t="s">
        <v>613</v>
      </c>
      <c r="K139" s="284">
        <f>+(0.004*100)/2</f>
        <v>0.2</v>
      </c>
      <c r="L139" s="383" t="s">
        <v>614</v>
      </c>
      <c r="M139" s="355"/>
      <c r="N139" s="118">
        <v>0.75</v>
      </c>
      <c r="O139" s="118">
        <v>0.75</v>
      </c>
      <c r="P139" s="119">
        <f t="shared" ref="P139:P140" si="30">+O139/N139</f>
        <v>1</v>
      </c>
      <c r="Q139" s="118" t="s">
        <v>615</v>
      </c>
      <c r="R139" s="118" t="s">
        <v>285</v>
      </c>
      <c r="S139" s="118" t="s">
        <v>616</v>
      </c>
      <c r="T139" s="118" t="s">
        <v>331</v>
      </c>
      <c r="U139" s="369">
        <v>60000000</v>
      </c>
      <c r="V139" s="369">
        <v>60000000</v>
      </c>
      <c r="W139" s="118" t="s">
        <v>55</v>
      </c>
      <c r="X139" s="118"/>
      <c r="Y139" s="118"/>
      <c r="Z139" s="118"/>
      <c r="AA139" s="118"/>
      <c r="AB139" s="118"/>
      <c r="AC139" s="118"/>
      <c r="AD139" s="118"/>
      <c r="AE139" s="118"/>
      <c r="AF139" s="369">
        <v>60000000</v>
      </c>
      <c r="AG139" s="369">
        <v>60000000</v>
      </c>
      <c r="AH139" s="119">
        <f t="shared" ref="AH139" si="31">+AG139/AF139</f>
        <v>1</v>
      </c>
      <c r="AI139" s="118" t="s">
        <v>617</v>
      </c>
      <c r="AJ139" s="118"/>
      <c r="AK139" s="265" t="s">
        <v>534</v>
      </c>
      <c r="AL139" s="265" t="s">
        <v>535</v>
      </c>
      <c r="AM139" s="118" t="s">
        <v>618</v>
      </c>
    </row>
    <row r="140" spans="1:39" ht="123.75" x14ac:dyDescent="0.25">
      <c r="A140" s="351"/>
      <c r="B140" s="352"/>
      <c r="C140" s="352"/>
      <c r="D140" s="352"/>
      <c r="E140" s="352"/>
      <c r="F140" s="266"/>
      <c r="G140" s="384" t="s">
        <v>619</v>
      </c>
      <c r="H140" s="384" t="s">
        <v>611</v>
      </c>
      <c r="I140" s="384" t="s">
        <v>620</v>
      </c>
      <c r="J140" s="383"/>
      <c r="K140" s="284"/>
      <c r="L140" s="383"/>
      <c r="M140" s="385"/>
      <c r="N140" s="386">
        <v>0.75</v>
      </c>
      <c r="O140" s="386">
        <v>0.75</v>
      </c>
      <c r="P140" s="26">
        <f t="shared" si="30"/>
        <v>1</v>
      </c>
      <c r="Q140" s="387" t="s">
        <v>621</v>
      </c>
      <c r="R140" s="387" t="s">
        <v>622</v>
      </c>
      <c r="S140" s="387" t="s">
        <v>623</v>
      </c>
      <c r="T140" s="387" t="s">
        <v>624</v>
      </c>
      <c r="U140" s="388">
        <v>341526955.26000005</v>
      </c>
      <c r="V140" s="388">
        <v>341526955.26000005</v>
      </c>
      <c r="W140" s="387" t="s">
        <v>55</v>
      </c>
      <c r="X140" s="387"/>
      <c r="Y140" s="387"/>
      <c r="Z140" s="387" t="s">
        <v>55</v>
      </c>
      <c r="AA140" s="387"/>
      <c r="AB140" s="387"/>
      <c r="AC140" s="387"/>
      <c r="AD140" s="387"/>
      <c r="AE140" s="387"/>
      <c r="AF140" s="388">
        <v>341526955.26000005</v>
      </c>
      <c r="AG140" s="388">
        <v>341526955.26000005</v>
      </c>
      <c r="AH140" s="119">
        <f>+AG140/AF140</f>
        <v>1</v>
      </c>
      <c r="AI140" s="387" t="s">
        <v>617</v>
      </c>
      <c r="AJ140" s="387"/>
      <c r="AK140" s="165" t="s">
        <v>534</v>
      </c>
      <c r="AL140" s="165" t="s">
        <v>535</v>
      </c>
      <c r="AM140" s="118"/>
    </row>
    <row r="141" spans="1:39" ht="45" x14ac:dyDescent="0.25">
      <c r="A141" s="351"/>
      <c r="B141" s="352"/>
      <c r="C141" s="352"/>
      <c r="D141" s="352"/>
      <c r="E141" s="352"/>
      <c r="F141" s="278"/>
      <c r="G141" s="278"/>
      <c r="H141" s="278"/>
      <c r="I141" s="278"/>
      <c r="J141" s="34" t="s">
        <v>625</v>
      </c>
      <c r="K141" s="284">
        <f>+(0.004*100)/2</f>
        <v>0.2</v>
      </c>
      <c r="L141" s="355" t="s">
        <v>626</v>
      </c>
      <c r="M141" s="355"/>
      <c r="N141" s="355"/>
      <c r="O141" s="355"/>
      <c r="P141" s="119">
        <v>0</v>
      </c>
      <c r="Q141" s="355"/>
      <c r="R141" s="355"/>
      <c r="S141" s="355"/>
      <c r="T141" s="355"/>
      <c r="U141" s="355"/>
      <c r="V141" s="355"/>
      <c r="W141" s="355"/>
      <c r="X141" s="355"/>
      <c r="Y141" s="355"/>
      <c r="Z141" s="355"/>
      <c r="AA141" s="355"/>
      <c r="AB141" s="355"/>
      <c r="AC141" s="355"/>
      <c r="AD141" s="355"/>
      <c r="AE141" s="355"/>
      <c r="AF141" s="355"/>
      <c r="AG141" s="355"/>
      <c r="AH141" s="119">
        <v>0</v>
      </c>
      <c r="AI141" s="355"/>
      <c r="AJ141" s="355"/>
      <c r="AK141" s="265" t="s">
        <v>534</v>
      </c>
      <c r="AL141" s="35" t="s">
        <v>535</v>
      </c>
      <c r="AM141" s="265">
        <v>0</v>
      </c>
    </row>
    <row r="142" spans="1:39" ht="33.75" x14ac:dyDescent="0.25">
      <c r="A142" s="351"/>
      <c r="B142" s="352"/>
      <c r="C142" s="352"/>
      <c r="D142" s="352"/>
      <c r="E142" s="352"/>
      <c r="F142" s="110" t="s">
        <v>158</v>
      </c>
      <c r="G142" s="110"/>
      <c r="H142" s="110"/>
      <c r="I142" s="110"/>
      <c r="J142" s="112"/>
      <c r="K142" s="262">
        <f>SUM(K123:K141)</f>
        <v>100.00000000000001</v>
      </c>
      <c r="L142" s="112"/>
      <c r="M142" s="112"/>
      <c r="N142" s="112"/>
      <c r="O142" s="112"/>
      <c r="P142" s="112"/>
      <c r="Q142" s="112"/>
      <c r="R142" s="112"/>
      <c r="S142" s="112"/>
      <c r="T142" s="112"/>
      <c r="U142" s="112"/>
      <c r="V142" s="112"/>
      <c r="W142" s="112"/>
      <c r="X142" s="112"/>
      <c r="Y142" s="112"/>
      <c r="Z142" s="112"/>
      <c r="AA142" s="112"/>
      <c r="AB142" s="112"/>
      <c r="AC142" s="112"/>
      <c r="AD142" s="112"/>
      <c r="AE142" s="112"/>
      <c r="AF142" s="112"/>
      <c r="AG142" s="112"/>
      <c r="AH142" s="112"/>
      <c r="AI142" s="112"/>
      <c r="AJ142" s="112"/>
      <c r="AK142" s="144"/>
      <c r="AL142" s="113"/>
      <c r="AM142" s="144"/>
    </row>
    <row r="143" spans="1:39" ht="123.75" x14ac:dyDescent="0.25">
      <c r="A143" s="351"/>
      <c r="B143" s="352"/>
      <c r="C143" s="352"/>
      <c r="D143" s="352"/>
      <c r="E143" s="352"/>
      <c r="F143" s="389" t="s">
        <v>627</v>
      </c>
      <c r="G143" s="389" t="s">
        <v>628</v>
      </c>
      <c r="H143" s="389" t="s">
        <v>629</v>
      </c>
      <c r="I143" s="389" t="s">
        <v>630</v>
      </c>
      <c r="J143" s="384" t="s">
        <v>631</v>
      </c>
      <c r="K143" s="387">
        <f>+(0.064*100)/2.5</f>
        <v>2.56</v>
      </c>
      <c r="L143" s="385" t="s">
        <v>632</v>
      </c>
      <c r="M143" s="385"/>
      <c r="N143" s="385">
        <v>0.95</v>
      </c>
      <c r="O143" s="390">
        <v>0.95</v>
      </c>
      <c r="P143" s="119">
        <f t="shared" ref="P143:P145" si="32">+O143/N143</f>
        <v>1</v>
      </c>
      <c r="Q143" s="385" t="s">
        <v>633</v>
      </c>
      <c r="R143" s="390" t="s">
        <v>598</v>
      </c>
      <c r="S143" s="391" t="s">
        <v>89</v>
      </c>
      <c r="T143" s="391" t="s">
        <v>634</v>
      </c>
      <c r="U143" s="392">
        <v>150000000</v>
      </c>
      <c r="V143" s="392">
        <v>150000000</v>
      </c>
      <c r="W143" s="390" t="s">
        <v>55</v>
      </c>
      <c r="X143" s="390"/>
      <c r="Y143" s="390" t="s">
        <v>55</v>
      </c>
      <c r="Z143" s="390"/>
      <c r="AA143" s="390"/>
      <c r="AB143" s="390"/>
      <c r="AC143" s="390"/>
      <c r="AD143" s="390"/>
      <c r="AE143" s="390"/>
      <c r="AF143" s="392">
        <v>150000000</v>
      </c>
      <c r="AG143" s="392">
        <v>150000000</v>
      </c>
      <c r="AH143" s="26">
        <f>+AG143/AF143</f>
        <v>1</v>
      </c>
      <c r="AI143" s="390" t="s">
        <v>635</v>
      </c>
      <c r="AJ143" s="390" t="s">
        <v>636</v>
      </c>
      <c r="AK143" s="186" t="s">
        <v>534</v>
      </c>
      <c r="AL143" s="186" t="s">
        <v>535</v>
      </c>
      <c r="AM143" s="385">
        <v>0.95</v>
      </c>
    </row>
    <row r="144" spans="1:39" ht="123.75" x14ac:dyDescent="0.25">
      <c r="A144" s="351"/>
      <c r="B144" s="352"/>
      <c r="C144" s="352"/>
      <c r="D144" s="352"/>
      <c r="E144" s="352"/>
      <c r="F144" s="393"/>
      <c r="G144" s="393"/>
      <c r="H144" s="393"/>
      <c r="I144" s="393"/>
      <c r="J144" s="394" t="s">
        <v>637</v>
      </c>
      <c r="K144" s="387">
        <f>+(0.064*100)/2.5</f>
        <v>2.56</v>
      </c>
      <c r="L144" s="385" t="s">
        <v>638</v>
      </c>
      <c r="M144" s="385"/>
      <c r="N144" s="385">
        <v>0.95</v>
      </c>
      <c r="O144" s="385">
        <v>0.95</v>
      </c>
      <c r="P144" s="119">
        <f t="shared" si="32"/>
        <v>1</v>
      </c>
      <c r="Q144" s="385" t="s">
        <v>639</v>
      </c>
      <c r="R144" s="385" t="s">
        <v>640</v>
      </c>
      <c r="S144" s="395"/>
      <c r="T144" s="395"/>
      <c r="U144" s="396"/>
      <c r="V144" s="397"/>
      <c r="W144" s="398"/>
      <c r="X144" s="398"/>
      <c r="Y144" s="398"/>
      <c r="Z144" s="398"/>
      <c r="AA144" s="398"/>
      <c r="AB144" s="398"/>
      <c r="AC144" s="398"/>
      <c r="AD144" s="398"/>
      <c r="AE144" s="398"/>
      <c r="AF144" s="399"/>
      <c r="AG144" s="399"/>
      <c r="AH144" s="26">
        <v>1</v>
      </c>
      <c r="AI144" s="398"/>
      <c r="AJ144" s="398"/>
      <c r="AK144" s="400"/>
      <c r="AL144" s="400"/>
      <c r="AM144" s="385">
        <v>0.95</v>
      </c>
    </row>
    <row r="145" spans="1:39" ht="56.25" x14ac:dyDescent="0.25">
      <c r="A145" s="351"/>
      <c r="B145" s="352"/>
      <c r="C145" s="352"/>
      <c r="D145" s="352"/>
      <c r="E145" s="352"/>
      <c r="F145" s="393"/>
      <c r="G145" s="393"/>
      <c r="H145" s="393"/>
      <c r="I145" s="401"/>
      <c r="J145" s="394" t="s">
        <v>641</v>
      </c>
      <c r="K145" s="402">
        <f>+(0.063*100)/2.5</f>
        <v>2.52</v>
      </c>
      <c r="L145" s="394" t="s">
        <v>642</v>
      </c>
      <c r="M145" s="389"/>
      <c r="N145" s="403">
        <v>0.95</v>
      </c>
      <c r="O145" s="404">
        <v>0.95</v>
      </c>
      <c r="P145" s="119">
        <f t="shared" si="32"/>
        <v>1</v>
      </c>
      <c r="Q145" s="385" t="s">
        <v>643</v>
      </c>
      <c r="R145" s="399" t="s">
        <v>285</v>
      </c>
      <c r="S145" s="391" t="s">
        <v>89</v>
      </c>
      <c r="T145" s="391" t="s">
        <v>634</v>
      </c>
      <c r="U145" s="392">
        <v>251739200</v>
      </c>
      <c r="V145" s="396">
        <v>251739200</v>
      </c>
      <c r="W145" s="392"/>
      <c r="X145" s="392"/>
      <c r="Y145" s="392" t="s">
        <v>55</v>
      </c>
      <c r="Z145" s="392"/>
      <c r="AA145" s="392"/>
      <c r="AB145" s="392"/>
      <c r="AC145" s="392"/>
      <c r="AD145" s="392"/>
      <c r="AE145" s="392"/>
      <c r="AF145" s="396">
        <v>251739200</v>
      </c>
      <c r="AG145" s="396">
        <v>251739200</v>
      </c>
      <c r="AH145" s="26">
        <f>+AG145/AF145</f>
        <v>1</v>
      </c>
      <c r="AI145" s="392"/>
      <c r="AJ145" s="392"/>
      <c r="AK145" s="186" t="s">
        <v>534</v>
      </c>
      <c r="AL145" s="186" t="s">
        <v>535</v>
      </c>
      <c r="AM145" s="385">
        <v>0.95</v>
      </c>
    </row>
    <row r="146" spans="1:39" ht="56.25" x14ac:dyDescent="0.25">
      <c r="A146" s="351"/>
      <c r="B146" s="352"/>
      <c r="C146" s="352"/>
      <c r="D146" s="352"/>
      <c r="E146" s="352"/>
      <c r="F146" s="393"/>
      <c r="G146" s="393"/>
      <c r="H146" s="393"/>
      <c r="I146" s="401"/>
      <c r="J146" s="405"/>
      <c r="K146" s="402"/>
      <c r="L146" s="405"/>
      <c r="M146" s="393"/>
      <c r="N146" s="393"/>
      <c r="O146" s="393"/>
      <c r="P146" s="406"/>
      <c r="Q146" s="384" t="s">
        <v>644</v>
      </c>
      <c r="R146" s="385" t="s">
        <v>645</v>
      </c>
      <c r="S146" s="407"/>
      <c r="T146" s="407"/>
      <c r="U146" s="396"/>
      <c r="V146" s="396"/>
      <c r="W146" s="396"/>
      <c r="X146" s="396"/>
      <c r="Y146" s="396"/>
      <c r="Z146" s="396"/>
      <c r="AA146" s="396"/>
      <c r="AB146" s="396"/>
      <c r="AC146" s="396"/>
      <c r="AD146" s="396"/>
      <c r="AE146" s="396"/>
      <c r="AF146" s="396"/>
      <c r="AG146" s="396"/>
      <c r="AH146" s="408"/>
      <c r="AI146" s="396"/>
      <c r="AJ146" s="396"/>
      <c r="AK146" s="396"/>
      <c r="AL146" s="396"/>
      <c r="AM146" s="385"/>
    </row>
    <row r="147" spans="1:39" ht="112.5" x14ac:dyDescent="0.25">
      <c r="A147" s="351"/>
      <c r="B147" s="352"/>
      <c r="C147" s="352"/>
      <c r="D147" s="352"/>
      <c r="E147" s="352"/>
      <c r="F147" s="393"/>
      <c r="G147" s="393"/>
      <c r="H147" s="393"/>
      <c r="I147" s="401"/>
      <c r="J147" s="409"/>
      <c r="K147" s="402"/>
      <c r="L147" s="409"/>
      <c r="M147" s="410"/>
      <c r="N147" s="410"/>
      <c r="O147" s="410"/>
      <c r="P147" s="411"/>
      <c r="Q147" s="384" t="s">
        <v>646</v>
      </c>
      <c r="R147" s="398" t="s">
        <v>285</v>
      </c>
      <c r="S147" s="395"/>
      <c r="T147" s="395"/>
      <c r="U147" s="397"/>
      <c r="V147" s="397"/>
      <c r="W147" s="397"/>
      <c r="X147" s="397"/>
      <c r="Y147" s="397"/>
      <c r="Z147" s="397"/>
      <c r="AA147" s="397"/>
      <c r="AB147" s="397"/>
      <c r="AC147" s="397"/>
      <c r="AD147" s="397"/>
      <c r="AE147" s="397"/>
      <c r="AF147" s="397"/>
      <c r="AG147" s="397"/>
      <c r="AH147" s="229"/>
      <c r="AI147" s="397"/>
      <c r="AJ147" s="397"/>
      <c r="AK147" s="397"/>
      <c r="AL147" s="397"/>
      <c r="AM147" s="385"/>
    </row>
    <row r="148" spans="1:39" ht="146.25" x14ac:dyDescent="0.25">
      <c r="A148" s="351"/>
      <c r="B148" s="352"/>
      <c r="C148" s="352"/>
      <c r="D148" s="352"/>
      <c r="E148" s="352"/>
      <c r="F148" s="393"/>
      <c r="G148" s="389" t="s">
        <v>647</v>
      </c>
      <c r="H148" s="389" t="s">
        <v>648</v>
      </c>
      <c r="I148" s="389" t="s">
        <v>649</v>
      </c>
      <c r="J148" s="409" t="s">
        <v>650</v>
      </c>
      <c r="K148" s="387">
        <f>+(0.025*100)/2.5</f>
        <v>1</v>
      </c>
      <c r="L148" s="385" t="s">
        <v>651</v>
      </c>
      <c r="M148" s="385"/>
      <c r="N148" s="387">
        <v>1</v>
      </c>
      <c r="O148" s="387">
        <v>1</v>
      </c>
      <c r="P148" s="412">
        <f t="shared" ref="P148:P156" si="33">+O148/N148</f>
        <v>1</v>
      </c>
      <c r="Q148" s="413" t="s">
        <v>652</v>
      </c>
      <c r="R148" s="413" t="s">
        <v>653</v>
      </c>
      <c r="S148" s="413" t="s">
        <v>654</v>
      </c>
      <c r="T148" s="413" t="s">
        <v>90</v>
      </c>
      <c r="U148" s="164">
        <v>1100000000</v>
      </c>
      <c r="V148" s="164">
        <v>1100000000</v>
      </c>
      <c r="W148" s="164"/>
      <c r="X148" s="164"/>
      <c r="Y148" s="164"/>
      <c r="Z148" s="164" t="s">
        <v>55</v>
      </c>
      <c r="AA148" s="164"/>
      <c r="AB148" s="164"/>
      <c r="AC148" s="164"/>
      <c r="AD148" s="164"/>
      <c r="AE148" s="164"/>
      <c r="AF148" s="164">
        <v>1100000000</v>
      </c>
      <c r="AG148" s="164">
        <v>1100000000</v>
      </c>
      <c r="AH148" s="26">
        <f>+AG148/AF148</f>
        <v>1</v>
      </c>
      <c r="AI148" s="413" t="s">
        <v>655</v>
      </c>
      <c r="AJ148" s="413"/>
      <c r="AK148" s="413" t="s">
        <v>534</v>
      </c>
      <c r="AL148" s="413" t="s">
        <v>535</v>
      </c>
      <c r="AM148" s="387">
        <v>1</v>
      </c>
    </row>
    <row r="149" spans="1:39" ht="33.75" x14ac:dyDescent="0.25">
      <c r="A149" s="351"/>
      <c r="B149" s="352"/>
      <c r="C149" s="352"/>
      <c r="D149" s="352"/>
      <c r="E149" s="352"/>
      <c r="F149" s="393"/>
      <c r="G149" s="393"/>
      <c r="H149" s="393"/>
      <c r="I149" s="393"/>
      <c r="J149" s="384" t="s">
        <v>656</v>
      </c>
      <c r="K149" s="387">
        <f>+(0.025*100)/2.5</f>
        <v>1</v>
      </c>
      <c r="L149" s="385" t="s">
        <v>657</v>
      </c>
      <c r="M149" s="385"/>
      <c r="N149" s="385">
        <v>0.01</v>
      </c>
      <c r="O149" s="385">
        <v>0.01</v>
      </c>
      <c r="P149" s="119">
        <f t="shared" si="33"/>
        <v>1</v>
      </c>
      <c r="Q149" s="414"/>
      <c r="R149" s="414"/>
      <c r="S149" s="414"/>
      <c r="T149" s="414"/>
      <c r="U149" s="414"/>
      <c r="V149" s="414"/>
      <c r="W149" s="414"/>
      <c r="X149" s="414"/>
      <c r="Y149" s="414"/>
      <c r="Z149" s="414"/>
      <c r="AA149" s="414"/>
      <c r="AB149" s="414"/>
      <c r="AC149" s="414"/>
      <c r="AD149" s="414"/>
      <c r="AE149" s="414"/>
      <c r="AF149" s="414"/>
      <c r="AG149" s="414"/>
      <c r="AH149" s="26">
        <v>0.1</v>
      </c>
      <c r="AI149" s="414"/>
      <c r="AJ149" s="414"/>
      <c r="AK149" s="414"/>
      <c r="AL149" s="414"/>
      <c r="AM149" s="385">
        <v>0</v>
      </c>
    </row>
    <row r="150" spans="1:39" ht="56.25" x14ac:dyDescent="0.25">
      <c r="A150" s="351"/>
      <c r="B150" s="352"/>
      <c r="C150" s="352"/>
      <c r="D150" s="352"/>
      <c r="E150" s="352"/>
      <c r="F150" s="393"/>
      <c r="G150" s="393"/>
      <c r="H150" s="393"/>
      <c r="I150" s="393"/>
      <c r="J150" s="384" t="s">
        <v>658</v>
      </c>
      <c r="K150" s="387">
        <f>+(0.026*100)/2.5</f>
        <v>1.04</v>
      </c>
      <c r="L150" s="385" t="s">
        <v>659</v>
      </c>
      <c r="M150" s="385"/>
      <c r="N150" s="385" t="s">
        <v>660</v>
      </c>
      <c r="O150" s="385"/>
      <c r="P150" s="119">
        <v>0</v>
      </c>
      <c r="Q150" s="414"/>
      <c r="R150" s="414"/>
      <c r="S150" s="414"/>
      <c r="T150" s="414"/>
      <c r="U150" s="414"/>
      <c r="V150" s="414"/>
      <c r="W150" s="414"/>
      <c r="X150" s="414"/>
      <c r="Y150" s="414"/>
      <c r="Z150" s="414"/>
      <c r="AA150" s="414"/>
      <c r="AB150" s="414"/>
      <c r="AC150" s="414"/>
      <c r="AD150" s="414"/>
      <c r="AE150" s="414"/>
      <c r="AF150" s="414"/>
      <c r="AG150" s="414"/>
      <c r="AH150" s="26">
        <v>1</v>
      </c>
      <c r="AI150" s="414"/>
      <c r="AJ150" s="414"/>
      <c r="AK150" s="414"/>
      <c r="AL150" s="414"/>
      <c r="AM150" s="385" t="s">
        <v>660</v>
      </c>
    </row>
    <row r="151" spans="1:39" ht="56.25" x14ac:dyDescent="0.25">
      <c r="A151" s="351"/>
      <c r="B151" s="352"/>
      <c r="C151" s="352"/>
      <c r="D151" s="352"/>
      <c r="E151" s="352"/>
      <c r="F151" s="393"/>
      <c r="G151" s="393"/>
      <c r="H151" s="393"/>
      <c r="I151" s="393"/>
      <c r="J151" s="384" t="s">
        <v>661</v>
      </c>
      <c r="K151" s="387">
        <f>+(0.024*100)/2.5</f>
        <v>0.96</v>
      </c>
      <c r="L151" s="385" t="s">
        <v>662</v>
      </c>
      <c r="M151" s="385"/>
      <c r="N151" s="385" t="s">
        <v>663</v>
      </c>
      <c r="O151" s="398"/>
      <c r="P151" s="119">
        <v>0</v>
      </c>
      <c r="Q151" s="415"/>
      <c r="R151" s="415"/>
      <c r="S151" s="415"/>
      <c r="T151" s="415"/>
      <c r="U151" s="415"/>
      <c r="V151" s="415"/>
      <c r="W151" s="415"/>
      <c r="X151" s="415"/>
      <c r="Y151" s="415"/>
      <c r="Z151" s="415"/>
      <c r="AA151" s="415"/>
      <c r="AB151" s="415"/>
      <c r="AC151" s="415"/>
      <c r="AD151" s="415"/>
      <c r="AE151" s="415"/>
      <c r="AF151" s="415"/>
      <c r="AG151" s="415"/>
      <c r="AH151" s="26"/>
      <c r="AI151" s="415"/>
      <c r="AJ151" s="415"/>
      <c r="AK151" s="415"/>
      <c r="AL151" s="415"/>
      <c r="AM151" s="385" t="s">
        <v>663</v>
      </c>
    </row>
    <row r="152" spans="1:39" ht="123.75" x14ac:dyDescent="0.25">
      <c r="A152" s="351"/>
      <c r="B152" s="352"/>
      <c r="C152" s="352"/>
      <c r="D152" s="352"/>
      <c r="E152" s="352"/>
      <c r="F152" s="393"/>
      <c r="G152" s="393" t="s">
        <v>664</v>
      </c>
      <c r="H152" s="393" t="s">
        <v>665</v>
      </c>
      <c r="I152" s="393" t="s">
        <v>666</v>
      </c>
      <c r="J152" s="384" t="s">
        <v>667</v>
      </c>
      <c r="K152" s="387">
        <f>+(0.025*100)/2.5</f>
        <v>1</v>
      </c>
      <c r="L152" s="385" t="s">
        <v>668</v>
      </c>
      <c r="M152" s="385"/>
      <c r="N152" s="416">
        <v>2</v>
      </c>
      <c r="O152" s="417">
        <v>2</v>
      </c>
      <c r="P152" s="119">
        <f t="shared" si="33"/>
        <v>1</v>
      </c>
      <c r="Q152" s="393" t="s">
        <v>666</v>
      </c>
      <c r="R152" s="393" t="s">
        <v>669</v>
      </c>
      <c r="S152" s="393" t="s">
        <v>670</v>
      </c>
      <c r="T152" s="393" t="s">
        <v>90</v>
      </c>
      <c r="U152" s="418">
        <v>98729283</v>
      </c>
      <c r="V152" s="418">
        <v>98729283</v>
      </c>
      <c r="W152" s="418"/>
      <c r="X152" s="418"/>
      <c r="Y152" s="418" t="s">
        <v>55</v>
      </c>
      <c r="Z152" s="418"/>
      <c r="AA152" s="418"/>
      <c r="AB152" s="418"/>
      <c r="AC152" s="418"/>
      <c r="AD152" s="418"/>
      <c r="AE152" s="418"/>
      <c r="AF152" s="418">
        <v>98729283</v>
      </c>
      <c r="AG152" s="418">
        <v>98729283</v>
      </c>
      <c r="AH152" s="26">
        <f>+AG152/AF152</f>
        <v>1</v>
      </c>
      <c r="AI152" s="393" t="s">
        <v>671</v>
      </c>
      <c r="AJ152" s="393"/>
      <c r="AK152" s="393" t="s">
        <v>534</v>
      </c>
      <c r="AL152" s="393" t="s">
        <v>535</v>
      </c>
      <c r="AM152" s="416">
        <v>2</v>
      </c>
    </row>
    <row r="153" spans="1:39" ht="22.5" x14ac:dyDescent="0.25">
      <c r="A153" s="351"/>
      <c r="B153" s="352"/>
      <c r="C153" s="352"/>
      <c r="D153" s="352"/>
      <c r="E153" s="352"/>
      <c r="F153" s="393"/>
      <c r="G153" s="393"/>
      <c r="H153" s="393"/>
      <c r="I153" s="393"/>
      <c r="J153" s="384" t="s">
        <v>672</v>
      </c>
      <c r="K153" s="387">
        <f>+(0.042*100)/2.5</f>
        <v>1.6800000000000002</v>
      </c>
      <c r="L153" s="385" t="s">
        <v>673</v>
      </c>
      <c r="M153" s="385"/>
      <c r="N153" s="419">
        <v>7.3</v>
      </c>
      <c r="O153" s="419">
        <v>7.3</v>
      </c>
      <c r="P153" s="119">
        <f t="shared" si="33"/>
        <v>1</v>
      </c>
      <c r="Q153" s="393"/>
      <c r="R153" s="393"/>
      <c r="S153" s="393"/>
      <c r="T153" s="393"/>
      <c r="U153" s="393"/>
      <c r="V153" s="393"/>
      <c r="W153" s="393"/>
      <c r="X153" s="393"/>
      <c r="Y153" s="393"/>
      <c r="Z153" s="393"/>
      <c r="AA153" s="393"/>
      <c r="AB153" s="393"/>
      <c r="AC153" s="393"/>
      <c r="AD153" s="393"/>
      <c r="AE153" s="393"/>
      <c r="AF153" s="393"/>
      <c r="AG153" s="393"/>
      <c r="AH153" s="26">
        <v>1</v>
      </c>
      <c r="AI153" s="393"/>
      <c r="AJ153" s="393"/>
      <c r="AK153" s="393"/>
      <c r="AL153" s="393"/>
      <c r="AM153" s="385" t="s">
        <v>674</v>
      </c>
    </row>
    <row r="154" spans="1:39" ht="213.75" x14ac:dyDescent="0.25">
      <c r="A154" s="351"/>
      <c r="B154" s="352"/>
      <c r="C154" s="352"/>
      <c r="D154" s="352"/>
      <c r="E154" s="352"/>
      <c r="F154" s="393"/>
      <c r="G154" s="389" t="s">
        <v>675</v>
      </c>
      <c r="H154" s="389" t="s">
        <v>676</v>
      </c>
      <c r="I154" s="389" t="s">
        <v>677</v>
      </c>
      <c r="J154" s="384" t="s">
        <v>678</v>
      </c>
      <c r="K154" s="387">
        <f>+(0.042*100)/2.5</f>
        <v>1.6800000000000002</v>
      </c>
      <c r="L154" s="385" t="s">
        <v>679</v>
      </c>
      <c r="M154" s="385"/>
      <c r="N154" s="386">
        <v>0.8</v>
      </c>
      <c r="O154" s="386">
        <v>0.8</v>
      </c>
      <c r="P154" s="119">
        <f t="shared" si="33"/>
        <v>1</v>
      </c>
      <c r="Q154" s="386" t="s">
        <v>680</v>
      </c>
      <c r="R154" s="386" t="s">
        <v>681</v>
      </c>
      <c r="S154" s="404" t="s">
        <v>54</v>
      </c>
      <c r="T154" s="404" t="s">
        <v>301</v>
      </c>
      <c r="U154" s="392">
        <v>1265221833.1300001</v>
      </c>
      <c r="V154" s="392">
        <v>1265221833.1300001</v>
      </c>
      <c r="W154" s="392"/>
      <c r="X154" s="392"/>
      <c r="Y154" s="392"/>
      <c r="Z154" s="392" t="s">
        <v>55</v>
      </c>
      <c r="AA154" s="392"/>
      <c r="AB154" s="392"/>
      <c r="AC154" s="392"/>
      <c r="AD154" s="392"/>
      <c r="AE154" s="392"/>
      <c r="AF154" s="392">
        <v>1265221833.1300001</v>
      </c>
      <c r="AG154" s="392">
        <v>1170000000</v>
      </c>
      <c r="AH154" s="26">
        <f>+AG154/AF154</f>
        <v>0.92473902154025178</v>
      </c>
      <c r="AI154" s="392" t="s">
        <v>671</v>
      </c>
      <c r="AJ154" s="392"/>
      <c r="AK154" s="392" t="s">
        <v>534</v>
      </c>
      <c r="AL154" s="392" t="s">
        <v>535</v>
      </c>
      <c r="AM154" s="386">
        <v>0.8</v>
      </c>
    </row>
    <row r="155" spans="1:39" ht="135" x14ac:dyDescent="0.25">
      <c r="A155" s="351"/>
      <c r="B155" s="352"/>
      <c r="C155" s="352"/>
      <c r="D155" s="352"/>
      <c r="E155" s="352"/>
      <c r="F155" s="393"/>
      <c r="G155" s="420" t="s">
        <v>682</v>
      </c>
      <c r="H155" s="420" t="s">
        <v>683</v>
      </c>
      <c r="I155" s="386" t="s">
        <v>684</v>
      </c>
      <c r="J155" s="384" t="s">
        <v>685</v>
      </c>
      <c r="K155" s="387">
        <f>+(0.042*100)/2.5</f>
        <v>1.6800000000000002</v>
      </c>
      <c r="L155" s="385" t="s">
        <v>686</v>
      </c>
      <c r="M155" s="385"/>
      <c r="N155" s="386">
        <v>0.71419999999999995</v>
      </c>
      <c r="O155" s="386">
        <v>0.71</v>
      </c>
      <c r="P155" s="119">
        <f t="shared" si="33"/>
        <v>0.99411929431531787</v>
      </c>
      <c r="Q155" s="386" t="s">
        <v>684</v>
      </c>
      <c r="R155" s="386" t="s">
        <v>321</v>
      </c>
      <c r="S155" s="386" t="s">
        <v>89</v>
      </c>
      <c r="T155" s="386" t="s">
        <v>687</v>
      </c>
      <c r="U155" s="421">
        <v>270000000</v>
      </c>
      <c r="V155" s="421">
        <v>270000000</v>
      </c>
      <c r="W155" s="386"/>
      <c r="X155" s="386"/>
      <c r="Y155" s="386"/>
      <c r="Z155" s="386" t="s">
        <v>55</v>
      </c>
      <c r="AA155" s="386"/>
      <c r="AB155" s="386"/>
      <c r="AC155" s="386"/>
      <c r="AD155" s="386"/>
      <c r="AE155" s="386"/>
      <c r="AF155" s="421">
        <v>270000000</v>
      </c>
      <c r="AG155" s="421">
        <v>270000000</v>
      </c>
      <c r="AH155" s="26">
        <f>+AG155/AF155</f>
        <v>1</v>
      </c>
      <c r="AI155" s="386" t="s">
        <v>688</v>
      </c>
      <c r="AJ155" s="386" t="s">
        <v>689</v>
      </c>
      <c r="AK155" s="165" t="s">
        <v>534</v>
      </c>
      <c r="AL155" s="165" t="s">
        <v>535</v>
      </c>
      <c r="AM155" s="386">
        <v>0.71419999999999995</v>
      </c>
    </row>
    <row r="156" spans="1:39" ht="168.75" x14ac:dyDescent="0.25">
      <c r="A156" s="351"/>
      <c r="B156" s="352"/>
      <c r="C156" s="352"/>
      <c r="D156" s="352"/>
      <c r="E156" s="352"/>
      <c r="F156" s="393"/>
      <c r="G156" s="393"/>
      <c r="H156" s="393"/>
      <c r="I156" s="393"/>
      <c r="J156" s="384" t="s">
        <v>690</v>
      </c>
      <c r="K156" s="387">
        <f>+(0.043*100)/2.5</f>
        <v>1.72</v>
      </c>
      <c r="L156" s="385" t="s">
        <v>691</v>
      </c>
      <c r="M156" s="385"/>
      <c r="N156" s="416">
        <v>5</v>
      </c>
      <c r="O156" s="417">
        <v>5</v>
      </c>
      <c r="P156" s="119">
        <f t="shared" si="33"/>
        <v>1</v>
      </c>
      <c r="Q156" s="422" t="s">
        <v>692</v>
      </c>
      <c r="R156" s="422" t="s">
        <v>135</v>
      </c>
      <c r="S156" s="385"/>
      <c r="T156" s="385"/>
      <c r="U156" s="385"/>
      <c r="V156" s="385"/>
      <c r="W156" s="385"/>
      <c r="X156" s="385"/>
      <c r="Y156" s="385"/>
      <c r="Z156" s="385"/>
      <c r="AA156" s="385"/>
      <c r="AB156" s="385"/>
      <c r="AC156" s="385"/>
      <c r="AD156" s="385"/>
      <c r="AE156" s="385"/>
      <c r="AF156" s="385"/>
      <c r="AG156" s="385"/>
      <c r="AH156" s="26">
        <v>1</v>
      </c>
      <c r="AI156" s="385"/>
      <c r="AJ156" s="385"/>
      <c r="AK156" s="165" t="s">
        <v>534</v>
      </c>
      <c r="AL156" s="423" t="s">
        <v>535</v>
      </c>
      <c r="AM156" s="416">
        <v>5</v>
      </c>
    </row>
    <row r="157" spans="1:39" ht="56.25" x14ac:dyDescent="0.25">
      <c r="A157" s="351"/>
      <c r="B157" s="352"/>
      <c r="C157" s="352"/>
      <c r="D157" s="352"/>
      <c r="E157" s="352"/>
      <c r="F157" s="393"/>
      <c r="G157" s="393"/>
      <c r="H157" s="393"/>
      <c r="I157" s="393"/>
      <c r="J157" s="384" t="s">
        <v>693</v>
      </c>
      <c r="K157" s="387">
        <f>+(0.004*100)/2.5</f>
        <v>0.16</v>
      </c>
      <c r="L157" s="385" t="s">
        <v>694</v>
      </c>
      <c r="M157" s="385"/>
      <c r="N157" s="385"/>
      <c r="O157" s="385"/>
      <c r="P157" s="119">
        <v>0</v>
      </c>
      <c r="Q157" s="385"/>
      <c r="R157" s="385"/>
      <c r="S157" s="385"/>
      <c r="T157" s="385"/>
      <c r="U157" s="385"/>
      <c r="V157" s="385"/>
      <c r="W157" s="385"/>
      <c r="X157" s="385"/>
      <c r="Y157" s="385"/>
      <c r="Z157" s="385"/>
      <c r="AA157" s="385"/>
      <c r="AB157" s="385"/>
      <c r="AC157" s="385"/>
      <c r="AD157" s="385"/>
      <c r="AE157" s="385"/>
      <c r="AF157" s="385"/>
      <c r="AG157" s="385"/>
      <c r="AH157" s="26">
        <v>0</v>
      </c>
      <c r="AI157" s="385"/>
      <c r="AJ157" s="385"/>
      <c r="AK157" s="165" t="s">
        <v>534</v>
      </c>
      <c r="AL157" s="423" t="s">
        <v>535</v>
      </c>
      <c r="AM157" s="424">
        <v>1</v>
      </c>
    </row>
    <row r="158" spans="1:39" ht="90" x14ac:dyDescent="0.25">
      <c r="A158" s="351"/>
      <c r="B158" s="352"/>
      <c r="C158" s="352"/>
      <c r="D158" s="352"/>
      <c r="E158" s="352"/>
      <c r="F158" s="393"/>
      <c r="G158" s="389" t="s">
        <v>695</v>
      </c>
      <c r="H158" s="389" t="s">
        <v>696</v>
      </c>
      <c r="I158" s="389" t="s">
        <v>697</v>
      </c>
      <c r="J158" s="389" t="s">
        <v>698</v>
      </c>
      <c r="K158" s="405">
        <f>+(0.004*100)/2.5</f>
        <v>0.16</v>
      </c>
      <c r="L158" s="389" t="s">
        <v>699</v>
      </c>
      <c r="N158" s="403">
        <v>0.8</v>
      </c>
      <c r="O158" s="404">
        <v>0.8</v>
      </c>
      <c r="P158" s="26">
        <f>+O158/N158</f>
        <v>1</v>
      </c>
      <c r="Q158" s="66" t="s">
        <v>700</v>
      </c>
      <c r="R158" s="424" t="s">
        <v>701</v>
      </c>
      <c r="S158" s="425" t="s">
        <v>702</v>
      </c>
      <c r="T158" s="425" t="s">
        <v>703</v>
      </c>
      <c r="U158" s="426">
        <v>214950650</v>
      </c>
      <c r="V158" s="426">
        <v>214950650</v>
      </c>
      <c r="W158" s="426"/>
      <c r="X158" s="426"/>
      <c r="Y158" s="426"/>
      <c r="Z158" s="426" t="s">
        <v>55</v>
      </c>
      <c r="AA158" s="426"/>
      <c r="AB158" s="426"/>
      <c r="AC158" s="426"/>
      <c r="AD158" s="426"/>
      <c r="AE158" s="426"/>
      <c r="AF158" s="426">
        <v>214950650</v>
      </c>
      <c r="AG158" s="426">
        <v>214950650</v>
      </c>
      <c r="AH158" s="427">
        <f>+AG158/AF158</f>
        <v>1</v>
      </c>
      <c r="AI158" s="427" t="s">
        <v>704</v>
      </c>
      <c r="AJ158" s="425" t="s">
        <v>534</v>
      </c>
      <c r="AK158" s="425" t="s">
        <v>535</v>
      </c>
      <c r="AL158" s="423" t="s">
        <v>535</v>
      </c>
      <c r="AM158" s="424">
        <v>0.8</v>
      </c>
    </row>
    <row r="159" spans="1:39" ht="67.5" x14ac:dyDescent="0.25">
      <c r="A159" s="351"/>
      <c r="B159" s="352"/>
      <c r="C159" s="352"/>
      <c r="D159" s="352"/>
      <c r="E159" s="352"/>
      <c r="F159" s="393"/>
      <c r="G159" s="393"/>
      <c r="H159" s="393"/>
      <c r="I159" s="393"/>
      <c r="J159" s="393"/>
      <c r="K159" s="405"/>
      <c r="L159" s="393"/>
      <c r="M159" s="393"/>
      <c r="N159" s="393"/>
      <c r="O159" s="393"/>
      <c r="P159" s="66" t="s">
        <v>705</v>
      </c>
      <c r="Q159" s="424" t="s">
        <v>706</v>
      </c>
      <c r="R159" s="428"/>
      <c r="S159" s="428"/>
      <c r="T159" s="428"/>
      <c r="U159" s="428"/>
      <c r="V159" s="428"/>
      <c r="W159" s="428"/>
      <c r="X159" s="428"/>
      <c r="Y159" s="428"/>
      <c r="Z159" s="428"/>
      <c r="AA159" s="428"/>
      <c r="AB159" s="428"/>
      <c r="AC159" s="428"/>
      <c r="AD159" s="428"/>
      <c r="AE159" s="428"/>
      <c r="AF159" s="428"/>
      <c r="AG159" s="428"/>
      <c r="AH159" s="130"/>
      <c r="AI159" s="428"/>
      <c r="AJ159" s="428"/>
      <c r="AK159" s="428"/>
      <c r="AL159" s="429"/>
      <c r="AM159" s="424"/>
    </row>
    <row r="160" spans="1:39" ht="33.75" x14ac:dyDescent="0.25">
      <c r="A160" s="351"/>
      <c r="B160" s="352"/>
      <c r="C160" s="352"/>
      <c r="D160" s="352"/>
      <c r="E160" s="352"/>
      <c r="F160" s="393"/>
      <c r="G160" s="393"/>
      <c r="H160" s="393"/>
      <c r="I160" s="393"/>
      <c r="J160" s="393"/>
      <c r="K160" s="405"/>
      <c r="L160" s="393"/>
      <c r="M160" s="410"/>
      <c r="N160" s="410"/>
      <c r="O160" s="410"/>
      <c r="P160" s="66" t="s">
        <v>707</v>
      </c>
      <c r="Q160" s="424" t="s">
        <v>708</v>
      </c>
      <c r="R160" s="430"/>
      <c r="S160" s="430"/>
      <c r="T160" s="430"/>
      <c r="U160" s="430"/>
      <c r="V160" s="430"/>
      <c r="W160" s="430"/>
      <c r="X160" s="430"/>
      <c r="Y160" s="430"/>
      <c r="Z160" s="430"/>
      <c r="AA160" s="430"/>
      <c r="AB160" s="430"/>
      <c r="AC160" s="430"/>
      <c r="AD160" s="430"/>
      <c r="AE160" s="430"/>
      <c r="AF160" s="430"/>
      <c r="AG160" s="430"/>
      <c r="AH160" s="83"/>
      <c r="AI160" s="430"/>
      <c r="AJ160" s="430"/>
      <c r="AK160" s="430"/>
      <c r="AL160" s="429"/>
      <c r="AM160" s="424"/>
    </row>
    <row r="161" spans="1:39" ht="78.75" x14ac:dyDescent="0.25">
      <c r="A161" s="351"/>
      <c r="B161" s="352"/>
      <c r="C161" s="352"/>
      <c r="D161" s="352"/>
      <c r="E161" s="352"/>
      <c r="F161" s="393"/>
      <c r="G161" s="393"/>
      <c r="H161" s="393"/>
      <c r="I161" s="393"/>
      <c r="J161" s="384" t="s">
        <v>709</v>
      </c>
      <c r="K161" s="387">
        <f>+(0.0035*100)/2.5</f>
        <v>0.14000000000000001</v>
      </c>
      <c r="L161" s="385" t="s">
        <v>710</v>
      </c>
      <c r="M161" s="385"/>
      <c r="N161" s="385"/>
      <c r="O161" s="385"/>
      <c r="P161" s="119">
        <v>0</v>
      </c>
      <c r="Q161" s="385"/>
      <c r="R161" s="385"/>
      <c r="S161" s="385"/>
      <c r="T161" s="385"/>
      <c r="U161" s="385"/>
      <c r="V161" s="385"/>
      <c r="W161" s="385"/>
      <c r="X161" s="385"/>
      <c r="Y161" s="385"/>
      <c r="Z161" s="385"/>
      <c r="AA161" s="385"/>
      <c r="AB161" s="385"/>
      <c r="AC161" s="385"/>
      <c r="AD161" s="385"/>
      <c r="AE161" s="385"/>
      <c r="AF161" s="385"/>
      <c r="AG161" s="385"/>
      <c r="AH161" s="26">
        <v>0</v>
      </c>
      <c r="AI161" s="385"/>
      <c r="AJ161" s="385"/>
      <c r="AK161" s="186" t="s">
        <v>534</v>
      </c>
      <c r="AL161" s="429" t="s">
        <v>535</v>
      </c>
      <c r="AM161" s="424">
        <v>0.85</v>
      </c>
    </row>
    <row r="162" spans="1:39" ht="33.75" x14ac:dyDescent="0.25">
      <c r="A162" s="351"/>
      <c r="B162" s="352"/>
      <c r="C162" s="352"/>
      <c r="D162" s="352"/>
      <c r="E162" s="352"/>
      <c r="F162" s="393"/>
      <c r="G162" s="393"/>
      <c r="H162" s="393"/>
      <c r="I162" s="393"/>
      <c r="J162" s="384" t="s">
        <v>711</v>
      </c>
      <c r="K162" s="387">
        <f t="shared" ref="K162:K167" si="34">+(0.0035*100)/2.5</f>
        <v>0.14000000000000001</v>
      </c>
      <c r="L162" s="385" t="s">
        <v>712</v>
      </c>
      <c r="M162" s="385"/>
      <c r="N162" s="385"/>
      <c r="O162" s="385"/>
      <c r="P162" s="119">
        <v>0</v>
      </c>
      <c r="Q162" s="385"/>
      <c r="R162" s="385"/>
      <c r="S162" s="385"/>
      <c r="T162" s="385"/>
      <c r="U162" s="385"/>
      <c r="V162" s="385"/>
      <c r="W162" s="385"/>
      <c r="X162" s="385"/>
      <c r="Y162" s="385"/>
      <c r="Z162" s="385"/>
      <c r="AA162" s="385"/>
      <c r="AB162" s="385"/>
      <c r="AC162" s="385"/>
      <c r="AD162" s="385"/>
      <c r="AE162" s="385"/>
      <c r="AF162" s="385"/>
      <c r="AG162" s="385"/>
      <c r="AH162" s="26">
        <v>0</v>
      </c>
      <c r="AI162" s="385"/>
      <c r="AJ162" s="385"/>
      <c r="AK162" s="165" t="s">
        <v>534</v>
      </c>
      <c r="AL162" s="423" t="s">
        <v>535</v>
      </c>
      <c r="AM162" s="424">
        <v>1</v>
      </c>
    </row>
    <row r="163" spans="1:39" ht="90" x14ac:dyDescent="0.25">
      <c r="A163" s="351"/>
      <c r="B163" s="352"/>
      <c r="C163" s="352"/>
      <c r="D163" s="352"/>
      <c r="E163" s="352"/>
      <c r="F163" s="393"/>
      <c r="G163" s="420" t="s">
        <v>713</v>
      </c>
      <c r="H163" s="420" t="s">
        <v>714</v>
      </c>
      <c r="I163" s="420" t="s">
        <v>715</v>
      </c>
      <c r="J163" s="389" t="s">
        <v>716</v>
      </c>
      <c r="K163" s="387">
        <f t="shared" si="34"/>
        <v>0.14000000000000001</v>
      </c>
      <c r="L163" s="389" t="s">
        <v>717</v>
      </c>
      <c r="M163" s="389"/>
      <c r="N163" s="431">
        <v>1</v>
      </c>
      <c r="O163" s="404">
        <v>1</v>
      </c>
      <c r="P163" s="26">
        <f>+O163/N163</f>
        <v>1</v>
      </c>
      <c r="Q163" s="420" t="s">
        <v>715</v>
      </c>
      <c r="R163" s="424" t="s">
        <v>718</v>
      </c>
      <c r="S163" s="424" t="s">
        <v>719</v>
      </c>
      <c r="T163" s="424" t="s">
        <v>720</v>
      </c>
      <c r="U163" s="388">
        <v>724695494</v>
      </c>
      <c r="V163" s="388">
        <v>724695494</v>
      </c>
      <c r="W163" s="424"/>
      <c r="X163" s="424"/>
      <c r="Y163" s="424"/>
      <c r="Z163" s="424" t="s">
        <v>55</v>
      </c>
      <c r="AA163" s="424"/>
      <c r="AB163" s="424"/>
      <c r="AC163" s="424"/>
      <c r="AD163" s="424"/>
      <c r="AE163" s="424"/>
      <c r="AF163" s="388">
        <v>724695494</v>
      </c>
      <c r="AG163" s="388">
        <v>724695494</v>
      </c>
      <c r="AH163" s="412">
        <f t="shared" ref="AH163:AH165" si="35">+AG163/AF163</f>
        <v>1</v>
      </c>
      <c r="AI163" s="424" t="s">
        <v>721</v>
      </c>
      <c r="AJ163" s="424" t="s">
        <v>722</v>
      </c>
      <c r="AK163" s="165" t="s">
        <v>534</v>
      </c>
      <c r="AL163" s="165" t="s">
        <v>535</v>
      </c>
      <c r="AM163" s="424">
        <v>1</v>
      </c>
    </row>
    <row r="164" spans="1:39" ht="112.5" x14ac:dyDescent="0.25">
      <c r="A164" s="351"/>
      <c r="B164" s="352"/>
      <c r="C164" s="352"/>
      <c r="D164" s="352"/>
      <c r="E164" s="352"/>
      <c r="F164" s="393"/>
      <c r="G164" s="420" t="s">
        <v>723</v>
      </c>
      <c r="H164" s="420" t="s">
        <v>714</v>
      </c>
      <c r="I164" s="420" t="s">
        <v>715</v>
      </c>
      <c r="J164" s="393"/>
      <c r="K164" s="387"/>
      <c r="L164" s="393"/>
      <c r="M164" s="393"/>
      <c r="N164" s="393"/>
      <c r="O164" s="410"/>
      <c r="P164" s="432"/>
      <c r="Q164" s="433" t="s">
        <v>724</v>
      </c>
      <c r="R164" s="433" t="s">
        <v>725</v>
      </c>
      <c r="S164" s="433" t="s">
        <v>286</v>
      </c>
      <c r="T164" s="433" t="s">
        <v>74</v>
      </c>
      <c r="U164" s="434">
        <v>120000000</v>
      </c>
      <c r="V164" s="388">
        <v>120000000</v>
      </c>
      <c r="W164" s="424"/>
      <c r="X164" s="424"/>
      <c r="Y164" s="424" t="s">
        <v>55</v>
      </c>
      <c r="Z164" s="424"/>
      <c r="AA164" s="424"/>
      <c r="AB164" s="424"/>
      <c r="AC164" s="424"/>
      <c r="AD164" s="424"/>
      <c r="AE164" s="424"/>
      <c r="AF164" s="388">
        <v>120000000</v>
      </c>
      <c r="AG164" s="388">
        <v>120000000</v>
      </c>
      <c r="AH164" s="412">
        <f t="shared" si="35"/>
        <v>1</v>
      </c>
      <c r="AI164" s="424" t="s">
        <v>721</v>
      </c>
      <c r="AJ164" s="424"/>
      <c r="AK164" s="165" t="s">
        <v>534</v>
      </c>
      <c r="AL164" s="165" t="s">
        <v>535</v>
      </c>
      <c r="AM164" s="424"/>
    </row>
    <row r="165" spans="1:39" ht="123.75" x14ac:dyDescent="0.25">
      <c r="A165" s="351"/>
      <c r="B165" s="352"/>
      <c r="C165" s="352"/>
      <c r="D165" s="352"/>
      <c r="E165" s="352"/>
      <c r="F165" s="393"/>
      <c r="G165" s="420" t="s">
        <v>726</v>
      </c>
      <c r="H165" s="420" t="s">
        <v>727</v>
      </c>
      <c r="I165" s="420" t="s">
        <v>728</v>
      </c>
      <c r="J165" s="384" t="s">
        <v>729</v>
      </c>
      <c r="K165" s="387">
        <f t="shared" si="34"/>
        <v>0.14000000000000001</v>
      </c>
      <c r="L165" s="385" t="s">
        <v>730</v>
      </c>
      <c r="M165" s="385"/>
      <c r="N165" s="424">
        <v>0.2</v>
      </c>
      <c r="O165" s="424">
        <v>0.2</v>
      </c>
      <c r="P165" s="26">
        <f t="shared" ref="P165" si="36">+O165/N165</f>
        <v>1</v>
      </c>
      <c r="Q165" s="430" t="s">
        <v>731</v>
      </c>
      <c r="R165" s="430" t="s">
        <v>321</v>
      </c>
      <c r="S165" s="430" t="s">
        <v>331</v>
      </c>
      <c r="T165" s="430" t="s">
        <v>732</v>
      </c>
      <c r="U165" s="388">
        <v>100000000</v>
      </c>
      <c r="V165" s="388">
        <v>100000000</v>
      </c>
      <c r="W165" s="424" t="s">
        <v>55</v>
      </c>
      <c r="X165" s="424"/>
      <c r="Y165" s="424"/>
      <c r="Z165" s="424"/>
      <c r="AA165" s="424"/>
      <c r="AB165" s="424"/>
      <c r="AC165" s="424"/>
      <c r="AD165" s="424"/>
      <c r="AE165" s="424"/>
      <c r="AF165" s="388">
        <v>100000000</v>
      </c>
      <c r="AG165" s="388">
        <v>100000000</v>
      </c>
      <c r="AH165" s="412">
        <f t="shared" si="35"/>
        <v>1</v>
      </c>
      <c r="AI165" s="424" t="s">
        <v>733</v>
      </c>
      <c r="AJ165" s="424"/>
      <c r="AK165" s="165"/>
      <c r="AL165" s="165"/>
      <c r="AM165" s="424">
        <v>0.2</v>
      </c>
    </row>
    <row r="166" spans="1:39" ht="112.5" x14ac:dyDescent="0.25">
      <c r="A166" s="351"/>
      <c r="B166" s="352"/>
      <c r="C166" s="352"/>
      <c r="D166" s="352"/>
      <c r="E166" s="352"/>
      <c r="F166" s="393"/>
      <c r="G166" s="393"/>
      <c r="H166" s="393"/>
      <c r="I166" s="393"/>
      <c r="J166" s="384" t="s">
        <v>734</v>
      </c>
      <c r="K166" s="387">
        <f t="shared" si="34"/>
        <v>0.14000000000000001</v>
      </c>
      <c r="L166" s="385" t="s">
        <v>735</v>
      </c>
      <c r="M166" s="385"/>
      <c r="N166" s="385"/>
      <c r="O166" s="385"/>
      <c r="P166" s="119">
        <v>0</v>
      </c>
      <c r="Q166" s="385"/>
      <c r="R166" s="385"/>
      <c r="S166" s="385"/>
      <c r="T166" s="385"/>
      <c r="U166" s="385"/>
      <c r="V166" s="385"/>
      <c r="W166" s="385"/>
      <c r="X166" s="385"/>
      <c r="Y166" s="385"/>
      <c r="Z166" s="385"/>
      <c r="AA166" s="385"/>
      <c r="AB166" s="385"/>
      <c r="AC166" s="385"/>
      <c r="AD166" s="385"/>
      <c r="AE166" s="385"/>
      <c r="AF166" s="385"/>
      <c r="AG166" s="385"/>
      <c r="AH166" s="26">
        <v>0</v>
      </c>
      <c r="AI166" s="385"/>
      <c r="AJ166" s="385"/>
      <c r="AK166" s="165" t="s">
        <v>534</v>
      </c>
      <c r="AL166" s="423" t="s">
        <v>535</v>
      </c>
      <c r="AM166" s="424">
        <v>0.85709999999999997</v>
      </c>
    </row>
    <row r="167" spans="1:39" ht="90" x14ac:dyDescent="0.25">
      <c r="A167" s="351"/>
      <c r="B167" s="352"/>
      <c r="C167" s="352"/>
      <c r="D167" s="352"/>
      <c r="E167" s="352"/>
      <c r="F167" s="393"/>
      <c r="G167" s="393"/>
      <c r="H167" s="393"/>
      <c r="I167" s="393"/>
      <c r="J167" s="384" t="s">
        <v>736</v>
      </c>
      <c r="K167" s="387">
        <f t="shared" si="34"/>
        <v>0.14000000000000001</v>
      </c>
      <c r="L167" s="385" t="s">
        <v>737</v>
      </c>
      <c r="M167" s="385"/>
      <c r="N167" s="385"/>
      <c r="O167" s="385"/>
      <c r="P167" s="119">
        <v>0</v>
      </c>
      <c r="Q167" s="385"/>
      <c r="R167" s="385"/>
      <c r="S167" s="385"/>
      <c r="T167" s="385"/>
      <c r="U167" s="385"/>
      <c r="V167" s="385"/>
      <c r="W167" s="385"/>
      <c r="X167" s="385"/>
      <c r="Y167" s="385"/>
      <c r="Z167" s="385"/>
      <c r="AA167" s="385"/>
      <c r="AB167" s="385"/>
      <c r="AC167" s="385"/>
      <c r="AD167" s="385"/>
      <c r="AE167" s="385"/>
      <c r="AF167" s="385"/>
      <c r="AG167" s="385"/>
      <c r="AH167" s="26">
        <v>0</v>
      </c>
      <c r="AI167" s="385"/>
      <c r="AJ167" s="385"/>
      <c r="AK167" s="165" t="s">
        <v>534</v>
      </c>
      <c r="AL167" s="423" t="s">
        <v>535</v>
      </c>
      <c r="AM167" s="387">
        <v>3</v>
      </c>
    </row>
    <row r="168" spans="1:39" ht="67.5" x14ac:dyDescent="0.25">
      <c r="A168" s="351"/>
      <c r="B168" s="352"/>
      <c r="C168" s="352"/>
      <c r="D168" s="352"/>
      <c r="E168" s="352"/>
      <c r="F168" s="393"/>
      <c r="G168" s="393"/>
      <c r="H168" s="393"/>
      <c r="I168" s="393"/>
      <c r="J168" s="384" t="s">
        <v>738</v>
      </c>
      <c r="K168" s="387">
        <v>1.22</v>
      </c>
      <c r="L168" s="385" t="s">
        <v>739</v>
      </c>
      <c r="M168" s="385"/>
      <c r="N168" s="385"/>
      <c r="O168" s="385"/>
      <c r="P168" s="119">
        <v>0</v>
      </c>
      <c r="Q168" s="385"/>
      <c r="R168" s="385"/>
      <c r="S168" s="385"/>
      <c r="T168" s="385"/>
      <c r="U168" s="385"/>
      <c r="V168" s="385"/>
      <c r="W168" s="385"/>
      <c r="X168" s="385"/>
      <c r="Y168" s="385"/>
      <c r="Z168" s="385"/>
      <c r="AA168" s="385"/>
      <c r="AB168" s="385"/>
      <c r="AC168" s="385"/>
      <c r="AD168" s="385"/>
      <c r="AE168" s="385"/>
      <c r="AF168" s="385"/>
      <c r="AG168" s="385"/>
      <c r="AH168" s="26">
        <v>0</v>
      </c>
      <c r="AI168" s="385"/>
      <c r="AJ168" s="385"/>
      <c r="AK168" s="165" t="s">
        <v>534</v>
      </c>
      <c r="AL168" s="423" t="s">
        <v>535</v>
      </c>
      <c r="AM168" s="386">
        <v>1</v>
      </c>
    </row>
    <row r="169" spans="1:39" ht="78.75" x14ac:dyDescent="0.25">
      <c r="A169" s="351"/>
      <c r="B169" s="352"/>
      <c r="C169" s="352"/>
      <c r="D169" s="352"/>
      <c r="E169" s="352"/>
      <c r="F169" s="393"/>
      <c r="G169" s="393"/>
      <c r="H169" s="393"/>
      <c r="I169" s="393"/>
      <c r="J169" s="384" t="s">
        <v>740</v>
      </c>
      <c r="K169" s="387">
        <v>1.22</v>
      </c>
      <c r="L169" s="385" t="s">
        <v>741</v>
      </c>
      <c r="M169" s="385"/>
      <c r="N169" s="385"/>
      <c r="O169" s="385"/>
      <c r="P169" s="119">
        <v>0</v>
      </c>
      <c r="Q169" s="385"/>
      <c r="R169" s="385"/>
      <c r="S169" s="385"/>
      <c r="T169" s="385"/>
      <c r="U169" s="385"/>
      <c r="V169" s="385"/>
      <c r="W169" s="385"/>
      <c r="X169" s="385"/>
      <c r="Y169" s="385"/>
      <c r="Z169" s="385"/>
      <c r="AA169" s="385"/>
      <c r="AB169" s="385"/>
      <c r="AC169" s="385"/>
      <c r="AD169" s="385"/>
      <c r="AE169" s="385"/>
      <c r="AF169" s="385"/>
      <c r="AG169" s="385"/>
      <c r="AH169" s="26">
        <v>0</v>
      </c>
      <c r="AI169" s="385"/>
      <c r="AJ169" s="385"/>
      <c r="AK169" s="165" t="s">
        <v>534</v>
      </c>
      <c r="AL169" s="423" t="s">
        <v>535</v>
      </c>
      <c r="AM169" s="386">
        <v>0.6</v>
      </c>
    </row>
    <row r="170" spans="1:39" ht="90" x14ac:dyDescent="0.25">
      <c r="A170" s="351"/>
      <c r="B170" s="352"/>
      <c r="C170" s="352"/>
      <c r="D170" s="352"/>
      <c r="E170" s="352"/>
      <c r="F170" s="393"/>
      <c r="G170" s="393"/>
      <c r="H170" s="393"/>
      <c r="I170" s="393"/>
      <c r="J170" s="384" t="s">
        <v>742</v>
      </c>
      <c r="K170" s="387">
        <v>1.22</v>
      </c>
      <c r="L170" s="385" t="s">
        <v>743</v>
      </c>
      <c r="M170" s="385"/>
      <c r="N170" s="385"/>
      <c r="O170" s="385"/>
      <c r="P170" s="119">
        <v>0</v>
      </c>
      <c r="Q170" s="385"/>
      <c r="R170" s="385"/>
      <c r="S170" s="385"/>
      <c r="T170" s="385"/>
      <c r="U170" s="385"/>
      <c r="V170" s="385"/>
      <c r="W170" s="385"/>
      <c r="X170" s="385"/>
      <c r="Y170" s="385"/>
      <c r="Z170" s="385"/>
      <c r="AA170" s="385"/>
      <c r="AB170" s="385"/>
      <c r="AC170" s="385"/>
      <c r="AD170" s="385"/>
      <c r="AE170" s="385"/>
      <c r="AF170" s="385"/>
      <c r="AG170" s="385"/>
      <c r="AH170" s="26">
        <v>0</v>
      </c>
      <c r="AI170" s="385"/>
      <c r="AJ170" s="385"/>
      <c r="AK170" s="165" t="s">
        <v>534</v>
      </c>
      <c r="AL170" s="423" t="s">
        <v>535</v>
      </c>
      <c r="AM170" s="386">
        <v>1</v>
      </c>
    </row>
    <row r="171" spans="1:39" ht="45" x14ac:dyDescent="0.25">
      <c r="A171" s="351"/>
      <c r="B171" s="352"/>
      <c r="C171" s="352"/>
      <c r="D171" s="352"/>
      <c r="E171" s="352"/>
      <c r="F171" s="393"/>
      <c r="G171" s="393"/>
      <c r="H171" s="393"/>
      <c r="I171" s="393"/>
      <c r="J171" s="384" t="s">
        <v>744</v>
      </c>
      <c r="K171" s="387">
        <v>1.21</v>
      </c>
      <c r="L171" s="385" t="s">
        <v>745</v>
      </c>
      <c r="M171" s="385"/>
      <c r="N171" s="385"/>
      <c r="O171" s="385"/>
      <c r="P171" s="119">
        <v>0</v>
      </c>
      <c r="Q171" s="385"/>
      <c r="R171" s="385"/>
      <c r="S171" s="385"/>
      <c r="T171" s="385"/>
      <c r="U171" s="385"/>
      <c r="V171" s="385"/>
      <c r="W171" s="385"/>
      <c r="X171" s="385"/>
      <c r="Y171" s="385"/>
      <c r="Z171" s="385"/>
      <c r="AA171" s="385"/>
      <c r="AB171" s="385"/>
      <c r="AC171" s="385"/>
      <c r="AD171" s="385"/>
      <c r="AE171" s="385"/>
      <c r="AF171" s="385"/>
      <c r="AG171" s="385"/>
      <c r="AH171" s="26">
        <v>0</v>
      </c>
      <c r="AI171" s="385"/>
      <c r="AJ171" s="385"/>
      <c r="AK171" s="165" t="s">
        <v>534</v>
      </c>
      <c r="AL171" s="423" t="s">
        <v>535</v>
      </c>
      <c r="AM171" s="387">
        <v>2</v>
      </c>
    </row>
    <row r="172" spans="1:39" ht="146.25" x14ac:dyDescent="0.25">
      <c r="A172" s="351"/>
      <c r="B172" s="352"/>
      <c r="C172" s="352"/>
      <c r="D172" s="352"/>
      <c r="E172" s="352"/>
      <c r="F172" s="393"/>
      <c r="G172" s="420" t="s">
        <v>746</v>
      </c>
      <c r="H172" s="420" t="s">
        <v>747</v>
      </c>
      <c r="I172" s="420" t="s">
        <v>748</v>
      </c>
      <c r="J172" s="384" t="s">
        <v>749</v>
      </c>
      <c r="K172" s="394">
        <v>1.21</v>
      </c>
      <c r="L172" s="385" t="s">
        <v>750</v>
      </c>
      <c r="M172" s="385"/>
      <c r="N172" s="424">
        <v>1</v>
      </c>
      <c r="O172" s="424">
        <v>1</v>
      </c>
      <c r="P172" s="26">
        <f t="shared" ref="P172:P175" si="37">+O172/N172</f>
        <v>1</v>
      </c>
      <c r="Q172" s="424" t="s">
        <v>751</v>
      </c>
      <c r="R172" s="424" t="s">
        <v>285</v>
      </c>
      <c r="S172" s="424" t="s">
        <v>752</v>
      </c>
      <c r="T172" s="424" t="s">
        <v>90</v>
      </c>
      <c r="U172" s="435">
        <v>270428000</v>
      </c>
      <c r="V172" s="435">
        <v>270428000</v>
      </c>
      <c r="W172" s="424"/>
      <c r="X172" s="424"/>
      <c r="Y172" s="424" t="s">
        <v>55</v>
      </c>
      <c r="Z172" s="424"/>
      <c r="AA172" s="424"/>
      <c r="AB172" s="424"/>
      <c r="AC172" s="424"/>
      <c r="AD172" s="424"/>
      <c r="AE172" s="424"/>
      <c r="AF172" s="436">
        <v>270428000</v>
      </c>
      <c r="AG172" s="436">
        <v>269106400</v>
      </c>
      <c r="AH172" s="412">
        <f t="shared" ref="AH172:AH175" si="38">+AG172/AF172</f>
        <v>0.99511293209283058</v>
      </c>
      <c r="AI172" s="424" t="s">
        <v>753</v>
      </c>
      <c r="AJ172" s="424"/>
      <c r="AK172" s="165" t="s">
        <v>534</v>
      </c>
      <c r="AL172" s="165" t="s">
        <v>535</v>
      </c>
      <c r="AM172" s="424">
        <v>1</v>
      </c>
    </row>
    <row r="173" spans="1:39" ht="409.5" x14ac:dyDescent="0.25">
      <c r="A173" s="351"/>
      <c r="B173" s="352"/>
      <c r="C173" s="352"/>
      <c r="D173" s="352"/>
      <c r="E173" s="352"/>
      <c r="F173" s="393"/>
      <c r="G173" s="420" t="s">
        <v>754</v>
      </c>
      <c r="H173" s="420" t="s">
        <v>755</v>
      </c>
      <c r="I173" s="420" t="s">
        <v>756</v>
      </c>
      <c r="J173" s="405" t="s">
        <v>757</v>
      </c>
      <c r="K173" s="387">
        <v>1.21</v>
      </c>
      <c r="L173" s="405" t="s">
        <v>758</v>
      </c>
      <c r="M173" s="385"/>
      <c r="N173" s="424">
        <v>0.96</v>
      </c>
      <c r="O173" s="424">
        <v>1</v>
      </c>
      <c r="P173" s="26">
        <f t="shared" si="37"/>
        <v>1.0416666666666667</v>
      </c>
      <c r="Q173" s="424" t="s">
        <v>759</v>
      </c>
      <c r="R173" s="424" t="s">
        <v>285</v>
      </c>
      <c r="S173" s="424" t="s">
        <v>548</v>
      </c>
      <c r="T173" s="424" t="s">
        <v>90</v>
      </c>
      <c r="U173" s="435">
        <v>228516799</v>
      </c>
      <c r="V173" s="435">
        <v>228516799</v>
      </c>
      <c r="W173" s="424"/>
      <c r="X173" s="424"/>
      <c r="Y173" s="424" t="s">
        <v>55</v>
      </c>
      <c r="Z173" s="424"/>
      <c r="AA173" s="424"/>
      <c r="AB173" s="424"/>
      <c r="AC173" s="424"/>
      <c r="AD173" s="424"/>
      <c r="AE173" s="424"/>
      <c r="AF173" s="435">
        <v>228516799</v>
      </c>
      <c r="AG173" s="435">
        <v>228516799</v>
      </c>
      <c r="AH173" s="412">
        <f t="shared" si="38"/>
        <v>1</v>
      </c>
      <c r="AI173" s="424" t="s">
        <v>760</v>
      </c>
      <c r="AJ173" s="424"/>
      <c r="AK173" s="165" t="s">
        <v>534</v>
      </c>
      <c r="AL173" s="165" t="s">
        <v>535</v>
      </c>
      <c r="AM173" s="424">
        <v>0.96</v>
      </c>
    </row>
    <row r="174" spans="1:39" x14ac:dyDescent="0.25">
      <c r="A174" s="351"/>
      <c r="B174" s="352"/>
      <c r="C174" s="352"/>
      <c r="D174" s="352"/>
      <c r="E174" s="352"/>
      <c r="F174" s="393"/>
      <c r="G174" s="420"/>
      <c r="H174" s="420"/>
      <c r="I174" s="420"/>
      <c r="J174" s="405"/>
      <c r="K174" s="387"/>
      <c r="L174" s="405"/>
      <c r="M174" s="385"/>
      <c r="N174" s="424"/>
      <c r="O174" s="424"/>
      <c r="P174" s="26"/>
      <c r="Q174" s="424"/>
      <c r="R174" s="424"/>
      <c r="S174" s="424"/>
      <c r="T174" s="424"/>
      <c r="U174" s="435"/>
      <c r="V174" s="435"/>
      <c r="W174" s="424"/>
      <c r="X174" s="424"/>
      <c r="Y174" s="424"/>
      <c r="Z174" s="424"/>
      <c r="AA174" s="424"/>
      <c r="AB174" s="424"/>
      <c r="AC174" s="424"/>
      <c r="AD174" s="424"/>
      <c r="AE174" s="424"/>
      <c r="AF174" s="435"/>
      <c r="AG174" s="435"/>
      <c r="AH174" s="412"/>
      <c r="AI174" s="424"/>
      <c r="AJ174" s="424"/>
      <c r="AK174" s="165"/>
      <c r="AL174" s="165"/>
      <c r="AM174" s="424"/>
    </row>
    <row r="175" spans="1:39" ht="202.5" x14ac:dyDescent="0.25">
      <c r="A175" s="351"/>
      <c r="B175" s="352"/>
      <c r="C175" s="352"/>
      <c r="D175" s="352"/>
      <c r="E175" s="352"/>
      <c r="F175" s="393"/>
      <c r="G175" s="420" t="s">
        <v>761</v>
      </c>
      <c r="H175" s="420" t="s">
        <v>755</v>
      </c>
      <c r="I175" s="420" t="s">
        <v>762</v>
      </c>
      <c r="J175" s="405"/>
      <c r="K175" s="387"/>
      <c r="L175" s="405"/>
      <c r="M175" s="385"/>
      <c r="N175" s="424">
        <v>1</v>
      </c>
      <c r="O175" s="424">
        <v>1</v>
      </c>
      <c r="P175" s="26">
        <f t="shared" si="37"/>
        <v>1</v>
      </c>
      <c r="Q175" s="424" t="s">
        <v>763</v>
      </c>
      <c r="R175" s="424" t="s">
        <v>669</v>
      </c>
      <c r="S175" s="424" t="s">
        <v>752</v>
      </c>
      <c r="T175" s="424" t="s">
        <v>90</v>
      </c>
      <c r="U175" s="435">
        <v>135639893</v>
      </c>
      <c r="V175" s="435">
        <v>135639893</v>
      </c>
      <c r="W175" s="424"/>
      <c r="X175" s="424"/>
      <c r="Y175" s="424" t="s">
        <v>55</v>
      </c>
      <c r="Z175" s="424"/>
      <c r="AA175" s="424"/>
      <c r="AB175" s="424"/>
      <c r="AC175" s="424"/>
      <c r="AD175" s="424"/>
      <c r="AE175" s="424"/>
      <c r="AF175" s="435">
        <v>135639893</v>
      </c>
      <c r="AG175" s="435">
        <v>135639893</v>
      </c>
      <c r="AH175" s="412">
        <f t="shared" si="38"/>
        <v>1</v>
      </c>
      <c r="AI175" s="424"/>
      <c r="AJ175" s="424"/>
      <c r="AK175" s="165" t="s">
        <v>534</v>
      </c>
      <c r="AL175" s="165" t="s">
        <v>535</v>
      </c>
      <c r="AM175" s="424"/>
    </row>
    <row r="176" spans="1:39" ht="67.5" x14ac:dyDescent="0.25">
      <c r="A176" s="351"/>
      <c r="B176" s="352"/>
      <c r="C176" s="352"/>
      <c r="D176" s="352"/>
      <c r="E176" s="352"/>
      <c r="F176" s="393"/>
      <c r="G176" s="393"/>
      <c r="H176" s="393"/>
      <c r="I176" s="393"/>
      <c r="J176" s="384" t="s">
        <v>764</v>
      </c>
      <c r="K176" s="387">
        <v>1.21</v>
      </c>
      <c r="L176" s="385" t="s">
        <v>765</v>
      </c>
      <c r="M176" s="385"/>
      <c r="N176" s="385"/>
      <c r="O176" s="385"/>
      <c r="P176" s="119">
        <v>0</v>
      </c>
      <c r="Q176" s="385"/>
      <c r="R176" s="385"/>
      <c r="S176" s="385"/>
      <c r="T176" s="385"/>
      <c r="U176" s="385"/>
      <c r="V176" s="385"/>
      <c r="W176" s="385"/>
      <c r="X176" s="385"/>
      <c r="Y176" s="385"/>
      <c r="Z176" s="385"/>
      <c r="AA176" s="385"/>
      <c r="AB176" s="385"/>
      <c r="AC176" s="385"/>
      <c r="AD176" s="385"/>
      <c r="AE176" s="385"/>
      <c r="AF176" s="385"/>
      <c r="AG176" s="385"/>
      <c r="AH176" s="26">
        <v>0</v>
      </c>
      <c r="AI176" s="385"/>
      <c r="AJ176" s="385"/>
      <c r="AK176" s="165" t="s">
        <v>534</v>
      </c>
      <c r="AL176" s="423" t="s">
        <v>535</v>
      </c>
      <c r="AM176" s="424">
        <v>1</v>
      </c>
    </row>
    <row r="177" spans="1:39" ht="202.5" x14ac:dyDescent="0.25">
      <c r="A177" s="351"/>
      <c r="B177" s="352"/>
      <c r="C177" s="352"/>
      <c r="D177" s="352"/>
      <c r="E177" s="352"/>
      <c r="F177" s="393"/>
      <c r="G177" s="420" t="s">
        <v>761</v>
      </c>
      <c r="H177" s="420" t="s">
        <v>755</v>
      </c>
      <c r="I177" s="420" t="s">
        <v>762</v>
      </c>
      <c r="J177" s="384" t="s">
        <v>766</v>
      </c>
      <c r="K177" s="387">
        <v>1.21</v>
      </c>
      <c r="L177" s="385" t="s">
        <v>767</v>
      </c>
      <c r="M177" s="385"/>
      <c r="N177" s="424">
        <v>1</v>
      </c>
      <c r="O177" s="424">
        <v>1</v>
      </c>
      <c r="P177" s="26">
        <f t="shared" ref="P177" si="39">+O177/N177</f>
        <v>1</v>
      </c>
      <c r="Q177" s="424" t="s">
        <v>763</v>
      </c>
      <c r="R177" s="424" t="s">
        <v>669</v>
      </c>
      <c r="S177" s="424" t="s">
        <v>752</v>
      </c>
      <c r="T177" s="424" t="s">
        <v>90</v>
      </c>
      <c r="U177" s="435">
        <v>135639893</v>
      </c>
      <c r="V177" s="435">
        <v>135639893</v>
      </c>
      <c r="W177" s="424"/>
      <c r="X177" s="424"/>
      <c r="Y177" s="424" t="s">
        <v>55</v>
      </c>
      <c r="Z177" s="424"/>
      <c r="AA177" s="424"/>
      <c r="AB177" s="424"/>
      <c r="AC177" s="424"/>
      <c r="AD177" s="424"/>
      <c r="AE177" s="424"/>
      <c r="AF177" s="435">
        <v>135639893</v>
      </c>
      <c r="AG177" s="435">
        <v>135639893</v>
      </c>
      <c r="AH177" s="412">
        <f t="shared" ref="AH177" si="40">+AG177/AF177</f>
        <v>1</v>
      </c>
      <c r="AI177" s="424"/>
      <c r="AJ177" s="424"/>
      <c r="AK177" s="165" t="s">
        <v>534</v>
      </c>
      <c r="AL177" s="165" t="s">
        <v>535</v>
      </c>
      <c r="AM177" s="424">
        <v>1</v>
      </c>
    </row>
    <row r="178" spans="1:39" ht="33.75" x14ac:dyDescent="0.25">
      <c r="A178" s="351"/>
      <c r="B178" s="352"/>
      <c r="C178" s="352"/>
      <c r="D178" s="352"/>
      <c r="E178" s="352"/>
      <c r="F178" s="393"/>
      <c r="G178" s="393"/>
      <c r="H178" s="393"/>
      <c r="I178" s="393"/>
      <c r="J178" s="384" t="s">
        <v>768</v>
      </c>
      <c r="K178" s="387">
        <v>1.21</v>
      </c>
      <c r="L178" s="385" t="s">
        <v>769</v>
      </c>
      <c r="M178" s="385"/>
      <c r="N178" s="385"/>
      <c r="O178" s="385"/>
      <c r="P178" s="119">
        <v>0</v>
      </c>
      <c r="Q178" s="385"/>
      <c r="R178" s="385"/>
      <c r="S178" s="385"/>
      <c r="T178" s="385"/>
      <c r="U178" s="385"/>
      <c r="V178" s="385"/>
      <c r="W178" s="385"/>
      <c r="X178" s="385"/>
      <c r="Y178" s="385"/>
      <c r="Z178" s="385"/>
      <c r="AA178" s="385"/>
      <c r="AB178" s="385"/>
      <c r="AC178" s="385"/>
      <c r="AD178" s="385"/>
      <c r="AE178" s="385"/>
      <c r="AF178" s="385"/>
      <c r="AG178" s="385"/>
      <c r="AH178" s="26">
        <v>0</v>
      </c>
      <c r="AI178" s="385"/>
      <c r="AJ178" s="385"/>
      <c r="AK178" s="165" t="s">
        <v>534</v>
      </c>
      <c r="AL178" s="423" t="s">
        <v>535</v>
      </c>
      <c r="AM178" s="424">
        <v>1</v>
      </c>
    </row>
    <row r="179" spans="1:39" ht="225" x14ac:dyDescent="0.25">
      <c r="A179" s="351"/>
      <c r="B179" s="352"/>
      <c r="C179" s="352"/>
      <c r="D179" s="352"/>
      <c r="E179" s="352"/>
      <c r="F179" s="393"/>
      <c r="G179" s="389" t="s">
        <v>770</v>
      </c>
      <c r="H179" s="389" t="s">
        <v>771</v>
      </c>
      <c r="I179" s="389" t="s">
        <v>772</v>
      </c>
      <c r="J179" s="384" t="s">
        <v>773</v>
      </c>
      <c r="K179" s="437">
        <v>0.06</v>
      </c>
      <c r="L179" s="391" t="s">
        <v>774</v>
      </c>
      <c r="M179" s="391"/>
      <c r="N179" s="424">
        <v>0.9</v>
      </c>
      <c r="O179" s="438">
        <v>0.9</v>
      </c>
      <c r="P179" s="26">
        <f t="shared" ref="P179:P190" si="41">+O179/N179</f>
        <v>1</v>
      </c>
      <c r="Q179" s="424" t="s">
        <v>775</v>
      </c>
      <c r="R179" s="438" t="s">
        <v>598</v>
      </c>
      <c r="S179" s="425" t="s">
        <v>670</v>
      </c>
      <c r="T179" s="425" t="s">
        <v>90</v>
      </c>
      <c r="U179" s="164">
        <v>2532621066</v>
      </c>
      <c r="V179" s="164">
        <v>2532621066</v>
      </c>
      <c r="W179" s="164"/>
      <c r="X179" s="164"/>
      <c r="Y179" s="164"/>
      <c r="Z179" s="164"/>
      <c r="AA179" s="164"/>
      <c r="AB179" s="164" t="s">
        <v>55</v>
      </c>
      <c r="AC179" s="164"/>
      <c r="AD179" s="164"/>
      <c r="AE179" s="164"/>
      <c r="AF179" s="164">
        <v>2532621066</v>
      </c>
      <c r="AG179" s="164">
        <v>2171997312</v>
      </c>
      <c r="AH179" s="81">
        <f t="shared" ref="AH179" si="42">+AG179/AF179</f>
        <v>0.85760848362144992</v>
      </c>
      <c r="AI179" s="425" t="s">
        <v>776</v>
      </c>
      <c r="AJ179" s="425"/>
      <c r="AK179" s="425" t="s">
        <v>534</v>
      </c>
      <c r="AL179" s="425" t="s">
        <v>535</v>
      </c>
      <c r="AM179" s="424">
        <v>0.9</v>
      </c>
    </row>
    <row r="180" spans="1:39" ht="101.25" x14ac:dyDescent="0.25">
      <c r="A180" s="351"/>
      <c r="B180" s="352"/>
      <c r="C180" s="352"/>
      <c r="D180" s="352"/>
      <c r="E180" s="352"/>
      <c r="F180" s="393"/>
      <c r="G180" s="393"/>
      <c r="H180" s="393"/>
      <c r="I180" s="393"/>
      <c r="J180" s="384" t="s">
        <v>777</v>
      </c>
      <c r="K180" s="387">
        <v>0.06</v>
      </c>
      <c r="L180" s="385" t="s">
        <v>778</v>
      </c>
      <c r="M180" s="385"/>
      <c r="N180" s="424">
        <v>1</v>
      </c>
      <c r="O180" s="424">
        <v>1</v>
      </c>
      <c r="P180" s="26">
        <f t="shared" si="41"/>
        <v>1</v>
      </c>
      <c r="Q180" s="424" t="s">
        <v>779</v>
      </c>
      <c r="R180" s="424" t="s">
        <v>135</v>
      </c>
      <c r="S180" s="428"/>
      <c r="T180" s="428"/>
      <c r="U180" s="428"/>
      <c r="V180" s="428"/>
      <c r="W180" s="428"/>
      <c r="X180" s="428"/>
      <c r="Y180" s="428"/>
      <c r="Z180" s="428"/>
      <c r="AA180" s="428"/>
      <c r="AB180" s="428"/>
      <c r="AC180" s="428"/>
      <c r="AD180" s="428"/>
      <c r="AE180" s="428"/>
      <c r="AF180" s="428"/>
      <c r="AG180" s="428"/>
      <c r="AH180" s="130"/>
      <c r="AI180" s="428"/>
      <c r="AJ180" s="428"/>
      <c r="AK180" s="428"/>
      <c r="AL180" s="428"/>
      <c r="AM180" s="424">
        <v>1</v>
      </c>
    </row>
    <row r="181" spans="1:39" ht="90" x14ac:dyDescent="0.25">
      <c r="A181" s="351"/>
      <c r="B181" s="352"/>
      <c r="C181" s="352"/>
      <c r="D181" s="352"/>
      <c r="E181" s="352"/>
      <c r="F181" s="393"/>
      <c r="G181" s="393"/>
      <c r="H181" s="393"/>
      <c r="I181" s="393"/>
      <c r="J181" s="384" t="s">
        <v>780</v>
      </c>
      <c r="K181" s="387">
        <v>0.06</v>
      </c>
      <c r="L181" s="385" t="s">
        <v>778</v>
      </c>
      <c r="M181" s="385"/>
      <c r="N181" s="424">
        <v>1</v>
      </c>
      <c r="O181" s="424">
        <v>1</v>
      </c>
      <c r="P181" s="26">
        <f t="shared" si="41"/>
        <v>1</v>
      </c>
      <c r="Q181" s="424" t="s">
        <v>781</v>
      </c>
      <c r="R181" s="424" t="s">
        <v>669</v>
      </c>
      <c r="S181" s="428"/>
      <c r="T181" s="428"/>
      <c r="U181" s="428"/>
      <c r="V181" s="428"/>
      <c r="W181" s="428"/>
      <c r="X181" s="428"/>
      <c r="Y181" s="428"/>
      <c r="Z181" s="428"/>
      <c r="AA181" s="428"/>
      <c r="AB181" s="428"/>
      <c r="AC181" s="428"/>
      <c r="AD181" s="428"/>
      <c r="AE181" s="428"/>
      <c r="AF181" s="428"/>
      <c r="AG181" s="428"/>
      <c r="AH181" s="130"/>
      <c r="AI181" s="428"/>
      <c r="AJ181" s="428"/>
      <c r="AK181" s="428"/>
      <c r="AL181" s="428"/>
      <c r="AM181" s="424">
        <v>1</v>
      </c>
    </row>
    <row r="182" spans="1:39" ht="90" x14ac:dyDescent="0.25">
      <c r="A182" s="351"/>
      <c r="B182" s="352"/>
      <c r="C182" s="352"/>
      <c r="D182" s="352"/>
      <c r="E182" s="352"/>
      <c r="F182" s="393"/>
      <c r="G182" s="393"/>
      <c r="H182" s="393"/>
      <c r="I182" s="393"/>
      <c r="J182" s="384" t="s">
        <v>782</v>
      </c>
      <c r="K182" s="387">
        <v>0.06</v>
      </c>
      <c r="L182" s="385" t="s">
        <v>778</v>
      </c>
      <c r="M182" s="389"/>
      <c r="N182" s="403">
        <v>0.8</v>
      </c>
      <c r="O182" s="404">
        <v>1</v>
      </c>
      <c r="P182" s="26">
        <f t="shared" si="41"/>
        <v>1.25</v>
      </c>
      <c r="Q182" s="424" t="s">
        <v>783</v>
      </c>
      <c r="R182" s="424" t="s">
        <v>784</v>
      </c>
      <c r="S182" s="430"/>
      <c r="T182" s="430"/>
      <c r="U182" s="430"/>
      <c r="V182" s="430"/>
      <c r="W182" s="430"/>
      <c r="X182" s="430"/>
      <c r="Y182" s="430"/>
      <c r="Z182" s="430"/>
      <c r="AA182" s="430"/>
      <c r="AB182" s="430"/>
      <c r="AC182" s="430"/>
      <c r="AD182" s="430"/>
      <c r="AE182" s="430"/>
      <c r="AF182" s="430"/>
      <c r="AG182" s="430"/>
      <c r="AH182" s="83"/>
      <c r="AI182" s="430"/>
      <c r="AJ182" s="430"/>
      <c r="AK182" s="430"/>
      <c r="AL182" s="430"/>
      <c r="AM182" s="424">
        <v>0.8</v>
      </c>
    </row>
    <row r="183" spans="1:39" ht="382.5" x14ac:dyDescent="0.25">
      <c r="A183" s="351"/>
      <c r="B183" s="352"/>
      <c r="C183" s="352"/>
      <c r="D183" s="352"/>
      <c r="E183" s="352"/>
      <c r="F183" s="393"/>
      <c r="G183" s="389" t="s">
        <v>785</v>
      </c>
      <c r="H183" s="389" t="s">
        <v>786</v>
      </c>
      <c r="I183" s="389" t="s">
        <v>787</v>
      </c>
      <c r="J183" s="389" t="s">
        <v>787</v>
      </c>
      <c r="K183" s="389"/>
      <c r="L183" s="389"/>
      <c r="M183" s="389"/>
      <c r="N183" s="404">
        <v>1</v>
      </c>
      <c r="O183" s="404">
        <v>1</v>
      </c>
      <c r="P183" s="26">
        <f t="shared" si="41"/>
        <v>1</v>
      </c>
      <c r="Q183" s="389" t="s">
        <v>788</v>
      </c>
      <c r="R183" s="424" t="s">
        <v>789</v>
      </c>
      <c r="S183" s="425" t="s">
        <v>790</v>
      </c>
      <c r="T183" s="425" t="s">
        <v>791</v>
      </c>
      <c r="U183" s="435">
        <v>476132720</v>
      </c>
      <c r="V183" s="435">
        <v>476132720</v>
      </c>
      <c r="W183" s="424"/>
      <c r="X183" s="424"/>
      <c r="Y183" s="424" t="s">
        <v>55</v>
      </c>
      <c r="Z183" s="424"/>
      <c r="AA183" s="424"/>
      <c r="AB183" s="424"/>
      <c r="AC183" s="424"/>
      <c r="AD183" s="424"/>
      <c r="AE183" s="424"/>
      <c r="AF183" s="435">
        <v>476132720</v>
      </c>
      <c r="AG183" s="435">
        <v>476132720</v>
      </c>
      <c r="AH183" s="412">
        <f>+AG183/AF183</f>
        <v>1</v>
      </c>
      <c r="AI183" s="424" t="s">
        <v>792</v>
      </c>
      <c r="AJ183" s="424"/>
      <c r="AK183" s="165" t="s">
        <v>534</v>
      </c>
      <c r="AL183" s="165" t="s">
        <v>535</v>
      </c>
      <c r="AM183" s="424"/>
    </row>
    <row r="184" spans="1:39" ht="191.25" x14ac:dyDescent="0.25">
      <c r="A184" s="351"/>
      <c r="B184" s="352"/>
      <c r="C184" s="352"/>
      <c r="D184" s="352"/>
      <c r="E184" s="352"/>
      <c r="F184" s="393"/>
      <c r="G184" s="410"/>
      <c r="H184" s="393"/>
      <c r="I184" s="393"/>
      <c r="J184" s="393"/>
      <c r="K184" s="393"/>
      <c r="L184" s="390"/>
      <c r="M184" s="393"/>
      <c r="N184" s="393"/>
      <c r="O184" s="393"/>
      <c r="P184" s="439"/>
      <c r="Q184" s="424" t="s">
        <v>793</v>
      </c>
      <c r="R184" s="424" t="s">
        <v>285</v>
      </c>
      <c r="S184" s="430"/>
      <c r="T184" s="430"/>
      <c r="U184" s="435">
        <v>45000000</v>
      </c>
      <c r="V184" s="435">
        <v>45000000</v>
      </c>
      <c r="W184" s="424"/>
      <c r="X184" s="424"/>
      <c r="Y184" s="424" t="s">
        <v>55</v>
      </c>
      <c r="Z184" s="424"/>
      <c r="AA184" s="424"/>
      <c r="AB184" s="424"/>
      <c r="AC184" s="424"/>
      <c r="AD184" s="424"/>
      <c r="AE184" s="424"/>
      <c r="AF184" s="435">
        <v>45000000</v>
      </c>
      <c r="AG184" s="436">
        <v>44989200</v>
      </c>
      <c r="AH184" s="412">
        <f>+AG184/AF184</f>
        <v>0.99975999999999998</v>
      </c>
      <c r="AI184" s="424" t="s">
        <v>792</v>
      </c>
      <c r="AJ184" s="424"/>
      <c r="AK184" s="165" t="s">
        <v>534</v>
      </c>
      <c r="AL184" s="165" t="s">
        <v>535</v>
      </c>
      <c r="AM184" s="424"/>
    </row>
    <row r="185" spans="1:39" ht="180" x14ac:dyDescent="0.25">
      <c r="A185" s="351"/>
      <c r="B185" s="352"/>
      <c r="C185" s="352"/>
      <c r="D185" s="352"/>
      <c r="E185" s="352"/>
      <c r="F185" s="393"/>
      <c r="G185" s="389" t="s">
        <v>794</v>
      </c>
      <c r="H185" s="389" t="s">
        <v>786</v>
      </c>
      <c r="I185" s="389" t="s">
        <v>787</v>
      </c>
      <c r="J185" s="390" t="s">
        <v>787</v>
      </c>
      <c r="K185" s="440">
        <v>0.12</v>
      </c>
      <c r="L185" s="390" t="s">
        <v>795</v>
      </c>
      <c r="M185" s="441"/>
      <c r="N185" s="424">
        <v>1</v>
      </c>
      <c r="O185" s="424">
        <v>1</v>
      </c>
      <c r="P185" s="26">
        <f t="shared" si="41"/>
        <v>1</v>
      </c>
      <c r="Q185" s="424" t="s">
        <v>796</v>
      </c>
      <c r="R185" s="424" t="s">
        <v>285</v>
      </c>
      <c r="S185" s="425" t="s">
        <v>90</v>
      </c>
      <c r="T185" s="425" t="s">
        <v>797</v>
      </c>
      <c r="U185" s="164">
        <v>104000000</v>
      </c>
      <c r="V185" s="164">
        <v>104000000</v>
      </c>
      <c r="W185" s="425" t="s">
        <v>55</v>
      </c>
      <c r="X185" s="425"/>
      <c r="Y185" s="425"/>
      <c r="Z185" s="425"/>
      <c r="AA185" s="425"/>
      <c r="AB185" s="425"/>
      <c r="AC185" s="425"/>
      <c r="AD185" s="425"/>
      <c r="AE185" s="425"/>
      <c r="AF185" s="164">
        <v>104000000</v>
      </c>
      <c r="AG185" s="164">
        <v>104000000</v>
      </c>
      <c r="AH185" s="427">
        <f>+AG185/AF185</f>
        <v>1</v>
      </c>
      <c r="AI185" s="425"/>
      <c r="AJ185" s="425" t="s">
        <v>798</v>
      </c>
      <c r="AK185" s="425" t="s">
        <v>534</v>
      </c>
      <c r="AL185" s="425" t="s">
        <v>535</v>
      </c>
      <c r="AM185" s="424">
        <v>1</v>
      </c>
    </row>
    <row r="186" spans="1:39" ht="90" x14ac:dyDescent="0.25">
      <c r="A186" s="351"/>
      <c r="B186" s="352"/>
      <c r="C186" s="352"/>
      <c r="D186" s="352"/>
      <c r="E186" s="352"/>
      <c r="F186" s="393"/>
      <c r="G186" s="393"/>
      <c r="H186" s="393"/>
      <c r="I186" s="393"/>
      <c r="J186" s="399"/>
      <c r="K186" s="440"/>
      <c r="L186" s="399"/>
      <c r="M186" s="441"/>
      <c r="N186" s="424">
        <v>1</v>
      </c>
      <c r="O186" s="424">
        <v>1</v>
      </c>
      <c r="P186" s="26">
        <f t="shared" si="41"/>
        <v>1</v>
      </c>
      <c r="Q186" s="424" t="s">
        <v>799</v>
      </c>
      <c r="R186" s="424" t="s">
        <v>598</v>
      </c>
      <c r="S186" s="428"/>
      <c r="T186" s="428"/>
      <c r="U186" s="428"/>
      <c r="V186" s="428"/>
      <c r="W186" s="428"/>
      <c r="X186" s="428"/>
      <c r="Y186" s="428"/>
      <c r="Z186" s="428"/>
      <c r="AA186" s="428"/>
      <c r="AB186" s="428"/>
      <c r="AC186" s="428"/>
      <c r="AD186" s="428"/>
      <c r="AE186" s="428"/>
      <c r="AF186" s="428"/>
      <c r="AG186" s="428"/>
      <c r="AH186" s="130"/>
      <c r="AI186" s="428"/>
      <c r="AJ186" s="428"/>
      <c r="AK186" s="428"/>
      <c r="AL186" s="428"/>
      <c r="AM186" s="424">
        <v>1</v>
      </c>
    </row>
    <row r="187" spans="1:39" ht="101.25" x14ac:dyDescent="0.25">
      <c r="A187" s="351"/>
      <c r="B187" s="352"/>
      <c r="C187" s="352"/>
      <c r="D187" s="352"/>
      <c r="E187" s="352"/>
      <c r="F187" s="393"/>
      <c r="G187" s="393"/>
      <c r="H187" s="393"/>
      <c r="I187" s="393"/>
      <c r="J187" s="384" t="s">
        <v>800</v>
      </c>
      <c r="K187" s="387">
        <v>0.12</v>
      </c>
      <c r="L187" s="399" t="s">
        <v>801</v>
      </c>
      <c r="M187" s="385"/>
      <c r="N187" s="424">
        <v>1</v>
      </c>
      <c r="O187" s="424">
        <v>1</v>
      </c>
      <c r="P187" s="26">
        <f t="shared" si="41"/>
        <v>1</v>
      </c>
      <c r="Q187" s="424" t="s">
        <v>802</v>
      </c>
      <c r="R187" s="424" t="s">
        <v>803</v>
      </c>
      <c r="S187" s="428"/>
      <c r="T187" s="428"/>
      <c r="U187" s="428"/>
      <c r="V187" s="428"/>
      <c r="W187" s="428"/>
      <c r="X187" s="428"/>
      <c r="Y187" s="428"/>
      <c r="Z187" s="428"/>
      <c r="AA187" s="428"/>
      <c r="AB187" s="428"/>
      <c r="AC187" s="428"/>
      <c r="AD187" s="428"/>
      <c r="AE187" s="428"/>
      <c r="AF187" s="428"/>
      <c r="AG187" s="428"/>
      <c r="AH187" s="130"/>
      <c r="AI187" s="428"/>
      <c r="AJ187" s="428"/>
      <c r="AK187" s="428"/>
      <c r="AL187" s="428"/>
      <c r="AM187" s="424">
        <v>1</v>
      </c>
    </row>
    <row r="188" spans="1:39" ht="78.75" x14ac:dyDescent="0.25">
      <c r="A188" s="351"/>
      <c r="B188" s="352"/>
      <c r="C188" s="352"/>
      <c r="D188" s="352"/>
      <c r="E188" s="352"/>
      <c r="F188" s="393"/>
      <c r="G188" s="393"/>
      <c r="H188" s="393"/>
      <c r="I188" s="393"/>
      <c r="J188" s="394" t="s">
        <v>804</v>
      </c>
      <c r="K188" s="387">
        <v>0.11</v>
      </c>
      <c r="L188" s="385" t="s">
        <v>805</v>
      </c>
      <c r="M188" s="385"/>
      <c r="N188" s="387">
        <v>36</v>
      </c>
      <c r="O188" s="387">
        <v>36</v>
      </c>
      <c r="P188" s="26">
        <f t="shared" si="41"/>
        <v>1</v>
      </c>
      <c r="Q188" s="387" t="s">
        <v>806</v>
      </c>
      <c r="R188" s="387" t="s">
        <v>598</v>
      </c>
      <c r="S188" s="428"/>
      <c r="T188" s="428"/>
      <c r="U188" s="428"/>
      <c r="V188" s="428"/>
      <c r="W188" s="428"/>
      <c r="X188" s="428"/>
      <c r="Y188" s="428"/>
      <c r="Z188" s="428"/>
      <c r="AA188" s="428"/>
      <c r="AB188" s="428"/>
      <c r="AC188" s="428"/>
      <c r="AD188" s="428"/>
      <c r="AE188" s="428"/>
      <c r="AF188" s="428"/>
      <c r="AG188" s="428"/>
      <c r="AH188" s="130"/>
      <c r="AI188" s="428"/>
      <c r="AJ188" s="428"/>
      <c r="AK188" s="428"/>
      <c r="AL188" s="428"/>
      <c r="AM188" s="387">
        <v>36</v>
      </c>
    </row>
    <row r="189" spans="1:39" ht="67.5" x14ac:dyDescent="0.25">
      <c r="A189" s="351"/>
      <c r="B189" s="352"/>
      <c r="C189" s="352"/>
      <c r="D189" s="352"/>
      <c r="E189" s="352"/>
      <c r="F189" s="393"/>
      <c r="G189" s="393"/>
      <c r="H189" s="393"/>
      <c r="I189" s="401"/>
      <c r="J189" s="394" t="s">
        <v>807</v>
      </c>
      <c r="K189" s="402">
        <v>0.11</v>
      </c>
      <c r="L189" s="394" t="s">
        <v>808</v>
      </c>
      <c r="M189" s="385"/>
      <c r="N189" s="424">
        <v>1</v>
      </c>
      <c r="O189" s="424">
        <v>1</v>
      </c>
      <c r="P189" s="26">
        <f t="shared" si="41"/>
        <v>1</v>
      </c>
      <c r="Q189" s="424" t="s">
        <v>809</v>
      </c>
      <c r="R189" s="424" t="s">
        <v>598</v>
      </c>
      <c r="S189" s="430"/>
      <c r="T189" s="430"/>
      <c r="U189" s="430"/>
      <c r="V189" s="430"/>
      <c r="W189" s="430"/>
      <c r="X189" s="430"/>
      <c r="Y189" s="430"/>
      <c r="Z189" s="430"/>
      <c r="AA189" s="430"/>
      <c r="AB189" s="430"/>
      <c r="AC189" s="430"/>
      <c r="AD189" s="430"/>
      <c r="AE189" s="430"/>
      <c r="AF189" s="430"/>
      <c r="AG189" s="430"/>
      <c r="AH189" s="83"/>
      <c r="AI189" s="430"/>
      <c r="AJ189" s="430"/>
      <c r="AK189" s="430"/>
      <c r="AL189" s="430"/>
      <c r="AM189" s="424">
        <v>1</v>
      </c>
    </row>
    <row r="190" spans="1:39" ht="225" x14ac:dyDescent="0.25">
      <c r="A190" s="351"/>
      <c r="B190" s="352"/>
      <c r="C190" s="352"/>
      <c r="D190" s="352"/>
      <c r="E190" s="352"/>
      <c r="F190" s="393"/>
      <c r="G190" s="389" t="s">
        <v>810</v>
      </c>
      <c r="H190" s="389" t="s">
        <v>811</v>
      </c>
      <c r="I190" s="442" t="s">
        <v>812</v>
      </c>
      <c r="J190" s="409"/>
      <c r="K190" s="402"/>
      <c r="L190" s="409"/>
      <c r="M190" s="385"/>
      <c r="N190" s="424">
        <v>1</v>
      </c>
      <c r="O190" s="424">
        <v>1</v>
      </c>
      <c r="P190" s="26">
        <f t="shared" si="41"/>
        <v>1</v>
      </c>
      <c r="Q190" s="424" t="s">
        <v>813</v>
      </c>
      <c r="R190" s="424" t="s">
        <v>285</v>
      </c>
      <c r="S190" s="424" t="s">
        <v>548</v>
      </c>
      <c r="T190" s="424" t="s">
        <v>90</v>
      </c>
      <c r="U190" s="435">
        <v>50000000</v>
      </c>
      <c r="V190" s="435">
        <v>50000000</v>
      </c>
      <c r="W190" s="424"/>
      <c r="X190" s="424"/>
      <c r="Y190" s="424" t="s">
        <v>55</v>
      </c>
      <c r="Z190" s="424"/>
      <c r="AA190" s="424"/>
      <c r="AB190" s="424"/>
      <c r="AC190" s="424"/>
      <c r="AD190" s="424"/>
      <c r="AE190" s="424"/>
      <c r="AF190" s="435">
        <v>50000000</v>
      </c>
      <c r="AG190" s="435">
        <v>50000000</v>
      </c>
      <c r="AH190" s="412">
        <f>+AG190/AF190</f>
        <v>1</v>
      </c>
      <c r="AI190" s="424" t="s">
        <v>814</v>
      </c>
      <c r="AJ190" s="424"/>
      <c r="AK190" s="165"/>
      <c r="AL190" s="165"/>
      <c r="AM190" s="424"/>
    </row>
    <row r="191" spans="1:39" ht="56.25" x14ac:dyDescent="0.25">
      <c r="A191" s="351"/>
      <c r="B191" s="352"/>
      <c r="C191" s="352"/>
      <c r="D191" s="352"/>
      <c r="E191" s="352"/>
      <c r="F191" s="393"/>
      <c r="G191" s="393"/>
      <c r="H191" s="393"/>
      <c r="I191" s="393"/>
      <c r="J191" s="409" t="s">
        <v>815</v>
      </c>
      <c r="K191" s="387">
        <v>0.11</v>
      </c>
      <c r="L191" s="385" t="s">
        <v>816</v>
      </c>
      <c r="M191" s="385"/>
      <c r="N191" s="385"/>
      <c r="O191" s="385"/>
      <c r="P191" s="26">
        <v>0</v>
      </c>
      <c r="Q191" s="385"/>
      <c r="R191" s="385"/>
      <c r="S191" s="385"/>
      <c r="T191" s="385"/>
      <c r="U191" s="385"/>
      <c r="V191" s="385"/>
      <c r="W191" s="385"/>
      <c r="X191" s="385"/>
      <c r="Y191" s="385"/>
      <c r="Z191" s="385"/>
      <c r="AA191" s="385"/>
      <c r="AB191" s="385"/>
      <c r="AC191" s="385"/>
      <c r="AD191" s="385"/>
      <c r="AE191" s="385"/>
      <c r="AF191" s="385"/>
      <c r="AG191" s="385"/>
      <c r="AH191" s="26">
        <v>0</v>
      </c>
      <c r="AI191" s="385"/>
      <c r="AJ191" s="385"/>
      <c r="AK191" s="165" t="s">
        <v>534</v>
      </c>
      <c r="AL191" s="423" t="s">
        <v>535</v>
      </c>
      <c r="AM191" s="424">
        <v>1</v>
      </c>
    </row>
    <row r="192" spans="1:39" ht="45" x14ac:dyDescent="0.25">
      <c r="A192" s="351"/>
      <c r="B192" s="352"/>
      <c r="C192" s="352"/>
      <c r="D192" s="352"/>
      <c r="E192" s="352"/>
      <c r="F192" s="393"/>
      <c r="G192" s="393"/>
      <c r="H192" s="393"/>
      <c r="I192" s="393"/>
      <c r="J192" s="384" t="s">
        <v>817</v>
      </c>
      <c r="K192" s="443">
        <v>0.11</v>
      </c>
      <c r="L192" s="385" t="s">
        <v>818</v>
      </c>
      <c r="M192" s="385"/>
      <c r="N192" s="385"/>
      <c r="O192" s="385"/>
      <c r="P192" s="26">
        <v>0</v>
      </c>
      <c r="Q192" s="385"/>
      <c r="R192" s="385"/>
      <c r="S192" s="385"/>
      <c r="T192" s="385"/>
      <c r="U192" s="385"/>
      <c r="V192" s="385"/>
      <c r="W192" s="385"/>
      <c r="X192" s="385"/>
      <c r="Y192" s="385"/>
      <c r="Z192" s="385"/>
      <c r="AA192" s="385"/>
      <c r="AB192" s="385"/>
      <c r="AC192" s="385"/>
      <c r="AD192" s="385"/>
      <c r="AE192" s="385"/>
      <c r="AF192" s="385"/>
      <c r="AG192" s="385"/>
      <c r="AH192" s="26">
        <v>0</v>
      </c>
      <c r="AI192" s="385"/>
      <c r="AJ192" s="385"/>
      <c r="AK192" s="165" t="s">
        <v>534</v>
      </c>
      <c r="AL192" s="423" t="s">
        <v>535</v>
      </c>
      <c r="AM192" s="424">
        <v>1</v>
      </c>
    </row>
    <row r="193" spans="1:39" ht="247.5" x14ac:dyDescent="0.25">
      <c r="A193" s="351"/>
      <c r="B193" s="352"/>
      <c r="C193" s="352"/>
      <c r="D193" s="352"/>
      <c r="E193" s="352"/>
      <c r="F193" s="393"/>
      <c r="G193" s="389" t="s">
        <v>819</v>
      </c>
      <c r="H193" s="389" t="s">
        <v>820</v>
      </c>
      <c r="I193" s="389" t="s">
        <v>821</v>
      </c>
      <c r="J193" s="444" t="s">
        <v>822</v>
      </c>
      <c r="K193" s="443">
        <v>0.11</v>
      </c>
      <c r="L193" s="445" t="s">
        <v>823</v>
      </c>
      <c r="M193" s="389"/>
      <c r="N193" s="438">
        <v>1</v>
      </c>
      <c r="O193" s="438">
        <v>1</v>
      </c>
      <c r="P193" s="26">
        <f t="shared" ref="P193" si="43">+O193/N193</f>
        <v>1</v>
      </c>
      <c r="Q193" s="424" t="s">
        <v>824</v>
      </c>
      <c r="R193" s="424" t="s">
        <v>825</v>
      </c>
      <c r="S193" s="425" t="s">
        <v>826</v>
      </c>
      <c r="T193" s="425" t="s">
        <v>130</v>
      </c>
      <c r="U193" s="446">
        <v>295460011</v>
      </c>
      <c r="V193" s="446">
        <v>295460011</v>
      </c>
      <c r="W193" s="446"/>
      <c r="X193" s="446"/>
      <c r="Y193" s="446" t="s">
        <v>55</v>
      </c>
      <c r="Z193" s="446"/>
      <c r="AA193" s="446"/>
      <c r="AB193" s="446"/>
      <c r="AC193" s="446"/>
      <c r="AD193" s="446"/>
      <c r="AE193" s="446"/>
      <c r="AF193" s="446">
        <v>295460011</v>
      </c>
      <c r="AG193" s="446">
        <v>295460011</v>
      </c>
      <c r="AH193" s="350">
        <f>+AG193/AF193</f>
        <v>1</v>
      </c>
      <c r="AI193" s="446" t="s">
        <v>827</v>
      </c>
      <c r="AJ193" s="446"/>
      <c r="AK193" s="446" t="s">
        <v>534</v>
      </c>
      <c r="AL193" s="446" t="s">
        <v>535</v>
      </c>
      <c r="AM193" s="424">
        <v>1</v>
      </c>
    </row>
    <row r="194" spans="1:39" ht="33.75" x14ac:dyDescent="0.25">
      <c r="A194" s="351"/>
      <c r="B194" s="352"/>
      <c r="C194" s="352"/>
      <c r="D194" s="352"/>
      <c r="E194" s="352"/>
      <c r="F194" s="393"/>
      <c r="G194" s="393"/>
      <c r="H194" s="393"/>
      <c r="I194" s="393"/>
      <c r="J194" s="444"/>
      <c r="K194" s="447"/>
      <c r="L194" s="445"/>
      <c r="M194" s="393"/>
      <c r="N194" s="448"/>
      <c r="O194" s="448"/>
      <c r="P194" s="449"/>
      <c r="Q194" s="424" t="s">
        <v>828</v>
      </c>
      <c r="R194" s="424" t="s">
        <v>829</v>
      </c>
      <c r="S194" s="428"/>
      <c r="T194" s="428"/>
      <c r="U194" s="450"/>
      <c r="V194" s="450"/>
      <c r="W194" s="450"/>
      <c r="X194" s="450"/>
      <c r="Y194" s="450"/>
      <c r="Z194" s="450"/>
      <c r="AA194" s="450"/>
      <c r="AB194" s="450"/>
      <c r="AC194" s="450"/>
      <c r="AD194" s="450"/>
      <c r="AE194" s="450"/>
      <c r="AF194" s="450"/>
      <c r="AG194" s="450"/>
      <c r="AH194" s="451"/>
      <c r="AI194" s="450"/>
      <c r="AJ194" s="450"/>
      <c r="AK194" s="450"/>
      <c r="AL194" s="450"/>
      <c r="AM194" s="424"/>
    </row>
    <row r="195" spans="1:39" ht="67.5" x14ac:dyDescent="0.25">
      <c r="A195" s="351"/>
      <c r="B195" s="352"/>
      <c r="C195" s="352"/>
      <c r="D195" s="352"/>
      <c r="E195" s="352"/>
      <c r="F195" s="393"/>
      <c r="G195" s="393"/>
      <c r="H195" s="393"/>
      <c r="I195" s="393"/>
      <c r="J195" s="444"/>
      <c r="K195" s="452"/>
      <c r="L195" s="445"/>
      <c r="M195" s="410"/>
      <c r="N195" s="453"/>
      <c r="O195" s="453"/>
      <c r="P195" s="454"/>
      <c r="Q195" s="424" t="s">
        <v>830</v>
      </c>
      <c r="R195" s="424" t="s">
        <v>137</v>
      </c>
      <c r="S195" s="430"/>
      <c r="T195" s="430"/>
      <c r="U195" s="455"/>
      <c r="V195" s="455"/>
      <c r="W195" s="455"/>
      <c r="X195" s="455"/>
      <c r="Y195" s="455"/>
      <c r="Z195" s="455"/>
      <c r="AA195" s="455"/>
      <c r="AB195" s="455"/>
      <c r="AC195" s="455"/>
      <c r="AD195" s="455"/>
      <c r="AE195" s="455"/>
      <c r="AF195" s="455"/>
      <c r="AG195" s="455"/>
      <c r="AH195" s="456"/>
      <c r="AI195" s="455"/>
      <c r="AJ195" s="455"/>
      <c r="AK195" s="455"/>
      <c r="AL195" s="455"/>
      <c r="AM195" s="424"/>
    </row>
    <row r="196" spans="1:39" ht="78.75" x14ac:dyDescent="0.25">
      <c r="A196" s="351"/>
      <c r="B196" s="352"/>
      <c r="C196" s="352"/>
      <c r="D196" s="352"/>
      <c r="E196" s="352"/>
      <c r="F196" s="393"/>
      <c r="G196" s="389" t="s">
        <v>831</v>
      </c>
      <c r="H196" s="389" t="s">
        <v>832</v>
      </c>
      <c r="I196" s="389" t="s">
        <v>833</v>
      </c>
      <c r="J196" s="384" t="s">
        <v>834</v>
      </c>
      <c r="K196" s="452">
        <v>0.11</v>
      </c>
      <c r="L196" s="385" t="s">
        <v>835</v>
      </c>
      <c r="M196" s="385"/>
      <c r="N196" s="424">
        <v>0.7</v>
      </c>
      <c r="O196" s="457">
        <v>0.66700000000000004</v>
      </c>
      <c r="P196" s="26">
        <f t="shared" ref="P196:P198" si="44">+O196/N196</f>
        <v>0.95285714285714296</v>
      </c>
      <c r="Q196" s="425" t="s">
        <v>836</v>
      </c>
      <c r="R196" s="425" t="s">
        <v>837</v>
      </c>
      <c r="S196" s="425" t="s">
        <v>548</v>
      </c>
      <c r="T196" s="425" t="s">
        <v>90</v>
      </c>
      <c r="U196" s="164">
        <v>81948800</v>
      </c>
      <c r="V196" s="164">
        <v>81948800</v>
      </c>
      <c r="W196" s="164"/>
      <c r="X196" s="164"/>
      <c r="Y196" s="164" t="s">
        <v>55</v>
      </c>
      <c r="Z196" s="164"/>
      <c r="AA196" s="164"/>
      <c r="AB196" s="164"/>
      <c r="AC196" s="164"/>
      <c r="AD196" s="164"/>
      <c r="AE196" s="164"/>
      <c r="AF196" s="164">
        <v>81948800</v>
      </c>
      <c r="AG196" s="164">
        <v>81948800</v>
      </c>
      <c r="AH196" s="427">
        <f>+AG196/AF196</f>
        <v>1</v>
      </c>
      <c r="AI196" s="425" t="s">
        <v>838</v>
      </c>
      <c r="AJ196" s="425"/>
      <c r="AK196" s="425" t="s">
        <v>534</v>
      </c>
      <c r="AL196" s="425" t="s">
        <v>535</v>
      </c>
      <c r="AM196" s="424">
        <v>0.7</v>
      </c>
    </row>
    <row r="197" spans="1:39" ht="33.75" x14ac:dyDescent="0.25">
      <c r="A197" s="351"/>
      <c r="B197" s="352"/>
      <c r="C197" s="352"/>
      <c r="D197" s="352"/>
      <c r="E197" s="352"/>
      <c r="F197" s="393"/>
      <c r="G197" s="393"/>
      <c r="H197" s="393"/>
      <c r="I197" s="393"/>
      <c r="J197" s="384" t="s">
        <v>839</v>
      </c>
      <c r="K197" s="387">
        <v>0.11</v>
      </c>
      <c r="L197" s="385" t="s">
        <v>840</v>
      </c>
      <c r="M197" s="385"/>
      <c r="N197" s="424">
        <v>0.8</v>
      </c>
      <c r="O197" s="424">
        <v>0.8</v>
      </c>
      <c r="P197" s="26">
        <f t="shared" si="44"/>
        <v>1</v>
      </c>
      <c r="Q197" s="430"/>
      <c r="R197" s="430"/>
      <c r="S197" s="430"/>
      <c r="T197" s="430"/>
      <c r="U197" s="430"/>
      <c r="V197" s="430"/>
      <c r="W197" s="430"/>
      <c r="X197" s="430"/>
      <c r="Y197" s="430"/>
      <c r="Z197" s="430"/>
      <c r="AA197" s="430"/>
      <c r="AB197" s="430"/>
      <c r="AC197" s="430"/>
      <c r="AD197" s="430"/>
      <c r="AE197" s="430"/>
      <c r="AF197" s="430"/>
      <c r="AG197" s="430"/>
      <c r="AH197" s="83"/>
      <c r="AI197" s="430"/>
      <c r="AJ197" s="430"/>
      <c r="AK197" s="430"/>
      <c r="AL197" s="430"/>
      <c r="AM197" s="424">
        <v>0.8</v>
      </c>
    </row>
    <row r="198" spans="1:39" ht="90" x14ac:dyDescent="0.25">
      <c r="A198" s="351"/>
      <c r="B198" s="352"/>
      <c r="C198" s="352"/>
      <c r="D198" s="352"/>
      <c r="E198" s="352"/>
      <c r="F198" s="393"/>
      <c r="G198" s="389" t="s">
        <v>841</v>
      </c>
      <c r="H198" s="389" t="s">
        <v>832</v>
      </c>
      <c r="I198" s="389" t="s">
        <v>833</v>
      </c>
      <c r="J198" s="394" t="s">
        <v>842</v>
      </c>
      <c r="K198" s="443">
        <v>0.11</v>
      </c>
      <c r="L198" s="394" t="s">
        <v>843</v>
      </c>
      <c r="M198" s="389"/>
      <c r="N198" s="403">
        <v>0.85</v>
      </c>
      <c r="O198" s="404">
        <v>0.85</v>
      </c>
      <c r="P198" s="26">
        <f t="shared" si="44"/>
        <v>1</v>
      </c>
      <c r="Q198" s="424" t="s">
        <v>844</v>
      </c>
      <c r="R198" s="424" t="s">
        <v>829</v>
      </c>
      <c r="S198" s="424" t="s">
        <v>670</v>
      </c>
      <c r="T198" s="424" t="s">
        <v>90</v>
      </c>
      <c r="U198" s="446">
        <v>150880923</v>
      </c>
      <c r="V198" s="446">
        <v>150880923</v>
      </c>
      <c r="W198" s="425"/>
      <c r="X198" s="425"/>
      <c r="Y198" s="425"/>
      <c r="Z198" s="425"/>
      <c r="AA198" s="425"/>
      <c r="AB198" s="425" t="s">
        <v>55</v>
      </c>
      <c r="AC198" s="425"/>
      <c r="AD198" s="425"/>
      <c r="AE198" s="425"/>
      <c r="AF198" s="446">
        <v>150880923</v>
      </c>
      <c r="AG198" s="446">
        <v>100768315</v>
      </c>
      <c r="AH198" s="412">
        <f>+AG198/AF198</f>
        <v>0.66786650688768656</v>
      </c>
      <c r="AI198" s="446" t="s">
        <v>838</v>
      </c>
      <c r="AJ198" s="446"/>
      <c r="AK198" s="446" t="s">
        <v>534</v>
      </c>
      <c r="AL198" s="446" t="s">
        <v>535</v>
      </c>
      <c r="AM198" s="424">
        <v>0.85</v>
      </c>
    </row>
    <row r="199" spans="1:39" ht="78.75" x14ac:dyDescent="0.25">
      <c r="A199" s="351"/>
      <c r="B199" s="352"/>
      <c r="C199" s="352"/>
      <c r="D199" s="352"/>
      <c r="E199" s="352"/>
      <c r="F199" s="393"/>
      <c r="G199" s="393"/>
      <c r="H199" s="393"/>
      <c r="I199" s="393"/>
      <c r="J199" s="405"/>
      <c r="K199" s="443"/>
      <c r="L199" s="405"/>
      <c r="M199" s="393"/>
      <c r="N199" s="393"/>
      <c r="O199" s="393"/>
      <c r="P199" s="439"/>
      <c r="Q199" s="424" t="s">
        <v>836</v>
      </c>
      <c r="R199" s="438" t="s">
        <v>837</v>
      </c>
      <c r="S199" s="424" t="s">
        <v>670</v>
      </c>
      <c r="T199" s="424" t="s">
        <v>90</v>
      </c>
      <c r="U199" s="450"/>
      <c r="V199" s="450"/>
      <c r="W199" s="428"/>
      <c r="X199" s="428"/>
      <c r="Y199" s="428"/>
      <c r="Z199" s="428"/>
      <c r="AA199" s="428"/>
      <c r="AB199" s="428"/>
      <c r="AC199" s="428"/>
      <c r="AD199" s="428"/>
      <c r="AE199" s="428"/>
      <c r="AF199" s="450"/>
      <c r="AG199" s="450"/>
      <c r="AH199" s="451"/>
      <c r="AI199" s="450"/>
      <c r="AJ199" s="450"/>
      <c r="AK199" s="450"/>
      <c r="AL199" s="450"/>
      <c r="AM199" s="438"/>
    </row>
    <row r="200" spans="1:39" ht="90" x14ac:dyDescent="0.25">
      <c r="A200" s="351"/>
      <c r="B200" s="352"/>
      <c r="C200" s="352"/>
      <c r="D200" s="352"/>
      <c r="E200" s="352"/>
      <c r="F200" s="393"/>
      <c r="G200" s="410"/>
      <c r="H200" s="410"/>
      <c r="I200" s="393"/>
      <c r="J200" s="405"/>
      <c r="K200" s="443"/>
      <c r="L200" s="405"/>
      <c r="M200" s="410"/>
      <c r="N200" s="410"/>
      <c r="O200" s="410"/>
      <c r="P200" s="432"/>
      <c r="Q200" s="424" t="s">
        <v>845</v>
      </c>
      <c r="R200" s="438" t="s">
        <v>137</v>
      </c>
      <c r="S200" s="424" t="s">
        <v>670</v>
      </c>
      <c r="T200" s="424" t="s">
        <v>90</v>
      </c>
      <c r="U200" s="455"/>
      <c r="V200" s="455"/>
      <c r="W200" s="430"/>
      <c r="X200" s="430"/>
      <c r="Y200" s="430"/>
      <c r="Z200" s="430"/>
      <c r="AA200" s="430"/>
      <c r="AB200" s="430"/>
      <c r="AC200" s="430"/>
      <c r="AD200" s="430"/>
      <c r="AE200" s="430"/>
      <c r="AF200" s="455"/>
      <c r="AG200" s="455"/>
      <c r="AH200" s="456"/>
      <c r="AI200" s="455"/>
      <c r="AJ200" s="455"/>
      <c r="AK200" s="455"/>
      <c r="AL200" s="455"/>
      <c r="AM200" s="438"/>
    </row>
    <row r="201" spans="1:39" ht="123.75" x14ac:dyDescent="0.25">
      <c r="A201" s="351"/>
      <c r="B201" s="352"/>
      <c r="C201" s="352"/>
      <c r="D201" s="352"/>
      <c r="E201" s="352"/>
      <c r="F201" s="393"/>
      <c r="G201" s="389" t="s">
        <v>846</v>
      </c>
      <c r="H201" s="389" t="s">
        <v>847</v>
      </c>
      <c r="I201" s="389" t="s">
        <v>833</v>
      </c>
      <c r="J201" s="394" t="s">
        <v>848</v>
      </c>
      <c r="K201" s="437">
        <v>0.11</v>
      </c>
      <c r="L201" s="394" t="s">
        <v>849</v>
      </c>
      <c r="M201" s="391"/>
      <c r="N201" s="391">
        <v>1</v>
      </c>
      <c r="O201" s="391">
        <v>1</v>
      </c>
      <c r="P201" s="26">
        <f t="shared" ref="P201" si="45">+O201/N201</f>
        <v>1</v>
      </c>
      <c r="Q201" s="424" t="s">
        <v>836</v>
      </c>
      <c r="R201" s="438" t="s">
        <v>837</v>
      </c>
      <c r="S201" s="391" t="s">
        <v>548</v>
      </c>
      <c r="T201" s="391" t="s">
        <v>90</v>
      </c>
      <c r="U201" s="426">
        <v>68681541</v>
      </c>
      <c r="V201" s="426">
        <v>68681541</v>
      </c>
      <c r="W201" s="426"/>
      <c r="X201" s="426"/>
      <c r="Y201" s="426"/>
      <c r="Z201" s="426"/>
      <c r="AA201" s="426"/>
      <c r="AB201" s="426" t="s">
        <v>55</v>
      </c>
      <c r="AC201" s="426"/>
      <c r="AD201" s="426"/>
      <c r="AE201" s="426"/>
      <c r="AF201" s="426">
        <v>68681541</v>
      </c>
      <c r="AG201" s="426">
        <v>61353542.600000001</v>
      </c>
      <c r="AH201" s="350">
        <f>+AG201/AF201</f>
        <v>0.893304688664455</v>
      </c>
      <c r="AI201" s="391" t="s">
        <v>838</v>
      </c>
      <c r="AJ201" s="391"/>
      <c r="AK201" s="391" t="s">
        <v>534</v>
      </c>
      <c r="AL201" s="391" t="s">
        <v>535</v>
      </c>
      <c r="AM201" s="438">
        <v>1</v>
      </c>
    </row>
    <row r="202" spans="1:39" ht="90" x14ac:dyDescent="0.25">
      <c r="A202" s="351"/>
      <c r="B202" s="352"/>
      <c r="C202" s="352"/>
      <c r="D202" s="352"/>
      <c r="E202" s="352"/>
      <c r="F202" s="393"/>
      <c r="G202" s="410"/>
      <c r="H202" s="410"/>
      <c r="I202" s="410"/>
      <c r="J202" s="409"/>
      <c r="K202" s="399"/>
      <c r="L202" s="409"/>
      <c r="M202" s="395"/>
      <c r="N202" s="395"/>
      <c r="O202" s="395"/>
      <c r="P202" s="411"/>
      <c r="Q202" s="424" t="s">
        <v>845</v>
      </c>
      <c r="R202" s="438" t="s">
        <v>137</v>
      </c>
      <c r="S202" s="395"/>
      <c r="T202" s="395"/>
      <c r="U202" s="395"/>
      <c r="V202" s="395"/>
      <c r="W202" s="395"/>
      <c r="X202" s="395"/>
      <c r="Y202" s="395"/>
      <c r="Z202" s="395"/>
      <c r="AA202" s="395"/>
      <c r="AB202" s="395"/>
      <c r="AC202" s="395"/>
      <c r="AD202" s="395"/>
      <c r="AE202" s="395"/>
      <c r="AF202" s="395"/>
      <c r="AG202" s="395"/>
      <c r="AH202" s="411"/>
      <c r="AI202" s="395"/>
      <c r="AJ202" s="395"/>
      <c r="AK202" s="395"/>
      <c r="AL202" s="395"/>
      <c r="AM202" s="453"/>
    </row>
    <row r="203" spans="1:39" ht="45" x14ac:dyDescent="0.25">
      <c r="A203" s="351"/>
      <c r="B203" s="352"/>
      <c r="C203" s="352"/>
      <c r="D203" s="352"/>
      <c r="E203" s="352"/>
      <c r="F203" s="393"/>
      <c r="G203" s="393"/>
      <c r="H203" s="393"/>
      <c r="I203" s="393"/>
      <c r="J203" s="384" t="s">
        <v>850</v>
      </c>
      <c r="K203" s="387">
        <v>0.11</v>
      </c>
      <c r="L203" s="385" t="s">
        <v>851</v>
      </c>
      <c r="M203" s="385"/>
      <c r="N203" s="385"/>
      <c r="O203" s="385"/>
      <c r="P203" s="26">
        <v>0</v>
      </c>
      <c r="Q203" s="385"/>
      <c r="R203" s="385"/>
      <c r="S203" s="385"/>
      <c r="T203" s="385"/>
      <c r="U203" s="385"/>
      <c r="V203" s="385"/>
      <c r="W203" s="385"/>
      <c r="X203" s="385"/>
      <c r="Y203" s="385"/>
      <c r="Z203" s="385"/>
      <c r="AA203" s="385"/>
      <c r="AB203" s="385"/>
      <c r="AC203" s="385"/>
      <c r="AD203" s="385"/>
      <c r="AE203" s="385"/>
      <c r="AF203" s="385"/>
      <c r="AG203" s="385"/>
      <c r="AH203" s="26">
        <v>0</v>
      </c>
      <c r="AI203" s="385"/>
      <c r="AJ203" s="385"/>
      <c r="AK203" s="165" t="s">
        <v>534</v>
      </c>
      <c r="AL203" s="423" t="s">
        <v>535</v>
      </c>
      <c r="AM203" s="424">
        <v>0.8571428571428571</v>
      </c>
    </row>
    <row r="204" spans="1:39" ht="67.5" x14ac:dyDescent="0.25">
      <c r="A204" s="351"/>
      <c r="B204" s="352"/>
      <c r="C204" s="352"/>
      <c r="D204" s="352"/>
      <c r="E204" s="352"/>
      <c r="F204" s="393"/>
      <c r="G204" s="393"/>
      <c r="H204" s="393"/>
      <c r="I204" s="393"/>
      <c r="J204" s="384" t="s">
        <v>852</v>
      </c>
      <c r="K204" s="387">
        <v>0.11</v>
      </c>
      <c r="L204" s="385" t="s">
        <v>853</v>
      </c>
      <c r="M204" s="385"/>
      <c r="N204" s="385"/>
      <c r="O204" s="385"/>
      <c r="P204" s="26">
        <v>0</v>
      </c>
      <c r="Q204" s="385"/>
      <c r="R204" s="385"/>
      <c r="S204" s="385"/>
      <c r="T204" s="385"/>
      <c r="U204" s="385"/>
      <c r="V204" s="385"/>
      <c r="W204" s="385"/>
      <c r="X204" s="385"/>
      <c r="Y204" s="385"/>
      <c r="Z204" s="385"/>
      <c r="AA204" s="385"/>
      <c r="AB204" s="385"/>
      <c r="AC204" s="385"/>
      <c r="AD204" s="385"/>
      <c r="AE204" s="385"/>
      <c r="AF204" s="385"/>
      <c r="AG204" s="385"/>
      <c r="AH204" s="26">
        <v>0</v>
      </c>
      <c r="AI204" s="385"/>
      <c r="AJ204" s="385"/>
      <c r="AK204" s="165" t="s">
        <v>534</v>
      </c>
      <c r="AL204" s="423" t="s">
        <v>535</v>
      </c>
      <c r="AM204" s="424">
        <v>1</v>
      </c>
    </row>
    <row r="205" spans="1:39" ht="45" x14ac:dyDescent="0.25">
      <c r="A205" s="351"/>
      <c r="B205" s="352"/>
      <c r="C205" s="352"/>
      <c r="D205" s="352"/>
      <c r="E205" s="352"/>
      <c r="F205" s="393"/>
      <c r="G205" s="393"/>
      <c r="H205" s="393"/>
      <c r="I205" s="393"/>
      <c r="J205" s="384" t="s">
        <v>854</v>
      </c>
      <c r="K205" s="387">
        <v>0.11</v>
      </c>
      <c r="L205" s="385" t="s">
        <v>855</v>
      </c>
      <c r="M205" s="385"/>
      <c r="N205" s="385"/>
      <c r="O205" s="385"/>
      <c r="P205" s="26">
        <v>0</v>
      </c>
      <c r="Q205" s="385"/>
      <c r="R205" s="385"/>
      <c r="S205" s="385"/>
      <c r="T205" s="385"/>
      <c r="U205" s="385"/>
      <c r="V205" s="385"/>
      <c r="W205" s="385"/>
      <c r="X205" s="385"/>
      <c r="Y205" s="385"/>
      <c r="Z205" s="385"/>
      <c r="AA205" s="385"/>
      <c r="AB205" s="385"/>
      <c r="AC205" s="385"/>
      <c r="AD205" s="385"/>
      <c r="AE205" s="385"/>
      <c r="AF205" s="385"/>
      <c r="AG205" s="385"/>
      <c r="AH205" s="26">
        <v>0</v>
      </c>
      <c r="AI205" s="385"/>
      <c r="AJ205" s="385"/>
      <c r="AK205" s="165" t="s">
        <v>534</v>
      </c>
      <c r="AL205" s="423" t="s">
        <v>535</v>
      </c>
      <c r="AM205" s="424">
        <v>1</v>
      </c>
    </row>
    <row r="206" spans="1:39" ht="45" x14ac:dyDescent="0.25">
      <c r="A206" s="351"/>
      <c r="B206" s="352"/>
      <c r="C206" s="352"/>
      <c r="D206" s="352"/>
      <c r="E206" s="352"/>
      <c r="F206" s="393"/>
      <c r="G206" s="393"/>
      <c r="H206" s="393"/>
      <c r="I206" s="393"/>
      <c r="J206" s="384" t="s">
        <v>856</v>
      </c>
      <c r="K206" s="387">
        <v>0.12</v>
      </c>
      <c r="L206" s="385" t="s">
        <v>857</v>
      </c>
      <c r="M206" s="385"/>
      <c r="N206" s="385"/>
      <c r="O206" s="385"/>
      <c r="P206" s="26">
        <v>0</v>
      </c>
      <c r="Q206" s="385"/>
      <c r="R206" s="385"/>
      <c r="S206" s="385"/>
      <c r="T206" s="385"/>
      <c r="U206" s="385"/>
      <c r="V206" s="385"/>
      <c r="W206" s="385"/>
      <c r="X206" s="385"/>
      <c r="Y206" s="385"/>
      <c r="Z206" s="385"/>
      <c r="AA206" s="385"/>
      <c r="AB206" s="385"/>
      <c r="AC206" s="385"/>
      <c r="AD206" s="385"/>
      <c r="AE206" s="385"/>
      <c r="AF206" s="385"/>
      <c r="AG206" s="385"/>
      <c r="AH206" s="26">
        <v>0</v>
      </c>
      <c r="AI206" s="385"/>
      <c r="AJ206" s="385"/>
      <c r="AK206" s="165" t="s">
        <v>534</v>
      </c>
      <c r="AL206" s="423" t="s">
        <v>535</v>
      </c>
      <c r="AM206" s="424">
        <v>1</v>
      </c>
    </row>
    <row r="207" spans="1:39" ht="90" x14ac:dyDescent="0.25">
      <c r="A207" s="351"/>
      <c r="B207" s="352"/>
      <c r="C207" s="352"/>
      <c r="D207" s="352"/>
      <c r="E207" s="352"/>
      <c r="F207" s="389" t="s">
        <v>858</v>
      </c>
      <c r="G207" s="389" t="s">
        <v>859</v>
      </c>
      <c r="H207" s="389" t="s">
        <v>860</v>
      </c>
      <c r="I207" s="393"/>
      <c r="J207" s="384" t="s">
        <v>861</v>
      </c>
      <c r="K207" s="394">
        <v>0.47</v>
      </c>
      <c r="L207" s="391" t="s">
        <v>862</v>
      </c>
      <c r="M207" s="391"/>
      <c r="N207" s="438">
        <v>1</v>
      </c>
      <c r="O207" s="438">
        <v>1</v>
      </c>
      <c r="P207" s="26">
        <f t="shared" ref="P207:P213" si="46">+O207/N207</f>
        <v>1</v>
      </c>
      <c r="Q207" s="438" t="s">
        <v>863</v>
      </c>
      <c r="R207" s="438" t="s">
        <v>864</v>
      </c>
      <c r="S207" s="425" t="s">
        <v>865</v>
      </c>
      <c r="T207" s="425" t="s">
        <v>866</v>
      </c>
      <c r="U207" s="392">
        <v>115300000</v>
      </c>
      <c r="V207" s="392">
        <v>115300000</v>
      </c>
      <c r="W207" s="392" t="s">
        <v>55</v>
      </c>
      <c r="X207" s="392"/>
      <c r="Y207" s="392" t="s">
        <v>55</v>
      </c>
      <c r="Z207" s="392"/>
      <c r="AA207" s="392"/>
      <c r="AB207" s="392"/>
      <c r="AC207" s="392"/>
      <c r="AD207" s="392"/>
      <c r="AE207" s="392"/>
      <c r="AF207" s="392">
        <v>115300000</v>
      </c>
      <c r="AG207" s="392">
        <v>115300000</v>
      </c>
      <c r="AH207" s="350">
        <f>+AG207/AF207</f>
        <v>1</v>
      </c>
      <c r="AI207" s="392"/>
      <c r="AJ207" s="392"/>
      <c r="AK207" s="392" t="s">
        <v>534</v>
      </c>
      <c r="AL207" s="392" t="s">
        <v>535</v>
      </c>
      <c r="AM207" s="438">
        <v>1</v>
      </c>
    </row>
    <row r="208" spans="1:39" ht="78.75" x14ac:dyDescent="0.25">
      <c r="A208" s="351"/>
      <c r="B208" s="352"/>
      <c r="C208" s="352"/>
      <c r="D208" s="352"/>
      <c r="E208" s="352"/>
      <c r="F208" s="410"/>
      <c r="G208" s="410"/>
      <c r="H208" s="410"/>
      <c r="I208" s="393"/>
      <c r="J208" s="384" t="s">
        <v>867</v>
      </c>
      <c r="K208" s="387">
        <v>0.48</v>
      </c>
      <c r="L208" s="385" t="s">
        <v>868</v>
      </c>
      <c r="M208" s="385"/>
      <c r="N208" s="387">
        <v>31090</v>
      </c>
      <c r="O208" s="387">
        <v>43617</v>
      </c>
      <c r="P208" s="26">
        <f t="shared" si="46"/>
        <v>1.4029269861691862</v>
      </c>
      <c r="Q208" s="438" t="s">
        <v>869</v>
      </c>
      <c r="R208" s="387" t="s">
        <v>870</v>
      </c>
      <c r="S208" s="430"/>
      <c r="T208" s="430"/>
      <c r="U208" s="397"/>
      <c r="V208" s="397"/>
      <c r="W208" s="397"/>
      <c r="X208" s="397"/>
      <c r="Y208" s="397"/>
      <c r="Z208" s="397"/>
      <c r="AA208" s="397"/>
      <c r="AB208" s="397"/>
      <c r="AC208" s="397"/>
      <c r="AD208" s="397"/>
      <c r="AE208" s="397"/>
      <c r="AF208" s="397"/>
      <c r="AG208" s="397"/>
      <c r="AH208" s="229"/>
      <c r="AI208" s="397"/>
      <c r="AJ208" s="397"/>
      <c r="AK208" s="397"/>
      <c r="AL208" s="397"/>
      <c r="AM208" s="387">
        <v>31090</v>
      </c>
    </row>
    <row r="209" spans="1:39" ht="90" x14ac:dyDescent="0.25">
      <c r="A209" s="351"/>
      <c r="B209" s="352"/>
      <c r="C209" s="352"/>
      <c r="D209" s="352"/>
      <c r="E209" s="352"/>
      <c r="F209" s="389" t="s">
        <v>871</v>
      </c>
      <c r="G209" s="389" t="s">
        <v>872</v>
      </c>
      <c r="H209" s="389" t="s">
        <v>873</v>
      </c>
      <c r="I209" s="393"/>
      <c r="J209" s="384" t="s">
        <v>874</v>
      </c>
      <c r="K209" s="387">
        <v>0.47</v>
      </c>
      <c r="L209" s="385" t="s">
        <v>875</v>
      </c>
      <c r="M209" s="385"/>
      <c r="N209" s="424">
        <v>1</v>
      </c>
      <c r="O209" s="424">
        <v>1</v>
      </c>
      <c r="P209" s="26">
        <f t="shared" si="46"/>
        <v>1</v>
      </c>
      <c r="Q209" s="424" t="s">
        <v>876</v>
      </c>
      <c r="R209" s="424" t="s">
        <v>877</v>
      </c>
      <c r="S209" s="389" t="s">
        <v>878</v>
      </c>
      <c r="T209" s="389" t="s">
        <v>879</v>
      </c>
      <c r="U209" s="458">
        <v>50000000</v>
      </c>
      <c r="V209" s="458">
        <v>50000000</v>
      </c>
      <c r="W209" s="458" t="s">
        <v>55</v>
      </c>
      <c r="X209" s="458"/>
      <c r="Y209" s="458" t="s">
        <v>55</v>
      </c>
      <c r="Z209" s="458"/>
      <c r="AA209" s="458"/>
      <c r="AB209" s="458"/>
      <c r="AC209" s="458"/>
      <c r="AD209" s="458"/>
      <c r="AE209" s="458"/>
      <c r="AF209" s="458">
        <v>50000000</v>
      </c>
      <c r="AG209" s="458">
        <v>50000000</v>
      </c>
      <c r="AH209" s="350">
        <f>+AG209/AF209</f>
        <v>1</v>
      </c>
      <c r="AI209" s="389"/>
      <c r="AJ209" s="389"/>
      <c r="AK209" s="389" t="s">
        <v>534</v>
      </c>
      <c r="AL209" s="389" t="s">
        <v>535</v>
      </c>
      <c r="AM209" s="424">
        <v>1</v>
      </c>
    </row>
    <row r="210" spans="1:39" ht="78.75" x14ac:dyDescent="0.25">
      <c r="A210" s="351"/>
      <c r="B210" s="352"/>
      <c r="C210" s="352"/>
      <c r="D210" s="352"/>
      <c r="E210" s="352"/>
      <c r="F210" s="393"/>
      <c r="G210" s="393"/>
      <c r="H210" s="393"/>
      <c r="I210" s="393"/>
      <c r="J210" s="384" t="s">
        <v>880</v>
      </c>
      <c r="K210" s="387">
        <v>0.47</v>
      </c>
      <c r="L210" s="385" t="s">
        <v>881</v>
      </c>
      <c r="M210" s="385"/>
      <c r="N210" s="387">
        <v>25600</v>
      </c>
      <c r="O210" s="387">
        <v>29528</v>
      </c>
      <c r="P210" s="26">
        <f t="shared" si="46"/>
        <v>1.1534374999999999</v>
      </c>
      <c r="Q210" s="387" t="s">
        <v>882</v>
      </c>
      <c r="R210" s="387" t="s">
        <v>883</v>
      </c>
      <c r="S210" s="393"/>
      <c r="T210" s="393"/>
      <c r="U210" s="393"/>
      <c r="V210" s="393"/>
      <c r="W210" s="393"/>
      <c r="X210" s="393"/>
      <c r="Y210" s="393"/>
      <c r="Z210" s="393"/>
      <c r="AA210" s="393"/>
      <c r="AB210" s="393"/>
      <c r="AC210" s="393"/>
      <c r="AD210" s="393"/>
      <c r="AE210" s="393"/>
      <c r="AF210" s="393"/>
      <c r="AG210" s="393"/>
      <c r="AH210" s="439"/>
      <c r="AI210" s="393"/>
      <c r="AJ210" s="393"/>
      <c r="AK210" s="393"/>
      <c r="AL210" s="393"/>
      <c r="AM210" s="387">
        <v>25600</v>
      </c>
    </row>
    <row r="211" spans="1:39" ht="56.25" x14ac:dyDescent="0.25">
      <c r="A211" s="351"/>
      <c r="B211" s="352"/>
      <c r="C211" s="352"/>
      <c r="D211" s="352"/>
      <c r="E211" s="352"/>
      <c r="F211" s="410"/>
      <c r="G211" s="410"/>
      <c r="H211" s="410"/>
      <c r="I211" s="393"/>
      <c r="J211" s="384" t="s">
        <v>884</v>
      </c>
      <c r="K211" s="387">
        <v>0.47</v>
      </c>
      <c r="L211" s="385" t="s">
        <v>885</v>
      </c>
      <c r="M211" s="385"/>
      <c r="N211" s="386">
        <v>1</v>
      </c>
      <c r="O211" s="386">
        <v>1</v>
      </c>
      <c r="P211" s="26">
        <f t="shared" si="46"/>
        <v>1</v>
      </c>
      <c r="Q211" s="386" t="s">
        <v>886</v>
      </c>
      <c r="R211" s="386" t="s">
        <v>887</v>
      </c>
      <c r="S211" s="410"/>
      <c r="T211" s="410"/>
      <c r="U211" s="410"/>
      <c r="V211" s="410"/>
      <c r="W211" s="410"/>
      <c r="X211" s="410"/>
      <c r="Y211" s="410"/>
      <c r="Z211" s="410"/>
      <c r="AA211" s="410"/>
      <c r="AB211" s="410"/>
      <c r="AC211" s="410"/>
      <c r="AD211" s="410"/>
      <c r="AE211" s="410"/>
      <c r="AF211" s="410"/>
      <c r="AG211" s="410"/>
      <c r="AH211" s="432"/>
      <c r="AI211" s="410"/>
      <c r="AJ211" s="410"/>
      <c r="AK211" s="410"/>
      <c r="AL211" s="410"/>
      <c r="AM211" s="386">
        <v>1</v>
      </c>
    </row>
    <row r="212" spans="1:39" ht="146.25" x14ac:dyDescent="0.25">
      <c r="A212" s="351"/>
      <c r="B212" s="352"/>
      <c r="C212" s="352"/>
      <c r="D212" s="352"/>
      <c r="E212" s="352"/>
      <c r="F212" s="389" t="s">
        <v>888</v>
      </c>
      <c r="G212" s="389" t="s">
        <v>889</v>
      </c>
      <c r="H212" s="389" t="s">
        <v>890</v>
      </c>
      <c r="I212" s="393"/>
      <c r="J212" s="384" t="s">
        <v>891</v>
      </c>
      <c r="K212" s="387">
        <v>0.18</v>
      </c>
      <c r="L212" s="385" t="s">
        <v>892</v>
      </c>
      <c r="M212" s="385"/>
      <c r="N212" s="386">
        <v>0.95</v>
      </c>
      <c r="O212" s="386">
        <v>0.95</v>
      </c>
      <c r="P212" s="26">
        <f t="shared" si="46"/>
        <v>1</v>
      </c>
      <c r="Q212" s="459" t="s">
        <v>893</v>
      </c>
      <c r="R212" s="459" t="s">
        <v>285</v>
      </c>
      <c r="S212" s="459" t="s">
        <v>459</v>
      </c>
      <c r="T212" s="459" t="s">
        <v>417</v>
      </c>
      <c r="U212" s="459">
        <v>403225548</v>
      </c>
      <c r="V212" s="459">
        <v>403225548</v>
      </c>
      <c r="W212" s="459"/>
      <c r="X212" s="459"/>
      <c r="Y212" s="459" t="s">
        <v>55</v>
      </c>
      <c r="Z212" s="459"/>
      <c r="AA212" s="459"/>
      <c r="AB212" s="459"/>
      <c r="AC212" s="459"/>
      <c r="AD212" s="459"/>
      <c r="AE212" s="459"/>
      <c r="AF212" s="459">
        <v>403225548</v>
      </c>
      <c r="AG212" s="459">
        <v>403225548</v>
      </c>
      <c r="AH212" s="26">
        <f>+AG212/AF212</f>
        <v>1</v>
      </c>
      <c r="AI212" s="459" t="s">
        <v>894</v>
      </c>
      <c r="AJ212" s="459"/>
      <c r="AK212" s="459" t="s">
        <v>534</v>
      </c>
      <c r="AL212" s="459" t="s">
        <v>535</v>
      </c>
      <c r="AM212" s="386" t="s">
        <v>895</v>
      </c>
    </row>
    <row r="213" spans="1:39" ht="45" x14ac:dyDescent="0.25">
      <c r="A213" s="351"/>
      <c r="B213" s="352"/>
      <c r="C213" s="352"/>
      <c r="D213" s="352"/>
      <c r="E213" s="352"/>
      <c r="F213" s="410"/>
      <c r="G213" s="410"/>
      <c r="H213" s="410"/>
      <c r="I213" s="393"/>
      <c r="J213" s="384" t="s">
        <v>896</v>
      </c>
      <c r="K213" s="387">
        <v>0.18</v>
      </c>
      <c r="L213" s="385" t="s">
        <v>897</v>
      </c>
      <c r="M213" s="385"/>
      <c r="N213" s="386">
        <v>1</v>
      </c>
      <c r="O213" s="386">
        <v>1</v>
      </c>
      <c r="P213" s="26">
        <f t="shared" si="46"/>
        <v>1</v>
      </c>
      <c r="Q213" s="460"/>
      <c r="R213" s="460"/>
      <c r="S213" s="460"/>
      <c r="T213" s="460"/>
      <c r="U213" s="460"/>
      <c r="V213" s="460"/>
      <c r="W213" s="460"/>
      <c r="X213" s="460"/>
      <c r="Y213" s="460"/>
      <c r="Z213" s="460"/>
      <c r="AA213" s="460"/>
      <c r="AB213" s="460"/>
      <c r="AC213" s="460"/>
      <c r="AD213" s="460"/>
      <c r="AE213" s="460"/>
      <c r="AF213" s="460"/>
      <c r="AG213" s="460"/>
      <c r="AH213" s="26">
        <v>1</v>
      </c>
      <c r="AI213" s="460"/>
      <c r="AJ213" s="460"/>
      <c r="AK213" s="460"/>
      <c r="AL213" s="460"/>
      <c r="AM213" s="386">
        <v>1</v>
      </c>
    </row>
    <row r="214" spans="1:39" ht="56.25" x14ac:dyDescent="0.25">
      <c r="A214" s="351"/>
      <c r="B214" s="352"/>
      <c r="C214" s="352"/>
      <c r="D214" s="352"/>
      <c r="E214" s="352"/>
      <c r="F214" s="410"/>
      <c r="G214" s="410"/>
      <c r="H214" s="410"/>
      <c r="I214" s="410"/>
      <c r="J214" s="384" t="s">
        <v>898</v>
      </c>
      <c r="K214" s="387">
        <f>+(1.594*100)/2.5</f>
        <v>63.760000000000005</v>
      </c>
      <c r="L214" s="385" t="s">
        <v>899</v>
      </c>
      <c r="M214" s="385"/>
      <c r="N214" s="385"/>
      <c r="O214" s="385"/>
      <c r="P214" s="26">
        <v>0</v>
      </c>
      <c r="Q214" s="385"/>
      <c r="R214" s="385"/>
      <c r="S214" s="385"/>
      <c r="T214" s="385"/>
      <c r="U214" s="385"/>
      <c r="V214" s="385"/>
      <c r="W214" s="385"/>
      <c r="X214" s="385"/>
      <c r="Y214" s="385"/>
      <c r="Z214" s="385"/>
      <c r="AA214" s="385"/>
      <c r="AB214" s="385"/>
      <c r="AC214" s="385"/>
      <c r="AD214" s="385"/>
      <c r="AE214" s="385"/>
      <c r="AF214" s="385"/>
      <c r="AG214" s="385"/>
      <c r="AH214" s="26">
        <v>0</v>
      </c>
      <c r="AI214" s="385"/>
      <c r="AJ214" s="385"/>
      <c r="AK214" s="165" t="s">
        <v>534</v>
      </c>
      <c r="AL214" s="423" t="s">
        <v>535</v>
      </c>
      <c r="AM214" s="387">
        <v>4256</v>
      </c>
    </row>
    <row r="215" spans="1:39" ht="33.75" x14ac:dyDescent="0.25">
      <c r="A215" s="351"/>
      <c r="B215" s="352"/>
      <c r="C215" s="352"/>
      <c r="D215" s="352"/>
      <c r="E215" s="352"/>
      <c r="F215" s="110" t="s">
        <v>158</v>
      </c>
      <c r="G215" s="201"/>
      <c r="H215" s="201"/>
      <c r="I215" s="201"/>
      <c r="J215" s="261"/>
      <c r="K215" s="262">
        <f>SUM(K143:K214)</f>
        <v>99.88</v>
      </c>
      <c r="L215" s="461"/>
      <c r="M215" s="461"/>
      <c r="N215" s="461"/>
      <c r="O215" s="461"/>
      <c r="P215" s="461"/>
      <c r="Q215" s="461"/>
      <c r="R215" s="461"/>
      <c r="S215" s="461"/>
      <c r="T215" s="461"/>
      <c r="U215" s="461"/>
      <c r="V215" s="461"/>
      <c r="W215" s="461"/>
      <c r="X215" s="461"/>
      <c r="Y215" s="461"/>
      <c r="Z215" s="461"/>
      <c r="AA215" s="461"/>
      <c r="AB215" s="461"/>
      <c r="AC215" s="461"/>
      <c r="AD215" s="461"/>
      <c r="AE215" s="461"/>
      <c r="AF215" s="461"/>
      <c r="AG215" s="461"/>
      <c r="AH215" s="461"/>
      <c r="AI215" s="461"/>
      <c r="AJ215" s="461"/>
      <c r="AK215" s="144"/>
      <c r="AL215" s="113"/>
      <c r="AM215" s="461"/>
    </row>
    <row r="216" spans="1:39" ht="56.25" x14ac:dyDescent="0.25">
      <c r="A216" s="351"/>
      <c r="B216" s="352"/>
      <c r="C216" s="352"/>
      <c r="D216" s="352"/>
      <c r="E216" s="352"/>
      <c r="F216" s="462" t="s">
        <v>900</v>
      </c>
      <c r="G216" s="463"/>
      <c r="H216" s="463"/>
      <c r="I216" s="463"/>
      <c r="J216" s="464" t="s">
        <v>901</v>
      </c>
      <c r="K216" s="465">
        <v>3.68</v>
      </c>
      <c r="L216" s="464" t="s">
        <v>902</v>
      </c>
      <c r="M216" s="464"/>
      <c r="N216" s="464"/>
      <c r="O216" s="464"/>
      <c r="P216" s="119">
        <v>1</v>
      </c>
      <c r="Q216" s="464"/>
      <c r="R216" s="464"/>
      <c r="S216" s="464"/>
      <c r="T216" s="464"/>
      <c r="U216" s="464"/>
      <c r="V216" s="464"/>
      <c r="W216" s="464"/>
      <c r="X216" s="464"/>
      <c r="Y216" s="464"/>
      <c r="Z216" s="464"/>
      <c r="AA216" s="464"/>
      <c r="AB216" s="464"/>
      <c r="AC216" s="464"/>
      <c r="AD216" s="464"/>
      <c r="AE216" s="464"/>
      <c r="AF216" s="464"/>
      <c r="AG216" s="464"/>
      <c r="AH216" s="26">
        <v>1</v>
      </c>
      <c r="AI216" s="464"/>
      <c r="AJ216" s="464"/>
      <c r="AK216" s="466" t="s">
        <v>534</v>
      </c>
      <c r="AL216" s="467" t="s">
        <v>535</v>
      </c>
      <c r="AM216" s="464" t="s">
        <v>903</v>
      </c>
    </row>
    <row r="217" spans="1:39" ht="112.5" x14ac:dyDescent="0.25">
      <c r="A217" s="351"/>
      <c r="B217" s="352"/>
      <c r="C217" s="352"/>
      <c r="D217" s="352"/>
      <c r="E217" s="352"/>
      <c r="F217" s="463"/>
      <c r="G217" s="462" t="s">
        <v>904</v>
      </c>
      <c r="H217" s="462" t="s">
        <v>905</v>
      </c>
      <c r="I217" s="468" t="s">
        <v>906</v>
      </c>
      <c r="J217" s="469" t="s">
        <v>907</v>
      </c>
      <c r="K217" s="465">
        <v>3.68</v>
      </c>
      <c r="L217" s="464" t="s">
        <v>908</v>
      </c>
      <c r="M217" s="464"/>
      <c r="N217" s="470">
        <v>1</v>
      </c>
      <c r="O217" s="470">
        <v>1</v>
      </c>
      <c r="P217" s="119">
        <f>+O217/N217</f>
        <v>1</v>
      </c>
      <c r="Q217" s="470" t="s">
        <v>909</v>
      </c>
      <c r="R217" s="470" t="s">
        <v>910</v>
      </c>
      <c r="S217" s="470" t="s">
        <v>911</v>
      </c>
      <c r="T217" s="470" t="s">
        <v>417</v>
      </c>
      <c r="U217" s="471">
        <v>50000000</v>
      </c>
      <c r="V217" s="471">
        <v>50000000</v>
      </c>
      <c r="W217" s="471"/>
      <c r="X217" s="471"/>
      <c r="Y217" s="471"/>
      <c r="Z217" s="471" t="s">
        <v>912</v>
      </c>
      <c r="AA217" s="471"/>
      <c r="AB217" s="471"/>
      <c r="AC217" s="471"/>
      <c r="AD217" s="471"/>
      <c r="AE217" s="471"/>
      <c r="AF217" s="471">
        <v>50000000</v>
      </c>
      <c r="AG217" s="471">
        <v>50000000</v>
      </c>
      <c r="AH217" s="26">
        <f>+AG217/AF217</f>
        <v>1</v>
      </c>
      <c r="AI217" s="471" t="s">
        <v>913</v>
      </c>
      <c r="AJ217" s="471"/>
      <c r="AK217" s="471" t="s">
        <v>534</v>
      </c>
      <c r="AL217" s="471" t="s">
        <v>535</v>
      </c>
      <c r="AM217" s="470">
        <v>1</v>
      </c>
    </row>
    <row r="218" spans="1:39" ht="45" x14ac:dyDescent="0.25">
      <c r="A218" s="351"/>
      <c r="B218" s="352"/>
      <c r="C218" s="352"/>
      <c r="D218" s="352"/>
      <c r="E218" s="352"/>
      <c r="F218" s="463"/>
      <c r="G218" s="463"/>
      <c r="H218" s="463"/>
      <c r="I218" s="472" t="s">
        <v>914</v>
      </c>
      <c r="J218" s="469" t="s">
        <v>915</v>
      </c>
      <c r="K218" s="473">
        <v>3.68</v>
      </c>
      <c r="L218" s="469" t="s">
        <v>916</v>
      </c>
      <c r="M218" s="474"/>
      <c r="N218" s="474">
        <v>2152</v>
      </c>
      <c r="O218" s="474">
        <v>966</v>
      </c>
      <c r="P218" s="26">
        <f>+O218/N218</f>
        <v>0.44888475836431224</v>
      </c>
      <c r="Q218" s="470" t="s">
        <v>917</v>
      </c>
      <c r="R218" s="470" t="s">
        <v>910</v>
      </c>
      <c r="S218" s="464" t="s">
        <v>918</v>
      </c>
      <c r="T218" s="464" t="s">
        <v>417</v>
      </c>
      <c r="U218" s="475"/>
      <c r="V218" s="475"/>
      <c r="W218" s="475"/>
      <c r="X218" s="475"/>
      <c r="Y218" s="475"/>
      <c r="Z218" s="475"/>
      <c r="AA218" s="475"/>
      <c r="AB218" s="475"/>
      <c r="AC218" s="475"/>
      <c r="AD218" s="475"/>
      <c r="AE218" s="475"/>
      <c r="AF218" s="475"/>
      <c r="AG218" s="475"/>
      <c r="AH218" s="476"/>
      <c r="AI218" s="475"/>
      <c r="AJ218" s="475"/>
      <c r="AK218" s="475"/>
      <c r="AL218" s="475"/>
      <c r="AM218" s="464" t="s">
        <v>919</v>
      </c>
    </row>
    <row r="219" spans="1:39" ht="157.5" x14ac:dyDescent="0.25">
      <c r="A219" s="351"/>
      <c r="B219" s="352"/>
      <c r="C219" s="352"/>
      <c r="D219" s="352"/>
      <c r="E219" s="352"/>
      <c r="F219" s="463"/>
      <c r="G219" s="468" t="s">
        <v>920</v>
      </c>
      <c r="H219" s="468" t="s">
        <v>921</v>
      </c>
      <c r="I219" s="477" t="s">
        <v>922</v>
      </c>
      <c r="J219" s="478"/>
      <c r="K219" s="473"/>
      <c r="L219" s="478"/>
      <c r="M219" s="479"/>
      <c r="N219" s="479"/>
      <c r="O219" s="479"/>
      <c r="P219" s="480"/>
      <c r="Q219" s="470" t="s">
        <v>923</v>
      </c>
      <c r="R219" s="464" t="s">
        <v>924</v>
      </c>
      <c r="S219" s="464" t="s">
        <v>925</v>
      </c>
      <c r="T219" s="464" t="s">
        <v>417</v>
      </c>
      <c r="U219" s="481">
        <v>561200000</v>
      </c>
      <c r="V219" s="481">
        <v>561200000</v>
      </c>
      <c r="W219" s="464"/>
      <c r="X219" s="464"/>
      <c r="Y219" s="464"/>
      <c r="Z219" s="464"/>
      <c r="AA219" s="464"/>
      <c r="AB219" s="464" t="s">
        <v>55</v>
      </c>
      <c r="AC219" s="464"/>
      <c r="AD219" s="464"/>
      <c r="AE219" s="464"/>
      <c r="AF219" s="481">
        <v>561200000</v>
      </c>
      <c r="AG219" s="482">
        <v>537196363</v>
      </c>
      <c r="AH219" s="119">
        <f>+AG219/AF219</f>
        <v>0.95722801674982183</v>
      </c>
      <c r="AI219" s="470" t="s">
        <v>926</v>
      </c>
      <c r="AJ219" s="464"/>
      <c r="AK219" s="466" t="s">
        <v>534</v>
      </c>
      <c r="AL219" s="466"/>
      <c r="AM219" s="464"/>
    </row>
    <row r="220" spans="1:39" ht="101.25" x14ac:dyDescent="0.25">
      <c r="A220" s="351"/>
      <c r="B220" s="352"/>
      <c r="C220" s="352"/>
      <c r="D220" s="352"/>
      <c r="E220" s="352"/>
      <c r="F220" s="463"/>
      <c r="G220" s="468" t="s">
        <v>927</v>
      </c>
      <c r="H220" s="463" t="s">
        <v>928</v>
      </c>
      <c r="I220" s="468" t="s">
        <v>929</v>
      </c>
      <c r="J220" s="483" t="s">
        <v>930</v>
      </c>
      <c r="K220" s="465">
        <v>3.66</v>
      </c>
      <c r="L220" s="464" t="s">
        <v>931</v>
      </c>
      <c r="M220" s="464"/>
      <c r="N220" s="470">
        <v>1</v>
      </c>
      <c r="O220" s="470">
        <v>1</v>
      </c>
      <c r="P220" s="26">
        <f t="shared" ref="P220:P221" si="47">+O220/N220</f>
        <v>1</v>
      </c>
      <c r="Q220" s="464" t="s">
        <v>932</v>
      </c>
      <c r="R220" s="470" t="s">
        <v>933</v>
      </c>
      <c r="S220" s="470" t="s">
        <v>934</v>
      </c>
      <c r="T220" s="470" t="s">
        <v>417</v>
      </c>
      <c r="U220" s="484">
        <v>50000000</v>
      </c>
      <c r="V220" s="484">
        <v>50000000</v>
      </c>
      <c r="W220" s="470"/>
      <c r="X220" s="470"/>
      <c r="Y220" s="470"/>
      <c r="Z220" s="470" t="s">
        <v>55</v>
      </c>
      <c r="AA220" s="470"/>
      <c r="AB220" s="470"/>
      <c r="AC220" s="470"/>
      <c r="AD220" s="470"/>
      <c r="AE220" s="470"/>
      <c r="AF220" s="484">
        <v>50000000</v>
      </c>
      <c r="AG220" s="484">
        <v>50000000</v>
      </c>
      <c r="AH220" s="119">
        <f>+AG220/AF220</f>
        <v>1</v>
      </c>
      <c r="AI220" s="464" t="s">
        <v>935</v>
      </c>
      <c r="AJ220" s="470" t="s">
        <v>936</v>
      </c>
      <c r="AK220" s="466" t="s">
        <v>534</v>
      </c>
      <c r="AL220" s="466" t="s">
        <v>535</v>
      </c>
      <c r="AM220" s="470">
        <v>1</v>
      </c>
    </row>
    <row r="221" spans="1:39" ht="90" x14ac:dyDescent="0.25">
      <c r="A221" s="351"/>
      <c r="B221" s="352"/>
      <c r="C221" s="352"/>
      <c r="D221" s="352"/>
      <c r="E221" s="352"/>
      <c r="F221" s="463"/>
      <c r="G221" s="462" t="s">
        <v>937</v>
      </c>
      <c r="H221" s="462" t="s">
        <v>938</v>
      </c>
      <c r="I221" s="463" t="s">
        <v>939</v>
      </c>
      <c r="J221" s="469" t="s">
        <v>940</v>
      </c>
      <c r="K221" s="485">
        <v>3.66</v>
      </c>
      <c r="L221" s="469" t="s">
        <v>941</v>
      </c>
      <c r="M221" s="463"/>
      <c r="N221" s="486">
        <v>0.3</v>
      </c>
      <c r="O221" s="486">
        <v>0.3</v>
      </c>
      <c r="P221" s="26">
        <f t="shared" si="47"/>
        <v>1</v>
      </c>
      <c r="Q221" s="464" t="s">
        <v>942</v>
      </c>
      <c r="R221" s="464" t="s">
        <v>943</v>
      </c>
      <c r="S221" s="463" t="s">
        <v>944</v>
      </c>
      <c r="T221" s="487" t="s">
        <v>945</v>
      </c>
      <c r="U221" s="487">
        <v>50000000</v>
      </c>
      <c r="V221" s="487">
        <v>50000000</v>
      </c>
      <c r="W221" s="487"/>
      <c r="X221" s="487"/>
      <c r="Y221" s="487"/>
      <c r="Z221" s="487" t="s">
        <v>55</v>
      </c>
      <c r="AA221" s="487"/>
      <c r="AB221" s="487"/>
      <c r="AC221" s="487"/>
      <c r="AD221" s="487"/>
      <c r="AE221" s="487"/>
      <c r="AF221" s="487">
        <v>50000000</v>
      </c>
      <c r="AG221" s="487">
        <v>50000000</v>
      </c>
      <c r="AH221" s="119">
        <f>+AG221/AF221</f>
        <v>1</v>
      </c>
      <c r="AI221" s="487" t="s">
        <v>935</v>
      </c>
      <c r="AJ221" s="487"/>
      <c r="AK221" s="487" t="s">
        <v>534</v>
      </c>
      <c r="AL221" s="487" t="s">
        <v>535</v>
      </c>
      <c r="AM221" s="464" t="s">
        <v>946</v>
      </c>
    </row>
    <row r="222" spans="1:39" ht="33.75" x14ac:dyDescent="0.25">
      <c r="A222" s="351"/>
      <c r="B222" s="352"/>
      <c r="C222" s="352"/>
      <c r="D222" s="352"/>
      <c r="E222" s="352"/>
      <c r="F222" s="463"/>
      <c r="G222" s="488"/>
      <c r="H222" s="463"/>
      <c r="I222" s="463"/>
      <c r="J222" s="478"/>
      <c r="K222" s="485"/>
      <c r="L222" s="478"/>
      <c r="M222" s="463"/>
      <c r="N222" s="463"/>
      <c r="O222" s="463"/>
      <c r="P222" s="290"/>
      <c r="Q222" s="464" t="s">
        <v>947</v>
      </c>
      <c r="R222" s="464" t="s">
        <v>948</v>
      </c>
      <c r="S222" s="463"/>
      <c r="T222" s="487"/>
      <c r="U222" s="487"/>
      <c r="V222" s="487"/>
      <c r="W222" s="487"/>
      <c r="X222" s="487"/>
      <c r="Y222" s="487"/>
      <c r="Z222" s="487"/>
      <c r="AA222" s="487"/>
      <c r="AB222" s="487"/>
      <c r="AC222" s="487"/>
      <c r="AD222" s="487"/>
      <c r="AE222" s="487"/>
      <c r="AF222" s="487"/>
      <c r="AG222" s="487"/>
      <c r="AH222" s="119"/>
      <c r="AI222" s="487"/>
      <c r="AJ222" s="487"/>
      <c r="AK222" s="487"/>
      <c r="AL222" s="487"/>
      <c r="AM222" s="464"/>
    </row>
    <row r="223" spans="1:39" ht="101.25" x14ac:dyDescent="0.25">
      <c r="A223" s="351"/>
      <c r="B223" s="352"/>
      <c r="C223" s="352"/>
      <c r="D223" s="352"/>
      <c r="E223" s="352"/>
      <c r="F223" s="463"/>
      <c r="G223" s="468" t="s">
        <v>949</v>
      </c>
      <c r="H223" s="468" t="s">
        <v>950</v>
      </c>
      <c r="I223" s="468" t="s">
        <v>951</v>
      </c>
      <c r="J223" s="478" t="s">
        <v>952</v>
      </c>
      <c r="K223" s="465">
        <v>3.66</v>
      </c>
      <c r="L223" s="464" t="s">
        <v>953</v>
      </c>
      <c r="M223" s="464"/>
      <c r="N223" s="464">
        <v>3</v>
      </c>
      <c r="O223" s="464">
        <v>3</v>
      </c>
      <c r="P223" s="26">
        <f t="shared" ref="P223" si="48">+O223/N223</f>
        <v>1</v>
      </c>
      <c r="Q223" s="464" t="s">
        <v>954</v>
      </c>
      <c r="R223" s="464" t="s">
        <v>955</v>
      </c>
      <c r="S223" s="464" t="s">
        <v>54</v>
      </c>
      <c r="T223" s="464" t="s">
        <v>89</v>
      </c>
      <c r="U223" s="489">
        <v>50000000</v>
      </c>
      <c r="V223" s="489">
        <v>50000000</v>
      </c>
      <c r="W223" s="464"/>
      <c r="X223" s="464"/>
      <c r="Y223" s="464"/>
      <c r="Z223" s="464" t="s">
        <v>55</v>
      </c>
      <c r="AA223" s="464"/>
      <c r="AB223" s="464"/>
      <c r="AC223" s="464"/>
      <c r="AD223" s="464"/>
      <c r="AE223" s="464"/>
      <c r="AF223" s="489">
        <v>50000000</v>
      </c>
      <c r="AG223" s="482">
        <v>47619047.619999997</v>
      </c>
      <c r="AH223" s="119">
        <f>+AG223/AF223</f>
        <v>0.95238095239999998</v>
      </c>
      <c r="AI223" s="464" t="s">
        <v>935</v>
      </c>
      <c r="AJ223" s="464"/>
      <c r="AK223" s="466" t="s">
        <v>534</v>
      </c>
      <c r="AL223" s="466" t="s">
        <v>535</v>
      </c>
      <c r="AM223" s="464">
        <v>3</v>
      </c>
    </row>
    <row r="224" spans="1:39" ht="78.75" x14ac:dyDescent="0.25">
      <c r="A224" s="351"/>
      <c r="B224" s="352"/>
      <c r="C224" s="352"/>
      <c r="D224" s="352"/>
      <c r="E224" s="352"/>
      <c r="F224" s="463"/>
      <c r="G224" s="463"/>
      <c r="H224" s="463"/>
      <c r="I224" s="463"/>
      <c r="J224" s="464" t="s">
        <v>956</v>
      </c>
      <c r="K224" s="465">
        <v>3.66</v>
      </c>
      <c r="L224" s="464" t="s">
        <v>957</v>
      </c>
      <c r="M224" s="464"/>
      <c r="N224" s="464"/>
      <c r="O224" s="464"/>
      <c r="P224" s="26">
        <v>0</v>
      </c>
      <c r="Q224" s="464"/>
      <c r="R224" s="464"/>
      <c r="S224" s="464"/>
      <c r="T224" s="464"/>
      <c r="U224" s="464"/>
      <c r="V224" s="464"/>
      <c r="W224" s="464"/>
      <c r="X224" s="464"/>
      <c r="Y224" s="464"/>
      <c r="Z224" s="464"/>
      <c r="AA224" s="464"/>
      <c r="AB224" s="464"/>
      <c r="AC224" s="464"/>
      <c r="AD224" s="464"/>
      <c r="AE224" s="464"/>
      <c r="AF224" s="464"/>
      <c r="AG224" s="464"/>
      <c r="AH224" s="26">
        <v>0</v>
      </c>
      <c r="AI224" s="464"/>
      <c r="AJ224" s="464"/>
      <c r="AK224" s="466" t="s">
        <v>534</v>
      </c>
      <c r="AL224" s="467" t="s">
        <v>535</v>
      </c>
      <c r="AM224" s="464">
        <v>4</v>
      </c>
    </row>
    <row r="225" spans="1:39" ht="123.75" x14ac:dyDescent="0.25">
      <c r="A225" s="351"/>
      <c r="B225" s="352"/>
      <c r="C225" s="352"/>
      <c r="D225" s="352"/>
      <c r="E225" s="352"/>
      <c r="F225" s="463"/>
      <c r="G225" s="463" t="s">
        <v>958</v>
      </c>
      <c r="H225" s="463" t="s">
        <v>959</v>
      </c>
      <c r="I225" s="463" t="s">
        <v>960</v>
      </c>
      <c r="J225" s="485" t="s">
        <v>961</v>
      </c>
      <c r="K225" s="469">
        <v>3.66</v>
      </c>
      <c r="L225" s="485" t="s">
        <v>962</v>
      </c>
      <c r="M225" s="490"/>
      <c r="N225" s="491">
        <v>0.46</v>
      </c>
      <c r="O225" s="492">
        <v>0.46</v>
      </c>
      <c r="P225" s="26">
        <f t="shared" ref="P225" si="49">+O225/N225</f>
        <v>1</v>
      </c>
      <c r="Q225" s="470" t="s">
        <v>963</v>
      </c>
      <c r="R225" s="470" t="s">
        <v>964</v>
      </c>
      <c r="S225" s="470" t="s">
        <v>965</v>
      </c>
      <c r="T225" s="470" t="s">
        <v>966</v>
      </c>
      <c r="U225" s="471">
        <v>12000000</v>
      </c>
      <c r="V225" s="471">
        <v>20000000</v>
      </c>
      <c r="W225" s="471"/>
      <c r="X225" s="471"/>
      <c r="Y225" s="471"/>
      <c r="Z225" s="471" t="s">
        <v>55</v>
      </c>
      <c r="AA225" s="471"/>
      <c r="AB225" s="471"/>
      <c r="AC225" s="471"/>
      <c r="AD225" s="471"/>
      <c r="AE225" s="471"/>
      <c r="AF225" s="471">
        <v>20000000</v>
      </c>
      <c r="AG225" s="471">
        <v>20000000</v>
      </c>
      <c r="AH225" s="350">
        <f>+AG225/AF225</f>
        <v>1</v>
      </c>
      <c r="AI225" s="492"/>
      <c r="AJ225" s="492" t="s">
        <v>566</v>
      </c>
      <c r="AK225" s="492" t="s">
        <v>534</v>
      </c>
      <c r="AL225" s="492" t="s">
        <v>535</v>
      </c>
      <c r="AM225" s="470">
        <v>0.46</v>
      </c>
    </row>
    <row r="226" spans="1:39" ht="90" x14ac:dyDescent="0.25">
      <c r="A226" s="351"/>
      <c r="B226" s="352"/>
      <c r="C226" s="352"/>
      <c r="D226" s="352"/>
      <c r="E226" s="352"/>
      <c r="F226" s="463"/>
      <c r="G226" s="463"/>
      <c r="H226" s="463"/>
      <c r="I226" s="463"/>
      <c r="J226" s="485"/>
      <c r="K226" s="478"/>
      <c r="L226" s="485"/>
      <c r="M226" s="493"/>
      <c r="N226" s="493"/>
      <c r="O226" s="493"/>
      <c r="P226" s="43"/>
      <c r="Q226" s="494" t="s">
        <v>967</v>
      </c>
      <c r="R226" s="491" t="s">
        <v>321</v>
      </c>
      <c r="S226" s="470" t="s">
        <v>965</v>
      </c>
      <c r="T226" s="470" t="s">
        <v>966</v>
      </c>
      <c r="U226" s="495">
        <v>8000000</v>
      </c>
      <c r="V226" s="475"/>
      <c r="W226" s="475"/>
      <c r="X226" s="475"/>
      <c r="Y226" s="475"/>
      <c r="Z226" s="475"/>
      <c r="AA226" s="475"/>
      <c r="AB226" s="475"/>
      <c r="AC226" s="475"/>
      <c r="AD226" s="475"/>
      <c r="AE226" s="475"/>
      <c r="AF226" s="475"/>
      <c r="AG226" s="475"/>
      <c r="AH226" s="191"/>
      <c r="AI226" s="496"/>
      <c r="AJ226" s="496"/>
      <c r="AK226" s="496"/>
      <c r="AL226" s="496"/>
      <c r="AM226" s="470"/>
    </row>
    <row r="227" spans="1:39" ht="157.5" x14ac:dyDescent="0.25">
      <c r="A227" s="351"/>
      <c r="B227" s="352"/>
      <c r="C227" s="352"/>
      <c r="D227" s="352"/>
      <c r="E227" s="352"/>
      <c r="F227" s="463"/>
      <c r="G227" s="462" t="s">
        <v>968</v>
      </c>
      <c r="H227" s="462" t="s">
        <v>969</v>
      </c>
      <c r="I227" s="462" t="s">
        <v>970</v>
      </c>
      <c r="J227" s="490" t="s">
        <v>971</v>
      </c>
      <c r="K227" s="474">
        <v>3.66</v>
      </c>
      <c r="L227" s="490" t="s">
        <v>972</v>
      </c>
      <c r="M227" s="490"/>
      <c r="N227" s="469">
        <v>497</v>
      </c>
      <c r="O227" s="469">
        <v>978</v>
      </c>
      <c r="P227" s="26">
        <f>+O227/N227</f>
        <v>1.9678068410462777</v>
      </c>
      <c r="Q227" s="493" t="s">
        <v>973</v>
      </c>
      <c r="R227" s="490" t="s">
        <v>974</v>
      </c>
      <c r="S227" s="490" t="s">
        <v>966</v>
      </c>
      <c r="T227" s="490" t="s">
        <v>549</v>
      </c>
      <c r="U227" s="497">
        <v>95221833.129999995</v>
      </c>
      <c r="V227" s="497">
        <v>95221833.129999995</v>
      </c>
      <c r="W227" s="497"/>
      <c r="X227" s="497"/>
      <c r="Y227" s="497"/>
      <c r="Z227" s="497" t="s">
        <v>55</v>
      </c>
      <c r="AA227" s="497"/>
      <c r="AB227" s="497"/>
      <c r="AC227" s="497"/>
      <c r="AD227" s="497"/>
      <c r="AE227" s="497"/>
      <c r="AF227" s="497">
        <v>95221833.129999995</v>
      </c>
      <c r="AG227" s="497">
        <v>95221833.129999995</v>
      </c>
      <c r="AH227" s="350">
        <f>+AG227/AF227</f>
        <v>1</v>
      </c>
      <c r="AI227" s="490" t="s">
        <v>935</v>
      </c>
      <c r="AJ227" s="490"/>
      <c r="AK227" s="490" t="s">
        <v>534</v>
      </c>
      <c r="AL227" s="490" t="s">
        <v>535</v>
      </c>
      <c r="AM227" s="464" t="s">
        <v>975</v>
      </c>
    </row>
    <row r="228" spans="1:39" ht="22.5" x14ac:dyDescent="0.25">
      <c r="A228" s="351"/>
      <c r="B228" s="352"/>
      <c r="C228" s="352"/>
      <c r="D228" s="352"/>
      <c r="E228" s="352"/>
      <c r="F228" s="463"/>
      <c r="G228" s="462"/>
      <c r="H228" s="463"/>
      <c r="I228" s="463"/>
      <c r="J228" s="498"/>
      <c r="K228" s="499"/>
      <c r="L228" s="498"/>
      <c r="M228" s="498"/>
      <c r="N228" s="498"/>
      <c r="O228" s="498"/>
      <c r="P228" s="500"/>
      <c r="Q228" s="493" t="s">
        <v>976</v>
      </c>
      <c r="R228" s="490" t="s">
        <v>977</v>
      </c>
      <c r="S228" s="498"/>
      <c r="T228" s="498"/>
      <c r="U228" s="498"/>
      <c r="V228" s="498"/>
      <c r="W228" s="498"/>
      <c r="X228" s="498"/>
      <c r="Y228" s="498"/>
      <c r="Z228" s="498"/>
      <c r="AA228" s="498"/>
      <c r="AB228" s="498"/>
      <c r="AC228" s="498"/>
      <c r="AD228" s="498"/>
      <c r="AE228" s="498"/>
      <c r="AF228" s="498"/>
      <c r="AG228" s="498"/>
      <c r="AH228" s="500"/>
      <c r="AI228" s="498"/>
      <c r="AJ228" s="498"/>
      <c r="AK228" s="498"/>
      <c r="AL228" s="498"/>
      <c r="AM228" s="464"/>
    </row>
    <row r="229" spans="1:39" ht="33.75" x14ac:dyDescent="0.25">
      <c r="A229" s="351"/>
      <c r="B229" s="352"/>
      <c r="C229" s="352"/>
      <c r="D229" s="352"/>
      <c r="E229" s="352"/>
      <c r="F229" s="463"/>
      <c r="G229" s="488"/>
      <c r="H229" s="488"/>
      <c r="I229" s="488"/>
      <c r="J229" s="498"/>
      <c r="K229" s="499"/>
      <c r="L229" s="498"/>
      <c r="M229" s="498"/>
      <c r="N229" s="498"/>
      <c r="O229" s="498"/>
      <c r="P229" s="500"/>
      <c r="Q229" s="493" t="s">
        <v>978</v>
      </c>
      <c r="R229" s="490" t="s">
        <v>979</v>
      </c>
      <c r="S229" s="493"/>
      <c r="T229" s="493"/>
      <c r="U229" s="493"/>
      <c r="V229" s="493"/>
      <c r="W229" s="493"/>
      <c r="X229" s="493"/>
      <c r="Y229" s="493"/>
      <c r="Z229" s="493"/>
      <c r="AA229" s="493"/>
      <c r="AB229" s="493"/>
      <c r="AC229" s="493"/>
      <c r="AD229" s="493"/>
      <c r="AE229" s="493"/>
      <c r="AF229" s="493"/>
      <c r="AG229" s="493"/>
      <c r="AH229" s="43"/>
      <c r="AI229" s="493"/>
      <c r="AJ229" s="493"/>
      <c r="AK229" s="493"/>
      <c r="AL229" s="493"/>
      <c r="AM229" s="464"/>
    </row>
    <row r="230" spans="1:39" ht="67.5" x14ac:dyDescent="0.25">
      <c r="A230" s="351"/>
      <c r="B230" s="352"/>
      <c r="C230" s="352"/>
      <c r="D230" s="352"/>
      <c r="E230" s="352"/>
      <c r="F230" s="463"/>
      <c r="G230" s="490" t="s">
        <v>980</v>
      </c>
      <c r="H230" s="462" t="s">
        <v>969</v>
      </c>
      <c r="I230" s="462" t="s">
        <v>970</v>
      </c>
      <c r="J230" s="498"/>
      <c r="K230" s="499"/>
      <c r="L230" s="498"/>
      <c r="M230" s="498"/>
      <c r="N230" s="498"/>
      <c r="O230" s="498"/>
      <c r="P230" s="500"/>
      <c r="Q230" s="501" t="s">
        <v>981</v>
      </c>
      <c r="R230" s="501" t="s">
        <v>982</v>
      </c>
      <c r="S230" s="501" t="s">
        <v>966</v>
      </c>
      <c r="T230" s="501" t="s">
        <v>484</v>
      </c>
      <c r="U230" s="502">
        <v>127500000</v>
      </c>
      <c r="V230" s="502">
        <v>127500000</v>
      </c>
      <c r="W230" s="502"/>
      <c r="X230" s="502"/>
      <c r="Y230" s="502"/>
      <c r="Z230" s="502" t="s">
        <v>55</v>
      </c>
      <c r="AA230" s="502"/>
      <c r="AB230" s="502"/>
      <c r="AC230" s="502"/>
      <c r="AD230" s="502"/>
      <c r="AE230" s="502"/>
      <c r="AF230" s="502">
        <v>127500000</v>
      </c>
      <c r="AG230" s="502">
        <v>127500000</v>
      </c>
      <c r="AH230" s="350">
        <f>+AG230/AF230</f>
        <v>1</v>
      </c>
      <c r="AI230" s="502" t="s">
        <v>935</v>
      </c>
      <c r="AJ230" s="502" t="s">
        <v>983</v>
      </c>
      <c r="AK230" s="502" t="s">
        <v>534</v>
      </c>
      <c r="AL230" s="466" t="s">
        <v>535</v>
      </c>
      <c r="AM230" s="464"/>
    </row>
    <row r="231" spans="1:39" ht="56.25" x14ac:dyDescent="0.25">
      <c r="A231" s="351"/>
      <c r="B231" s="352"/>
      <c r="C231" s="352"/>
      <c r="D231" s="352"/>
      <c r="E231" s="352"/>
      <c r="F231" s="463"/>
      <c r="G231" s="498"/>
      <c r="H231" s="498"/>
      <c r="I231" s="498"/>
      <c r="J231" s="498"/>
      <c r="K231" s="499"/>
      <c r="L231" s="498"/>
      <c r="M231" s="498"/>
      <c r="N231" s="498"/>
      <c r="O231" s="498"/>
      <c r="P231" s="500"/>
      <c r="Q231" s="493" t="s">
        <v>984</v>
      </c>
      <c r="R231" s="493" t="s">
        <v>964</v>
      </c>
      <c r="S231" s="501" t="s">
        <v>966</v>
      </c>
      <c r="T231" s="501" t="s">
        <v>484</v>
      </c>
      <c r="U231" s="503"/>
      <c r="V231" s="503"/>
      <c r="W231" s="504"/>
      <c r="X231" s="504"/>
      <c r="Y231" s="504"/>
      <c r="Z231" s="504"/>
      <c r="AA231" s="504"/>
      <c r="AB231" s="504"/>
      <c r="AC231" s="504"/>
      <c r="AD231" s="504"/>
      <c r="AE231" s="504"/>
      <c r="AF231" s="503"/>
      <c r="AG231" s="504"/>
      <c r="AH231" s="408"/>
      <c r="AI231" s="504"/>
      <c r="AJ231" s="504"/>
      <c r="AK231" s="504"/>
      <c r="AL231" s="466"/>
      <c r="AM231" s="464"/>
    </row>
    <row r="232" spans="1:39" ht="78.75" x14ac:dyDescent="0.25">
      <c r="A232" s="351"/>
      <c r="B232" s="352"/>
      <c r="C232" s="352"/>
      <c r="D232" s="352"/>
      <c r="E232" s="352"/>
      <c r="F232" s="463"/>
      <c r="G232" s="498"/>
      <c r="H232" s="498"/>
      <c r="I232" s="498"/>
      <c r="J232" s="498"/>
      <c r="K232" s="499"/>
      <c r="L232" s="498"/>
      <c r="M232" s="498"/>
      <c r="N232" s="498"/>
      <c r="O232" s="498"/>
      <c r="P232" s="500"/>
      <c r="Q232" s="493" t="s">
        <v>973</v>
      </c>
      <c r="R232" s="493" t="s">
        <v>974</v>
      </c>
      <c r="S232" s="501" t="s">
        <v>966</v>
      </c>
      <c r="T232" s="501" t="s">
        <v>484</v>
      </c>
      <c r="U232" s="503"/>
      <c r="V232" s="503"/>
      <c r="W232" s="504"/>
      <c r="X232" s="504"/>
      <c r="Y232" s="504"/>
      <c r="Z232" s="504"/>
      <c r="AA232" s="504"/>
      <c r="AB232" s="504"/>
      <c r="AC232" s="504"/>
      <c r="AD232" s="504"/>
      <c r="AE232" s="504"/>
      <c r="AF232" s="503"/>
      <c r="AG232" s="504"/>
      <c r="AH232" s="408"/>
      <c r="AI232" s="504"/>
      <c r="AJ232" s="504"/>
      <c r="AK232" s="504"/>
      <c r="AL232" s="466"/>
      <c r="AM232" s="464"/>
    </row>
    <row r="233" spans="1:39" ht="123.75" x14ac:dyDescent="0.25">
      <c r="A233" s="351"/>
      <c r="B233" s="352"/>
      <c r="C233" s="352"/>
      <c r="D233" s="352"/>
      <c r="E233" s="352"/>
      <c r="F233" s="463"/>
      <c r="G233" s="493"/>
      <c r="H233" s="493"/>
      <c r="I233" s="493"/>
      <c r="J233" s="498"/>
      <c r="K233" s="498"/>
      <c r="L233" s="498"/>
      <c r="M233" s="498"/>
      <c r="N233" s="498"/>
      <c r="O233" s="498"/>
      <c r="P233" s="500"/>
      <c r="Q233" s="493" t="s">
        <v>985</v>
      </c>
      <c r="R233" s="493" t="s">
        <v>986</v>
      </c>
      <c r="S233" s="501" t="s">
        <v>966</v>
      </c>
      <c r="T233" s="501" t="s">
        <v>90</v>
      </c>
      <c r="U233" s="505"/>
      <c r="V233" s="506"/>
      <c r="W233" s="506"/>
      <c r="X233" s="506"/>
      <c r="Y233" s="506"/>
      <c r="Z233" s="506"/>
      <c r="AA233" s="506"/>
      <c r="AB233" s="506"/>
      <c r="AC233" s="506"/>
      <c r="AD233" s="506"/>
      <c r="AE233" s="506"/>
      <c r="AF233" s="506"/>
      <c r="AG233" s="506"/>
      <c r="AH233" s="229"/>
      <c r="AI233" s="506"/>
      <c r="AJ233" s="506"/>
      <c r="AK233" s="506"/>
      <c r="AL233" s="466"/>
      <c r="AM233" s="464"/>
    </row>
    <row r="234" spans="1:39" ht="112.5" x14ac:dyDescent="0.25">
      <c r="A234" s="351"/>
      <c r="B234" s="352"/>
      <c r="C234" s="352"/>
      <c r="D234" s="352"/>
      <c r="E234" s="352"/>
      <c r="F234" s="463"/>
      <c r="G234" s="462" t="s">
        <v>987</v>
      </c>
      <c r="H234" s="462" t="s">
        <v>988</v>
      </c>
      <c r="I234" s="462" t="s">
        <v>989</v>
      </c>
      <c r="J234" s="498"/>
      <c r="K234" s="498"/>
      <c r="L234" s="498"/>
      <c r="M234" s="498"/>
      <c r="N234" s="498"/>
      <c r="O234" s="498"/>
      <c r="P234" s="500"/>
      <c r="Q234" s="493" t="s">
        <v>990</v>
      </c>
      <c r="R234" s="493" t="s">
        <v>991</v>
      </c>
      <c r="S234" s="490" t="s">
        <v>992</v>
      </c>
      <c r="T234" s="490" t="s">
        <v>993</v>
      </c>
      <c r="U234" s="502">
        <v>70000000</v>
      </c>
      <c r="V234" s="502">
        <v>70000000</v>
      </c>
      <c r="W234" s="502"/>
      <c r="X234" s="502"/>
      <c r="Y234" s="502"/>
      <c r="Z234" s="502" t="s">
        <v>55</v>
      </c>
      <c r="AA234" s="502"/>
      <c r="AB234" s="502"/>
      <c r="AC234" s="502"/>
      <c r="AD234" s="502"/>
      <c r="AE234" s="502"/>
      <c r="AF234" s="502">
        <v>70000000</v>
      </c>
      <c r="AG234" s="502">
        <v>70000000</v>
      </c>
      <c r="AH234" s="350">
        <f>+AG234/AF234</f>
        <v>1</v>
      </c>
      <c r="AI234" s="502" t="s">
        <v>994</v>
      </c>
      <c r="AJ234" s="502"/>
      <c r="AK234" s="502" t="s">
        <v>534</v>
      </c>
      <c r="AL234" s="502" t="s">
        <v>535</v>
      </c>
      <c r="AM234" s="464"/>
    </row>
    <row r="235" spans="1:39" ht="67.5" x14ac:dyDescent="0.25">
      <c r="A235" s="351"/>
      <c r="B235" s="352"/>
      <c r="C235" s="352"/>
      <c r="D235" s="352"/>
      <c r="E235" s="352"/>
      <c r="F235" s="463"/>
      <c r="G235" s="488"/>
      <c r="H235" s="488"/>
      <c r="I235" s="488"/>
      <c r="J235" s="488"/>
      <c r="K235" s="488"/>
      <c r="L235" s="488"/>
      <c r="M235" s="488"/>
      <c r="N235" s="488"/>
      <c r="O235" s="488"/>
      <c r="P235" s="292"/>
      <c r="Q235" s="464" t="s">
        <v>995</v>
      </c>
      <c r="R235" s="501" t="s">
        <v>979</v>
      </c>
      <c r="S235" s="493"/>
      <c r="T235" s="493"/>
      <c r="U235" s="506"/>
      <c r="V235" s="506"/>
      <c r="W235" s="506"/>
      <c r="X235" s="506"/>
      <c r="Y235" s="506"/>
      <c r="Z235" s="506"/>
      <c r="AA235" s="506"/>
      <c r="AB235" s="506"/>
      <c r="AC235" s="506"/>
      <c r="AD235" s="506"/>
      <c r="AE235" s="506"/>
      <c r="AF235" s="506"/>
      <c r="AG235" s="506"/>
      <c r="AH235" s="229"/>
      <c r="AI235" s="506"/>
      <c r="AJ235" s="506"/>
      <c r="AK235" s="506"/>
      <c r="AL235" s="506"/>
      <c r="AM235" s="464"/>
    </row>
    <row r="236" spans="1:39" ht="67.5" x14ac:dyDescent="0.25">
      <c r="A236" s="351"/>
      <c r="B236" s="352"/>
      <c r="C236" s="352"/>
      <c r="D236" s="352"/>
      <c r="E236" s="352"/>
      <c r="F236" s="488"/>
      <c r="G236" s="488"/>
      <c r="H236" s="488"/>
      <c r="I236" s="488"/>
      <c r="J236" s="464" t="s">
        <v>996</v>
      </c>
      <c r="K236" s="465">
        <f>+(0.67*100)/1</f>
        <v>67</v>
      </c>
      <c r="L236" s="464" t="s">
        <v>997</v>
      </c>
      <c r="M236" s="464"/>
      <c r="N236" s="464"/>
      <c r="O236" s="464"/>
      <c r="P236" s="26">
        <v>0</v>
      </c>
      <c r="Q236" s="464"/>
      <c r="R236" s="464"/>
      <c r="S236" s="464"/>
      <c r="T236" s="464"/>
      <c r="U236" s="464"/>
      <c r="V236" s="464"/>
      <c r="W236" s="464"/>
      <c r="X236" s="464"/>
      <c r="Y236" s="464"/>
      <c r="Z236" s="464"/>
      <c r="AA236" s="464"/>
      <c r="AB236" s="464"/>
      <c r="AC236" s="464"/>
      <c r="AD236" s="464"/>
      <c r="AE236" s="464"/>
      <c r="AF236" s="464"/>
      <c r="AG236" s="464"/>
      <c r="AH236" s="26">
        <v>0</v>
      </c>
      <c r="AI236" s="464"/>
      <c r="AJ236" s="464"/>
      <c r="AK236" s="466" t="s">
        <v>534</v>
      </c>
      <c r="AL236" s="467" t="s">
        <v>535</v>
      </c>
      <c r="AM236" s="464">
        <v>0</v>
      </c>
    </row>
    <row r="237" spans="1:39" ht="33.75" x14ac:dyDescent="0.25">
      <c r="A237" s="351"/>
      <c r="B237" s="352"/>
      <c r="C237" s="352"/>
      <c r="D237" s="352"/>
      <c r="E237" s="352"/>
      <c r="F237" s="110" t="s">
        <v>158</v>
      </c>
      <c r="G237" s="110"/>
      <c r="H237" s="110"/>
      <c r="I237" s="110"/>
      <c r="J237" s="507"/>
      <c r="K237" s="262">
        <f>SUM(K216:K236)</f>
        <v>100</v>
      </c>
      <c r="L237" s="144"/>
      <c r="M237" s="507"/>
      <c r="N237" s="507"/>
      <c r="O237" s="507"/>
      <c r="P237" s="507"/>
      <c r="Q237" s="507"/>
      <c r="R237" s="507"/>
      <c r="S237" s="507"/>
      <c r="T237" s="507"/>
      <c r="U237" s="507"/>
      <c r="V237" s="507"/>
      <c r="W237" s="507"/>
      <c r="X237" s="507"/>
      <c r="Y237" s="507"/>
      <c r="Z237" s="507"/>
      <c r="AA237" s="507"/>
      <c r="AB237" s="507"/>
      <c r="AC237" s="507"/>
      <c r="AD237" s="507"/>
      <c r="AE237" s="507"/>
      <c r="AF237" s="507"/>
      <c r="AG237" s="507"/>
      <c r="AH237" s="507"/>
      <c r="AI237" s="507"/>
      <c r="AJ237" s="507"/>
      <c r="AK237" s="507"/>
      <c r="AL237" s="508"/>
      <c r="AM237" s="507"/>
    </row>
    <row r="238" spans="1:39" ht="123.75" x14ac:dyDescent="0.25">
      <c r="A238" s="351"/>
      <c r="B238" s="352"/>
      <c r="C238" s="352"/>
      <c r="D238" s="352"/>
      <c r="E238" s="352"/>
      <c r="F238" s="462" t="s">
        <v>998</v>
      </c>
      <c r="G238" s="462" t="s">
        <v>999</v>
      </c>
      <c r="H238" s="462" t="s">
        <v>1000</v>
      </c>
      <c r="I238" s="462" t="s">
        <v>1001</v>
      </c>
      <c r="J238" s="509" t="s">
        <v>1002</v>
      </c>
      <c r="K238" s="510">
        <v>50</v>
      </c>
      <c r="L238" s="485" t="s">
        <v>1003</v>
      </c>
      <c r="M238" s="485"/>
      <c r="N238" s="509">
        <v>1</v>
      </c>
      <c r="O238" s="509">
        <v>1</v>
      </c>
      <c r="P238" s="26">
        <f>+O238/N238</f>
        <v>1</v>
      </c>
      <c r="Q238" s="462" t="s">
        <v>1004</v>
      </c>
      <c r="R238" s="462" t="s">
        <v>622</v>
      </c>
      <c r="S238" s="462" t="s">
        <v>1005</v>
      </c>
      <c r="T238" s="462" t="s">
        <v>1006</v>
      </c>
      <c r="U238" s="511">
        <v>52819200</v>
      </c>
      <c r="V238" s="511">
        <v>52819200</v>
      </c>
      <c r="W238" s="511"/>
      <c r="X238" s="511"/>
      <c r="Y238" s="511" t="s">
        <v>55</v>
      </c>
      <c r="Z238" s="511"/>
      <c r="AA238" s="511"/>
      <c r="AB238" s="511"/>
      <c r="AC238" s="511"/>
      <c r="AD238" s="511"/>
      <c r="AE238" s="511"/>
      <c r="AF238" s="511">
        <v>52819200</v>
      </c>
      <c r="AG238" s="511">
        <v>52819200</v>
      </c>
      <c r="AH238" s="350">
        <f>+AG238/AF238</f>
        <v>1</v>
      </c>
      <c r="AI238" s="462" t="s">
        <v>1007</v>
      </c>
      <c r="AJ238" s="462"/>
      <c r="AK238" s="462" t="s">
        <v>534</v>
      </c>
      <c r="AL238" s="462" t="s">
        <v>535</v>
      </c>
      <c r="AM238" s="494">
        <v>1</v>
      </c>
    </row>
    <row r="239" spans="1:39" ht="67.5" x14ac:dyDescent="0.25">
      <c r="A239" s="351"/>
      <c r="B239" s="352"/>
      <c r="C239" s="352"/>
      <c r="D239" s="352"/>
      <c r="E239" s="352"/>
      <c r="F239" s="488"/>
      <c r="G239" s="463"/>
      <c r="H239" s="463"/>
      <c r="I239" s="463"/>
      <c r="J239" s="509" t="s">
        <v>1008</v>
      </c>
      <c r="K239" s="510">
        <v>50</v>
      </c>
      <c r="L239" s="509" t="s">
        <v>1009</v>
      </c>
      <c r="M239" s="509"/>
      <c r="N239" s="509">
        <v>7</v>
      </c>
      <c r="O239" s="509">
        <v>7</v>
      </c>
      <c r="P239" s="26">
        <f>+O239/N239</f>
        <v>1</v>
      </c>
      <c r="Q239" s="488"/>
      <c r="R239" s="488"/>
      <c r="S239" s="488"/>
      <c r="T239" s="488"/>
      <c r="U239" s="488"/>
      <c r="V239" s="488"/>
      <c r="W239" s="488"/>
      <c r="X239" s="488"/>
      <c r="Y239" s="488"/>
      <c r="Z239" s="488"/>
      <c r="AA239" s="488"/>
      <c r="AB239" s="488"/>
      <c r="AC239" s="488"/>
      <c r="AD239" s="488"/>
      <c r="AE239" s="488"/>
      <c r="AF239" s="488"/>
      <c r="AG239" s="488"/>
      <c r="AH239" s="292"/>
      <c r="AI239" s="488"/>
      <c r="AJ239" s="488"/>
      <c r="AK239" s="488"/>
      <c r="AL239" s="488"/>
      <c r="AM239" s="466">
        <v>2</v>
      </c>
    </row>
    <row r="240" spans="1:39" ht="33.75" x14ac:dyDescent="0.25">
      <c r="A240" s="351"/>
      <c r="B240" s="352"/>
      <c r="C240" s="352"/>
      <c r="D240" s="352"/>
      <c r="E240" s="352"/>
      <c r="F240" s="110" t="s">
        <v>158</v>
      </c>
      <c r="G240" s="110"/>
      <c r="H240" s="110"/>
      <c r="I240" s="110"/>
      <c r="J240" s="261"/>
      <c r="K240" s="262">
        <f>SUM(K238:K239)</f>
        <v>100</v>
      </c>
      <c r="L240" s="261"/>
      <c r="M240" s="261"/>
      <c r="N240" s="261"/>
      <c r="O240" s="261"/>
      <c r="P240" s="261"/>
      <c r="Q240" s="261"/>
      <c r="R240" s="261"/>
      <c r="S240" s="261"/>
      <c r="T240" s="261"/>
      <c r="U240" s="261"/>
      <c r="V240" s="261"/>
      <c r="W240" s="261"/>
      <c r="X240" s="261"/>
      <c r="Y240" s="261"/>
      <c r="Z240" s="261"/>
      <c r="AA240" s="261"/>
      <c r="AB240" s="261"/>
      <c r="AC240" s="261"/>
      <c r="AD240" s="261"/>
      <c r="AE240" s="261"/>
      <c r="AF240" s="261"/>
      <c r="AG240" s="261"/>
      <c r="AH240" s="261"/>
      <c r="AI240" s="261"/>
      <c r="AJ240" s="261"/>
      <c r="AK240" s="144"/>
      <c r="AL240" s="113"/>
      <c r="AM240" s="144"/>
    </row>
    <row r="241" spans="1:39" ht="45" x14ac:dyDescent="0.25">
      <c r="A241" s="351"/>
      <c r="B241" s="352"/>
      <c r="C241" s="352"/>
      <c r="D241" s="352"/>
      <c r="E241" s="352"/>
      <c r="F241" s="491" t="s">
        <v>1010</v>
      </c>
      <c r="G241" s="512"/>
      <c r="H241" s="512"/>
      <c r="I241" s="512"/>
      <c r="J241" s="478" t="s">
        <v>1011</v>
      </c>
      <c r="K241" s="510">
        <v>50</v>
      </c>
      <c r="L241" s="478" t="s">
        <v>1012</v>
      </c>
      <c r="M241" s="485"/>
      <c r="N241" s="509"/>
      <c r="O241" s="509"/>
      <c r="P241" s="26">
        <v>0</v>
      </c>
      <c r="Q241" s="462"/>
      <c r="R241" s="462"/>
      <c r="S241" s="462"/>
      <c r="T241" s="462"/>
      <c r="U241" s="511"/>
      <c r="V241" s="511"/>
      <c r="W241" s="511"/>
      <c r="X241" s="511"/>
      <c r="Y241" s="511"/>
      <c r="Z241" s="511"/>
      <c r="AA241" s="511"/>
      <c r="AB241" s="511"/>
      <c r="AC241" s="511"/>
      <c r="AD241" s="511"/>
      <c r="AE241" s="511"/>
      <c r="AF241" s="511"/>
      <c r="AG241" s="511"/>
      <c r="AH241" s="26">
        <v>0</v>
      </c>
      <c r="AI241" s="462"/>
      <c r="AJ241" s="462"/>
      <c r="AK241" s="462"/>
      <c r="AL241" s="462"/>
      <c r="AM241" s="494"/>
    </row>
    <row r="242" spans="1:39" ht="112.5" x14ac:dyDescent="0.25">
      <c r="A242" s="351"/>
      <c r="B242" s="352"/>
      <c r="C242" s="352"/>
      <c r="D242" s="362"/>
      <c r="E242" s="362"/>
      <c r="F242" s="494"/>
      <c r="G242" s="470" t="s">
        <v>1013</v>
      </c>
      <c r="H242" s="470" t="s">
        <v>1014</v>
      </c>
      <c r="I242" s="470" t="s">
        <v>1015</v>
      </c>
      <c r="J242" s="490" t="s">
        <v>1016</v>
      </c>
      <c r="K242" s="510">
        <v>50</v>
      </c>
      <c r="L242" s="513" t="s">
        <v>1017</v>
      </c>
      <c r="M242" s="513"/>
      <c r="N242" s="509">
        <v>2</v>
      </c>
      <c r="O242" s="509">
        <v>2</v>
      </c>
      <c r="P242" s="350">
        <f>+O242/N242</f>
        <v>1</v>
      </c>
      <c r="Q242" s="470" t="s">
        <v>1018</v>
      </c>
      <c r="R242" s="501" t="s">
        <v>1019</v>
      </c>
      <c r="S242" s="468" t="s">
        <v>89</v>
      </c>
      <c r="T242" s="468" t="s">
        <v>90</v>
      </c>
      <c r="U242" s="514">
        <v>8910885235.2099991</v>
      </c>
      <c r="V242" s="514">
        <v>8910885235.2099991</v>
      </c>
      <c r="W242" s="466"/>
      <c r="X242" s="466"/>
      <c r="Y242" s="466"/>
      <c r="Z242" s="466" t="s">
        <v>55</v>
      </c>
      <c r="AA242" s="466"/>
      <c r="AB242" s="466"/>
      <c r="AC242" s="466"/>
      <c r="AD242" s="466"/>
      <c r="AE242" s="466"/>
      <c r="AF242" s="514">
        <v>8910885235.2099991</v>
      </c>
      <c r="AG242" s="514">
        <v>8910885235.2099991</v>
      </c>
      <c r="AH242" s="119">
        <f>+AG242/AF242</f>
        <v>1</v>
      </c>
      <c r="AI242" s="466" t="s">
        <v>1020</v>
      </c>
      <c r="AJ242" s="466"/>
      <c r="AK242" s="466" t="s">
        <v>534</v>
      </c>
      <c r="AL242" s="466" t="s">
        <v>535</v>
      </c>
      <c r="AM242" s="466"/>
    </row>
    <row r="243" spans="1:39" ht="202.5" x14ac:dyDescent="0.25">
      <c r="A243" s="351"/>
      <c r="B243" s="352"/>
      <c r="C243" s="352"/>
      <c r="D243" s="362"/>
      <c r="E243" s="362"/>
      <c r="F243" s="494"/>
      <c r="G243" s="470" t="s">
        <v>1021</v>
      </c>
      <c r="H243" s="470" t="s">
        <v>1022</v>
      </c>
      <c r="I243" s="470" t="s">
        <v>1023</v>
      </c>
      <c r="J243" s="498"/>
      <c r="K243" s="515"/>
      <c r="L243" s="516"/>
      <c r="M243" s="516"/>
      <c r="N243" s="463"/>
      <c r="O243" s="463"/>
      <c r="P243" s="290"/>
      <c r="Q243" s="468" t="s">
        <v>1024</v>
      </c>
      <c r="R243" s="468" t="s">
        <v>933</v>
      </c>
      <c r="S243" s="468" t="s">
        <v>1025</v>
      </c>
      <c r="T243" s="468" t="s">
        <v>90</v>
      </c>
      <c r="U243" s="517">
        <v>825000000</v>
      </c>
      <c r="V243" s="517">
        <v>825000000</v>
      </c>
      <c r="W243" s="518"/>
      <c r="X243" s="518"/>
      <c r="Y243" s="518"/>
      <c r="Z243" s="518" t="s">
        <v>55</v>
      </c>
      <c r="AA243" s="518"/>
      <c r="AB243" s="518"/>
      <c r="AC243" s="518"/>
      <c r="AD243" s="518"/>
      <c r="AE243" s="518"/>
      <c r="AF243" s="517">
        <v>825000000</v>
      </c>
      <c r="AG243" s="517">
        <v>825000000</v>
      </c>
      <c r="AH243" s="162">
        <f>+AG243/AF243</f>
        <v>1</v>
      </c>
      <c r="AI243" s="518" t="s">
        <v>1020</v>
      </c>
      <c r="AJ243" s="518" t="s">
        <v>566</v>
      </c>
      <c r="AK243" s="518"/>
      <c r="AL243" s="518"/>
      <c r="AM243" s="518"/>
    </row>
    <row r="244" spans="1:39" ht="112.5" x14ac:dyDescent="0.25">
      <c r="A244" s="351"/>
      <c r="B244" s="352"/>
      <c r="C244" s="352"/>
      <c r="D244" s="362"/>
      <c r="E244" s="362"/>
      <c r="F244" s="494"/>
      <c r="G244" s="470" t="s">
        <v>1013</v>
      </c>
      <c r="H244" s="470" t="s">
        <v>1014</v>
      </c>
      <c r="I244" s="470" t="s">
        <v>1015</v>
      </c>
      <c r="J244" s="498"/>
      <c r="K244" s="515"/>
      <c r="L244" s="516"/>
      <c r="M244" s="516"/>
      <c r="N244" s="463"/>
      <c r="O244" s="463"/>
      <c r="P244" s="290"/>
      <c r="Q244" s="468" t="s">
        <v>1018</v>
      </c>
      <c r="R244" s="501" t="s">
        <v>1019</v>
      </c>
      <c r="S244" s="468" t="s">
        <v>460</v>
      </c>
      <c r="T244" s="514" t="s">
        <v>90</v>
      </c>
      <c r="U244" s="517">
        <v>2000000000</v>
      </c>
      <c r="V244" s="517">
        <v>2000000000</v>
      </c>
      <c r="W244" s="518"/>
      <c r="X244" s="518"/>
      <c r="Y244" s="518"/>
      <c r="Z244" s="518" t="s">
        <v>55</v>
      </c>
      <c r="AA244" s="518"/>
      <c r="AB244" s="518"/>
      <c r="AC244" s="518"/>
      <c r="AD244" s="518"/>
      <c r="AE244" s="518"/>
      <c r="AF244" s="517">
        <v>2000000000</v>
      </c>
      <c r="AG244" s="517">
        <v>2000000000</v>
      </c>
      <c r="AH244" s="162">
        <f>+AG244/AF244</f>
        <v>1</v>
      </c>
      <c r="AI244" s="518"/>
      <c r="AJ244" s="518"/>
      <c r="AK244" s="518"/>
      <c r="AL244" s="518"/>
      <c r="AM244" s="518"/>
    </row>
    <row r="245" spans="1:39" ht="157.5" x14ac:dyDescent="0.25">
      <c r="A245" s="351"/>
      <c r="B245" s="352"/>
      <c r="C245" s="352"/>
      <c r="D245" s="362"/>
      <c r="E245" s="362"/>
      <c r="F245" s="494"/>
      <c r="G245" s="470" t="s">
        <v>1026</v>
      </c>
      <c r="H245" s="470" t="s">
        <v>1027</v>
      </c>
      <c r="I245" s="470" t="s">
        <v>1028</v>
      </c>
      <c r="J245" s="498"/>
      <c r="K245" s="515"/>
      <c r="L245" s="516"/>
      <c r="M245" s="516"/>
      <c r="N245" s="463"/>
      <c r="O245" s="463"/>
      <c r="P245" s="290"/>
      <c r="Q245" s="468" t="s">
        <v>1029</v>
      </c>
      <c r="R245" s="501" t="s">
        <v>1030</v>
      </c>
      <c r="S245" s="468" t="s">
        <v>460</v>
      </c>
      <c r="T245" s="468" t="s">
        <v>634</v>
      </c>
      <c r="U245" s="517">
        <v>750000000</v>
      </c>
      <c r="V245" s="517">
        <v>750000000</v>
      </c>
      <c r="W245" s="518"/>
      <c r="X245" s="518"/>
      <c r="Y245" s="518"/>
      <c r="Z245" s="518" t="s">
        <v>55</v>
      </c>
      <c r="AA245" s="518"/>
      <c r="AB245" s="518"/>
      <c r="AC245" s="518"/>
      <c r="AD245" s="518"/>
      <c r="AE245" s="518"/>
      <c r="AF245" s="517">
        <v>750000000</v>
      </c>
      <c r="AG245" s="517">
        <v>750000000</v>
      </c>
      <c r="AH245" s="162">
        <f>+AG245/AF245</f>
        <v>1</v>
      </c>
      <c r="AI245" s="518" t="s">
        <v>573</v>
      </c>
      <c r="AJ245" s="518"/>
      <c r="AK245" s="518" t="s">
        <v>534</v>
      </c>
      <c r="AL245" s="518" t="s">
        <v>535</v>
      </c>
      <c r="AM245" s="518"/>
    </row>
    <row r="246" spans="1:39" ht="90" x14ac:dyDescent="0.25">
      <c r="A246" s="351"/>
      <c r="B246" s="352"/>
      <c r="C246" s="352"/>
      <c r="D246" s="362"/>
      <c r="E246" s="362"/>
      <c r="F246" s="494"/>
      <c r="G246" s="470" t="s">
        <v>1031</v>
      </c>
      <c r="H246" s="470" t="s">
        <v>1032</v>
      </c>
      <c r="I246" s="470" t="s">
        <v>1033</v>
      </c>
      <c r="J246" s="493"/>
      <c r="K246" s="519"/>
      <c r="L246" s="520"/>
      <c r="M246" s="520"/>
      <c r="N246" s="488"/>
      <c r="O246" s="488"/>
      <c r="P246" s="292"/>
      <c r="Q246" s="468" t="s">
        <v>1034</v>
      </c>
      <c r="R246" s="501" t="s">
        <v>1035</v>
      </c>
      <c r="S246" s="468" t="s">
        <v>1036</v>
      </c>
      <c r="T246" s="468" t="s">
        <v>1037</v>
      </c>
      <c r="U246" s="517">
        <v>172800000</v>
      </c>
      <c r="V246" s="517">
        <v>172800000</v>
      </c>
      <c r="W246" s="518"/>
      <c r="X246" s="518"/>
      <c r="Y246" s="518"/>
      <c r="Z246" s="518" t="s">
        <v>55</v>
      </c>
      <c r="AA246" s="518"/>
      <c r="AB246" s="518"/>
      <c r="AC246" s="518"/>
      <c r="AD246" s="518"/>
      <c r="AE246" s="518"/>
      <c r="AF246" s="517">
        <v>172800000</v>
      </c>
      <c r="AG246" s="517">
        <v>172800000</v>
      </c>
      <c r="AH246" s="162">
        <f>+AG246/AF246</f>
        <v>1</v>
      </c>
      <c r="AI246" s="518" t="s">
        <v>573</v>
      </c>
      <c r="AJ246" s="518"/>
      <c r="AK246" s="518" t="s">
        <v>534</v>
      </c>
      <c r="AL246" s="518" t="s">
        <v>535</v>
      </c>
      <c r="AM246" s="518"/>
    </row>
    <row r="247" spans="1:39" ht="33.75" x14ac:dyDescent="0.25">
      <c r="A247" s="351"/>
      <c r="B247" s="352"/>
      <c r="C247" s="352"/>
      <c r="D247" s="142" t="s">
        <v>1038</v>
      </c>
      <c r="E247" s="142"/>
      <c r="F247" s="110" t="s">
        <v>158</v>
      </c>
      <c r="G247" s="110"/>
      <c r="H247" s="110"/>
      <c r="I247" s="110"/>
      <c r="J247" s="143"/>
      <c r="K247" s="313">
        <f>SUM(K241:K242)</f>
        <v>100</v>
      </c>
      <c r="L247" s="521"/>
      <c r="M247" s="521"/>
      <c r="N247" s="521"/>
      <c r="O247" s="521"/>
      <c r="P247" s="521"/>
      <c r="Q247" s="521"/>
      <c r="R247" s="521"/>
      <c r="S247" s="521"/>
      <c r="T247" s="521"/>
      <c r="U247" s="521"/>
      <c r="V247" s="521"/>
      <c r="W247" s="521"/>
      <c r="X247" s="521"/>
      <c r="Y247" s="521"/>
      <c r="Z247" s="521"/>
      <c r="AA247" s="521"/>
      <c r="AB247" s="521"/>
      <c r="AC247" s="521"/>
      <c r="AD247" s="521"/>
      <c r="AE247" s="521"/>
      <c r="AF247" s="521"/>
      <c r="AG247" s="521"/>
      <c r="AH247" s="521"/>
      <c r="AI247" s="521"/>
      <c r="AJ247" s="521"/>
      <c r="AK247" s="522"/>
      <c r="AL247" s="523"/>
      <c r="AM247" s="522"/>
    </row>
    <row r="248" spans="1:39" ht="22.5" x14ac:dyDescent="0.25">
      <c r="A248" s="351"/>
      <c r="B248" s="352"/>
      <c r="C248" s="352"/>
      <c r="D248" s="279" t="s">
        <v>376</v>
      </c>
      <c r="E248" s="279"/>
      <c r="F248" s="524"/>
      <c r="G248" s="524"/>
      <c r="H248" s="524"/>
      <c r="I248" s="524"/>
      <c r="J248" s="524"/>
      <c r="K248" s="281"/>
      <c r="L248" s="281"/>
      <c r="M248" s="281"/>
      <c r="N248" s="281"/>
      <c r="O248" s="281"/>
      <c r="P248" s="525"/>
      <c r="Q248" s="281"/>
      <c r="R248" s="281"/>
      <c r="S248" s="281"/>
      <c r="T248" s="281"/>
      <c r="U248" s="281"/>
      <c r="V248" s="281"/>
      <c r="W248" s="281"/>
      <c r="X248" s="281"/>
      <c r="Y248" s="281"/>
      <c r="Z248" s="281"/>
      <c r="AA248" s="281"/>
      <c r="AB248" s="281"/>
      <c r="AC248" s="281"/>
      <c r="AD248" s="281"/>
      <c r="AE248" s="281"/>
      <c r="AF248" s="281"/>
      <c r="AG248" s="281"/>
      <c r="AH248" s="525"/>
      <c r="AI248" s="281"/>
      <c r="AJ248" s="281"/>
      <c r="AK248" s="526"/>
      <c r="AL248" s="527"/>
      <c r="AM248" s="281"/>
    </row>
    <row r="249" spans="1:39" ht="67.5" x14ac:dyDescent="0.25">
      <c r="A249" s="351"/>
      <c r="B249" s="352"/>
      <c r="C249" s="352"/>
      <c r="D249" s="157" t="s">
        <v>1039</v>
      </c>
      <c r="E249" s="157"/>
      <c r="F249" s="528" t="s">
        <v>1040</v>
      </c>
      <c r="G249" s="529"/>
      <c r="H249" s="529"/>
      <c r="I249" s="529"/>
      <c r="J249" s="529" t="s">
        <v>1041</v>
      </c>
      <c r="K249" s="530">
        <f>+(0.718*100)/1.25</f>
        <v>57.44</v>
      </c>
      <c r="L249" s="531" t="s">
        <v>1042</v>
      </c>
      <c r="M249" s="531"/>
      <c r="N249" s="531"/>
      <c r="O249" s="531"/>
      <c r="P249" s="162">
        <v>0</v>
      </c>
      <c r="Q249" s="531"/>
      <c r="R249" s="531"/>
      <c r="S249" s="531"/>
      <c r="T249" s="531"/>
      <c r="U249" s="531"/>
      <c r="V249" s="531"/>
      <c r="W249" s="531"/>
      <c r="X249" s="531"/>
      <c r="Y249" s="531"/>
      <c r="Z249" s="531"/>
      <c r="AA249" s="531"/>
      <c r="AB249" s="531"/>
      <c r="AC249" s="531"/>
      <c r="AD249" s="531"/>
      <c r="AE249" s="531"/>
      <c r="AF249" s="531"/>
      <c r="AG249" s="531"/>
      <c r="AH249" s="162">
        <v>0</v>
      </c>
      <c r="AI249" s="531"/>
      <c r="AJ249" s="531"/>
      <c r="AK249" s="532" t="s">
        <v>1043</v>
      </c>
      <c r="AL249" s="533" t="s">
        <v>1044</v>
      </c>
      <c r="AM249" s="534">
        <v>1520</v>
      </c>
    </row>
    <row r="250" spans="1:39" ht="112.5" x14ac:dyDescent="0.25">
      <c r="A250" s="351"/>
      <c r="B250" s="352"/>
      <c r="C250" s="352"/>
      <c r="D250" s="158"/>
      <c r="E250" s="158"/>
      <c r="F250" s="529"/>
      <c r="G250" s="528" t="s">
        <v>1045</v>
      </c>
      <c r="H250" s="528" t="s">
        <v>1046</v>
      </c>
      <c r="I250" s="535" t="s">
        <v>1047</v>
      </c>
      <c r="J250" s="536" t="s">
        <v>1048</v>
      </c>
      <c r="K250" s="537">
        <f>+(0.323*100)/1.25</f>
        <v>25.840000000000003</v>
      </c>
      <c r="L250" s="538" t="s">
        <v>1049</v>
      </c>
      <c r="M250" s="531"/>
      <c r="N250" s="539">
        <v>0.84210526315789469</v>
      </c>
      <c r="O250" s="539">
        <v>0.84</v>
      </c>
      <c r="P250" s="26">
        <f>+O250/N250</f>
        <v>0.99750000000000005</v>
      </c>
      <c r="Q250" s="540" t="s">
        <v>1050</v>
      </c>
      <c r="R250" s="540" t="s">
        <v>1051</v>
      </c>
      <c r="S250" s="540" t="s">
        <v>194</v>
      </c>
      <c r="T250" s="540" t="s">
        <v>74</v>
      </c>
      <c r="U250" s="541">
        <v>3436434453.3699999</v>
      </c>
      <c r="V250" s="541">
        <v>3436434453.3699999</v>
      </c>
      <c r="W250" s="534"/>
      <c r="X250" s="534"/>
      <c r="Y250" s="534"/>
      <c r="Z250" s="534" t="s">
        <v>55</v>
      </c>
      <c r="AA250" s="534"/>
      <c r="AB250" s="534"/>
      <c r="AC250" s="534"/>
      <c r="AD250" s="534"/>
      <c r="AE250" s="534"/>
      <c r="AF250" s="541">
        <v>3436434453.3699999</v>
      </c>
      <c r="AG250" s="542">
        <v>3436434029</v>
      </c>
      <c r="AH250" s="162">
        <f>+AG250/AF250</f>
        <v>0.99999987650862965</v>
      </c>
      <c r="AI250" s="534" t="s">
        <v>1052</v>
      </c>
      <c r="AJ250" s="534" t="s">
        <v>1053</v>
      </c>
      <c r="AK250" s="532" t="s">
        <v>1043</v>
      </c>
      <c r="AL250" s="533" t="s">
        <v>1044</v>
      </c>
      <c r="AM250" s="534">
        <v>0.84210526315789469</v>
      </c>
    </row>
    <row r="251" spans="1:39" ht="123.75" x14ac:dyDescent="0.25">
      <c r="A251" s="351"/>
      <c r="B251" s="352"/>
      <c r="C251" s="352"/>
      <c r="D251" s="158"/>
      <c r="E251" s="158"/>
      <c r="F251" s="529"/>
      <c r="G251" s="543" t="s">
        <v>1054</v>
      </c>
      <c r="H251" s="543" t="s">
        <v>1046</v>
      </c>
      <c r="I251" s="543" t="s">
        <v>1047</v>
      </c>
      <c r="J251" s="544"/>
      <c r="K251" s="532"/>
      <c r="L251" s="545"/>
      <c r="M251" s="531"/>
      <c r="N251" s="546"/>
      <c r="O251" s="546"/>
      <c r="P251" s="547"/>
      <c r="Q251" s="540" t="s">
        <v>1050</v>
      </c>
      <c r="R251" s="540" t="s">
        <v>1051</v>
      </c>
      <c r="S251" s="540" t="s">
        <v>194</v>
      </c>
      <c r="T251" s="540" t="s">
        <v>74</v>
      </c>
      <c r="U251" s="548">
        <v>308497336.12</v>
      </c>
      <c r="V251" s="548">
        <v>308497336.12</v>
      </c>
      <c r="W251" s="548"/>
      <c r="X251" s="548"/>
      <c r="Y251" s="548"/>
      <c r="Z251" s="548" t="s">
        <v>55</v>
      </c>
      <c r="AA251" s="548"/>
      <c r="AB251" s="548"/>
      <c r="AC251" s="548"/>
      <c r="AD251" s="548"/>
      <c r="AE251" s="548"/>
      <c r="AF251" s="548">
        <v>308497336.12</v>
      </c>
      <c r="AG251" s="548">
        <v>0</v>
      </c>
      <c r="AH251" s="549">
        <f t="shared" ref="AH251:AH252" si="50">+AG251/AF251</f>
        <v>0</v>
      </c>
      <c r="AI251" s="548"/>
      <c r="AJ251" s="548" t="s">
        <v>1055</v>
      </c>
      <c r="AK251" s="532"/>
      <c r="AL251" s="533"/>
      <c r="AM251" s="534"/>
    </row>
    <row r="252" spans="1:39" ht="112.5" x14ac:dyDescent="0.25">
      <c r="A252" s="351"/>
      <c r="B252" s="352"/>
      <c r="C252" s="352"/>
      <c r="D252" s="158"/>
      <c r="E252" s="158"/>
      <c r="F252" s="550"/>
      <c r="G252" s="551" t="s">
        <v>1056</v>
      </c>
      <c r="H252" s="376" t="s">
        <v>1057</v>
      </c>
      <c r="I252" s="376" t="s">
        <v>1058</v>
      </c>
      <c r="J252" s="550" t="s">
        <v>1059</v>
      </c>
      <c r="K252" s="532">
        <f>+(0.21*100)/1.25</f>
        <v>16.8</v>
      </c>
      <c r="L252" s="531" t="s">
        <v>1060</v>
      </c>
      <c r="M252" s="531"/>
      <c r="N252" s="380">
        <v>1</v>
      </c>
      <c r="O252" s="380">
        <v>0</v>
      </c>
      <c r="P252" s="119">
        <f t="shared" ref="P252" si="51">+O252/N252</f>
        <v>0</v>
      </c>
      <c r="Q252" s="376" t="s">
        <v>1058</v>
      </c>
      <c r="R252" s="376" t="s">
        <v>948</v>
      </c>
      <c r="S252" s="376" t="s">
        <v>90</v>
      </c>
      <c r="T252" s="376" t="s">
        <v>1061</v>
      </c>
      <c r="U252" s="552">
        <v>500000000</v>
      </c>
      <c r="V252" s="552">
        <v>500000000</v>
      </c>
      <c r="W252" s="376"/>
      <c r="X252" s="376"/>
      <c r="Y252" s="376"/>
      <c r="Z252" s="376" t="s">
        <v>55</v>
      </c>
      <c r="AA252" s="376"/>
      <c r="AB252" s="376"/>
      <c r="AC252" s="376"/>
      <c r="AD252" s="376"/>
      <c r="AE252" s="376"/>
      <c r="AF252" s="379">
        <f t="shared" ref="AF252" si="52">+V252</f>
        <v>500000000</v>
      </c>
      <c r="AG252" s="379">
        <v>0</v>
      </c>
      <c r="AH252" s="119">
        <f t="shared" si="50"/>
        <v>0</v>
      </c>
      <c r="AI252" s="380" t="s">
        <v>1062</v>
      </c>
      <c r="AJ252" s="380" t="s">
        <v>1063</v>
      </c>
      <c r="AK252" s="380"/>
      <c r="AL252" s="380" t="s">
        <v>1064</v>
      </c>
      <c r="AM252" s="534">
        <v>1</v>
      </c>
    </row>
    <row r="253" spans="1:39" ht="33.75" x14ac:dyDescent="0.25">
      <c r="A253" s="351"/>
      <c r="B253" s="352"/>
      <c r="C253" s="352"/>
      <c r="D253" s="158"/>
      <c r="E253" s="158"/>
      <c r="F253" s="110" t="s">
        <v>158</v>
      </c>
      <c r="G253" s="110"/>
      <c r="H253" s="110"/>
      <c r="I253" s="110"/>
      <c r="J253" s="112"/>
      <c r="K253" s="235">
        <f>SUM(K249:K252)</f>
        <v>100.08</v>
      </c>
      <c r="L253" s="233"/>
      <c r="M253" s="233"/>
      <c r="N253" s="233"/>
      <c r="O253" s="233"/>
      <c r="P253" s="233"/>
      <c r="Q253" s="233"/>
      <c r="R253" s="233"/>
      <c r="S253" s="233"/>
      <c r="T253" s="233"/>
      <c r="U253" s="233"/>
      <c r="V253" s="233"/>
      <c r="W253" s="233"/>
      <c r="X253" s="233"/>
      <c r="Y253" s="233"/>
      <c r="Z253" s="233"/>
      <c r="AA253" s="233"/>
      <c r="AB253" s="233"/>
      <c r="AC253" s="233"/>
      <c r="AD253" s="233"/>
      <c r="AE253" s="233"/>
      <c r="AF253" s="233"/>
      <c r="AG253" s="233"/>
      <c r="AH253" s="233"/>
      <c r="AI253" s="233"/>
      <c r="AJ253" s="233"/>
      <c r="AK253" s="112"/>
      <c r="AL253" s="553"/>
      <c r="AM253" s="112"/>
    </row>
    <row r="254" spans="1:39" ht="135" x14ac:dyDescent="0.25">
      <c r="A254" s="351"/>
      <c r="B254" s="352"/>
      <c r="C254" s="352"/>
      <c r="D254" s="158"/>
      <c r="E254" s="158"/>
      <c r="F254" s="528" t="s">
        <v>1065</v>
      </c>
      <c r="G254" s="528" t="s">
        <v>1066</v>
      </c>
      <c r="H254" s="528" t="s">
        <v>1067</v>
      </c>
      <c r="I254" s="528" t="s">
        <v>1068</v>
      </c>
      <c r="J254" s="528" t="s">
        <v>1069</v>
      </c>
      <c r="K254" s="537">
        <v>35.31</v>
      </c>
      <c r="L254" s="528" t="s">
        <v>1070</v>
      </c>
      <c r="M254" s="528"/>
      <c r="N254" s="537">
        <v>3</v>
      </c>
      <c r="O254" s="537">
        <v>3</v>
      </c>
      <c r="P254" s="26">
        <f>+O254/N254</f>
        <v>1</v>
      </c>
      <c r="Q254" s="554" t="s">
        <v>1071</v>
      </c>
      <c r="R254" s="554" t="s">
        <v>1072</v>
      </c>
      <c r="S254" s="554" t="s">
        <v>89</v>
      </c>
      <c r="T254" s="554" t="s">
        <v>301</v>
      </c>
      <c r="U254" s="548">
        <v>1661990427.1000001</v>
      </c>
      <c r="V254" s="548">
        <v>1661990427.1000001</v>
      </c>
      <c r="W254" s="548" t="s">
        <v>55</v>
      </c>
      <c r="X254" s="548" t="s">
        <v>55</v>
      </c>
      <c r="Y254" s="548"/>
      <c r="Z254" s="548" t="s">
        <v>55</v>
      </c>
      <c r="AA254" s="548"/>
      <c r="AB254" s="548"/>
      <c r="AC254" s="548"/>
      <c r="AD254" s="548"/>
      <c r="AE254" s="548"/>
      <c r="AF254" s="548">
        <v>1661990427.1000001</v>
      </c>
      <c r="AG254" s="548">
        <v>1030464663.59</v>
      </c>
      <c r="AH254" s="350">
        <f t="shared" ref="AH254:AH275" si="53">+AG254/AF254</f>
        <v>0.62001841092914922</v>
      </c>
      <c r="AI254" s="548" t="s">
        <v>1052</v>
      </c>
      <c r="AJ254" s="548" t="s">
        <v>1073</v>
      </c>
      <c r="AK254" s="532" t="s">
        <v>1043</v>
      </c>
      <c r="AL254" s="533" t="s">
        <v>1044</v>
      </c>
      <c r="AM254" s="555">
        <v>3</v>
      </c>
    </row>
    <row r="255" spans="1:39" ht="157.5" x14ac:dyDescent="0.25">
      <c r="A255" s="351"/>
      <c r="B255" s="352"/>
      <c r="C255" s="352"/>
      <c r="D255" s="158"/>
      <c r="E255" s="158"/>
      <c r="F255" s="529"/>
      <c r="G255" s="550"/>
      <c r="H255" s="550"/>
      <c r="I255" s="550"/>
      <c r="J255" s="529"/>
      <c r="K255" s="529"/>
      <c r="L255" s="529"/>
      <c r="M255" s="529"/>
      <c r="N255" s="529"/>
      <c r="O255" s="529"/>
      <c r="P255" s="290"/>
      <c r="Q255" s="554" t="s">
        <v>1074</v>
      </c>
      <c r="R255" s="554" t="s">
        <v>1072</v>
      </c>
      <c r="S255" s="554" t="s">
        <v>89</v>
      </c>
      <c r="T255" s="554" t="s">
        <v>90</v>
      </c>
      <c r="U255" s="556"/>
      <c r="V255" s="556"/>
      <c r="W255" s="556"/>
      <c r="X255" s="556"/>
      <c r="Y255" s="556"/>
      <c r="Z255" s="556"/>
      <c r="AA255" s="556"/>
      <c r="AB255" s="556"/>
      <c r="AC255" s="556"/>
      <c r="AD255" s="556"/>
      <c r="AE255" s="556"/>
      <c r="AF255" s="556"/>
      <c r="AG255" s="556"/>
      <c r="AH255" s="350">
        <f>AVERAGE(AH256:AH271)</f>
        <v>0.74616233712377522</v>
      </c>
      <c r="AI255" s="556"/>
      <c r="AJ255" s="556" t="s">
        <v>1075</v>
      </c>
      <c r="AK255" s="532"/>
      <c r="AL255" s="533"/>
      <c r="AM255" s="555"/>
    </row>
    <row r="256" spans="1:39" ht="112.5" x14ac:dyDescent="0.25">
      <c r="A256" s="351"/>
      <c r="B256" s="352"/>
      <c r="C256" s="352"/>
      <c r="D256" s="158"/>
      <c r="E256" s="158"/>
      <c r="F256" s="529"/>
      <c r="G256" s="528" t="s">
        <v>1076</v>
      </c>
      <c r="H256" s="528" t="s">
        <v>1077</v>
      </c>
      <c r="I256" s="528" t="s">
        <v>1078</v>
      </c>
      <c r="J256" s="529"/>
      <c r="K256" s="529"/>
      <c r="L256" s="529"/>
      <c r="M256" s="529"/>
      <c r="N256" s="529"/>
      <c r="O256" s="529"/>
      <c r="P256" s="290"/>
      <c r="Q256" s="554" t="s">
        <v>1079</v>
      </c>
      <c r="R256" s="554" t="s">
        <v>1072</v>
      </c>
      <c r="S256" s="554" t="s">
        <v>89</v>
      </c>
      <c r="T256" s="554" t="s">
        <v>90</v>
      </c>
      <c r="U256" s="557">
        <v>1500000000</v>
      </c>
      <c r="V256" s="557">
        <v>1500000000</v>
      </c>
      <c r="W256" s="554"/>
      <c r="X256" s="554"/>
      <c r="Y256" s="554"/>
      <c r="Z256" s="554" t="s">
        <v>55</v>
      </c>
      <c r="AA256" s="554"/>
      <c r="AB256" s="554"/>
      <c r="AC256" s="554"/>
      <c r="AD256" s="554"/>
      <c r="AE256" s="554"/>
      <c r="AF256" s="557">
        <v>1500000000</v>
      </c>
      <c r="AG256" s="558">
        <v>1430212404.3900001</v>
      </c>
      <c r="AH256" s="162">
        <f t="shared" si="53"/>
        <v>0.95347493626000002</v>
      </c>
      <c r="AI256" s="534" t="s">
        <v>1052</v>
      </c>
      <c r="AJ256" s="554" t="s">
        <v>1080</v>
      </c>
      <c r="AK256" s="532"/>
      <c r="AL256" s="533"/>
      <c r="AM256" s="555"/>
    </row>
    <row r="257" spans="1:39" ht="123.75" x14ac:dyDescent="0.25">
      <c r="A257" s="351"/>
      <c r="B257" s="352"/>
      <c r="C257" s="352"/>
      <c r="D257" s="158"/>
      <c r="E257" s="158"/>
      <c r="F257" s="529"/>
      <c r="G257" s="528" t="s">
        <v>1081</v>
      </c>
      <c r="H257" s="528" t="s">
        <v>1077</v>
      </c>
      <c r="I257" s="528" t="s">
        <v>1078</v>
      </c>
      <c r="J257" s="529"/>
      <c r="K257" s="529"/>
      <c r="L257" s="529"/>
      <c r="M257" s="529"/>
      <c r="N257" s="529"/>
      <c r="O257" s="529"/>
      <c r="P257" s="290"/>
      <c r="Q257" s="554" t="s">
        <v>1082</v>
      </c>
      <c r="R257" s="554" t="s">
        <v>1083</v>
      </c>
      <c r="S257" s="554" t="s">
        <v>89</v>
      </c>
      <c r="T257" s="554" t="s">
        <v>90</v>
      </c>
      <c r="U257" s="557">
        <v>1000000000</v>
      </c>
      <c r="V257" s="557">
        <v>1000000000</v>
      </c>
      <c r="W257" s="554"/>
      <c r="X257" s="554"/>
      <c r="Y257" s="554"/>
      <c r="Z257" s="554" t="s">
        <v>55</v>
      </c>
      <c r="AA257" s="554"/>
      <c r="AB257" s="554"/>
      <c r="AC257" s="554"/>
      <c r="AD257" s="554"/>
      <c r="AE257" s="554"/>
      <c r="AF257" s="557">
        <v>1000000000</v>
      </c>
      <c r="AG257" s="558">
        <v>999996674</v>
      </c>
      <c r="AH257" s="162">
        <f t="shared" si="53"/>
        <v>0.99999667400000003</v>
      </c>
      <c r="AI257" s="534" t="s">
        <v>1052</v>
      </c>
      <c r="AJ257" s="554" t="s">
        <v>1084</v>
      </c>
      <c r="AK257" s="532"/>
      <c r="AL257" s="533"/>
      <c r="AM257" s="555"/>
    </row>
    <row r="258" spans="1:39" ht="112.5" x14ac:dyDescent="0.25">
      <c r="A258" s="351"/>
      <c r="B258" s="352"/>
      <c r="C258" s="352"/>
      <c r="D258" s="158"/>
      <c r="E258" s="158"/>
      <c r="F258" s="529"/>
      <c r="G258" s="528" t="s">
        <v>1085</v>
      </c>
      <c r="H258" s="528" t="s">
        <v>1077</v>
      </c>
      <c r="I258" s="528" t="s">
        <v>1078</v>
      </c>
      <c r="J258" s="529"/>
      <c r="K258" s="529"/>
      <c r="L258" s="529"/>
      <c r="M258" s="529"/>
      <c r="N258" s="529"/>
      <c r="O258" s="529"/>
      <c r="P258" s="290"/>
      <c r="Q258" s="554" t="s">
        <v>1086</v>
      </c>
      <c r="R258" s="554" t="s">
        <v>1072</v>
      </c>
      <c r="S258" s="554" t="s">
        <v>90</v>
      </c>
      <c r="T258" s="554" t="s">
        <v>90</v>
      </c>
      <c r="U258" s="557">
        <v>1500000000</v>
      </c>
      <c r="V258" s="557">
        <v>1500000000</v>
      </c>
      <c r="W258" s="554"/>
      <c r="X258" s="554"/>
      <c r="Y258" s="554"/>
      <c r="Z258" s="554" t="s">
        <v>55</v>
      </c>
      <c r="AA258" s="554"/>
      <c r="AB258" s="554"/>
      <c r="AC258" s="554"/>
      <c r="AD258" s="554"/>
      <c r="AE258" s="554"/>
      <c r="AF258" s="557">
        <v>1500000000</v>
      </c>
      <c r="AG258" s="558">
        <v>1499379189.5899999</v>
      </c>
      <c r="AH258" s="162">
        <f t="shared" si="53"/>
        <v>0.99958612639333333</v>
      </c>
      <c r="AI258" s="534" t="s">
        <v>1052</v>
      </c>
      <c r="AJ258" s="554" t="s">
        <v>1087</v>
      </c>
      <c r="AK258" s="532"/>
      <c r="AL258" s="533"/>
      <c r="AM258" s="555"/>
    </row>
    <row r="259" spans="1:39" ht="112.5" x14ac:dyDescent="0.25">
      <c r="A259" s="351"/>
      <c r="B259" s="352"/>
      <c r="C259" s="352"/>
      <c r="D259" s="158"/>
      <c r="E259" s="158"/>
      <c r="F259" s="529"/>
      <c r="G259" s="528" t="s">
        <v>1088</v>
      </c>
      <c r="H259" s="528" t="s">
        <v>1077</v>
      </c>
      <c r="I259" s="528" t="s">
        <v>1078</v>
      </c>
      <c r="J259" s="529"/>
      <c r="K259" s="529"/>
      <c r="L259" s="529"/>
      <c r="M259" s="529"/>
      <c r="N259" s="529"/>
      <c r="O259" s="529"/>
      <c r="P259" s="290"/>
      <c r="Q259" s="554" t="s">
        <v>1089</v>
      </c>
      <c r="R259" s="554" t="s">
        <v>1072</v>
      </c>
      <c r="S259" s="554" t="s">
        <v>89</v>
      </c>
      <c r="T259" s="554" t="s">
        <v>90</v>
      </c>
      <c r="U259" s="557">
        <v>2000000000</v>
      </c>
      <c r="V259" s="557">
        <v>2000000000</v>
      </c>
      <c r="W259" s="554"/>
      <c r="X259" s="554"/>
      <c r="Y259" s="554"/>
      <c r="Z259" s="554" t="s">
        <v>55</v>
      </c>
      <c r="AA259" s="554"/>
      <c r="AB259" s="554"/>
      <c r="AC259" s="554"/>
      <c r="AD259" s="554"/>
      <c r="AE259" s="554"/>
      <c r="AF259" s="557">
        <v>2000000000</v>
      </c>
      <c r="AG259" s="558">
        <v>1906086430.2</v>
      </c>
      <c r="AH259" s="162">
        <f t="shared" si="53"/>
        <v>0.95304321510000001</v>
      </c>
      <c r="AI259" s="534" t="s">
        <v>1052</v>
      </c>
      <c r="AJ259" s="554" t="s">
        <v>1090</v>
      </c>
      <c r="AK259" s="532"/>
      <c r="AL259" s="533"/>
      <c r="AM259" s="555"/>
    </row>
    <row r="260" spans="1:39" ht="135" x14ac:dyDescent="0.25">
      <c r="A260" s="351"/>
      <c r="B260" s="352"/>
      <c r="C260" s="352"/>
      <c r="D260" s="158"/>
      <c r="E260" s="158"/>
      <c r="F260" s="529"/>
      <c r="G260" s="528" t="s">
        <v>1091</v>
      </c>
      <c r="H260" s="528" t="s">
        <v>1092</v>
      </c>
      <c r="I260" s="528"/>
      <c r="J260" s="529"/>
      <c r="K260" s="529"/>
      <c r="L260" s="529"/>
      <c r="M260" s="529"/>
      <c r="N260" s="529"/>
      <c r="O260" s="529"/>
      <c r="P260" s="290"/>
      <c r="Q260" s="554" t="s">
        <v>1092</v>
      </c>
      <c r="R260" s="554" t="s">
        <v>1092</v>
      </c>
      <c r="S260" s="554" t="s">
        <v>1092</v>
      </c>
      <c r="T260" s="554" t="s">
        <v>1092</v>
      </c>
      <c r="U260" s="559">
        <v>1500000000</v>
      </c>
      <c r="V260" s="557">
        <v>0</v>
      </c>
      <c r="W260" s="554"/>
      <c r="X260" s="554"/>
      <c r="Y260" s="554"/>
      <c r="Z260" s="554"/>
      <c r="AA260" s="554"/>
      <c r="AB260" s="554"/>
      <c r="AC260" s="554"/>
      <c r="AD260" s="554"/>
      <c r="AE260" s="554"/>
      <c r="AF260" s="558">
        <v>1</v>
      </c>
      <c r="AG260" s="558">
        <v>0</v>
      </c>
      <c r="AH260" s="162">
        <f t="shared" si="53"/>
        <v>0</v>
      </c>
      <c r="AI260" s="554"/>
      <c r="AJ260" s="554"/>
      <c r="AK260" s="532"/>
      <c r="AL260" s="533"/>
      <c r="AM260" s="555"/>
    </row>
    <row r="261" spans="1:39" ht="112.5" x14ac:dyDescent="0.25">
      <c r="A261" s="351"/>
      <c r="B261" s="352"/>
      <c r="C261" s="352"/>
      <c r="D261" s="158"/>
      <c r="E261" s="158"/>
      <c r="F261" s="529"/>
      <c r="G261" s="528" t="s">
        <v>1093</v>
      </c>
      <c r="H261" s="528" t="s">
        <v>1092</v>
      </c>
      <c r="I261" s="543"/>
      <c r="J261" s="529"/>
      <c r="K261" s="529"/>
      <c r="L261" s="529"/>
      <c r="M261" s="529"/>
      <c r="N261" s="529"/>
      <c r="O261" s="529"/>
      <c r="P261" s="290"/>
      <c r="Q261" s="554" t="s">
        <v>1092</v>
      </c>
      <c r="R261" s="554" t="s">
        <v>1092</v>
      </c>
      <c r="S261" s="554" t="s">
        <v>1092</v>
      </c>
      <c r="T261" s="554" t="s">
        <v>1092</v>
      </c>
      <c r="U261" s="559">
        <v>1500000000</v>
      </c>
      <c r="V261" s="557">
        <v>0</v>
      </c>
      <c r="W261" s="554"/>
      <c r="X261" s="554"/>
      <c r="Y261" s="554"/>
      <c r="Z261" s="554"/>
      <c r="AA261" s="554"/>
      <c r="AB261" s="554"/>
      <c r="AC261" s="554"/>
      <c r="AD261" s="554"/>
      <c r="AE261" s="554"/>
      <c r="AF261" s="558">
        <v>1</v>
      </c>
      <c r="AG261" s="558">
        <v>0</v>
      </c>
      <c r="AH261" s="162">
        <f t="shared" si="53"/>
        <v>0</v>
      </c>
      <c r="AI261" s="554"/>
      <c r="AJ261" s="554"/>
      <c r="AK261" s="532"/>
      <c r="AL261" s="533"/>
      <c r="AM261" s="555"/>
    </row>
    <row r="262" spans="1:39" ht="90" x14ac:dyDescent="0.25">
      <c r="A262" s="351"/>
      <c r="B262" s="352"/>
      <c r="C262" s="352"/>
      <c r="D262" s="158"/>
      <c r="E262" s="158"/>
      <c r="F262" s="529"/>
      <c r="G262" s="543" t="s">
        <v>1094</v>
      </c>
      <c r="H262" s="543" t="s">
        <v>1077</v>
      </c>
      <c r="I262" s="543" t="s">
        <v>1078</v>
      </c>
      <c r="J262" s="529"/>
      <c r="K262" s="529"/>
      <c r="L262" s="529"/>
      <c r="M262" s="529"/>
      <c r="N262" s="529"/>
      <c r="O262" s="529"/>
      <c r="P262" s="290"/>
      <c r="Q262" s="554" t="s">
        <v>1095</v>
      </c>
      <c r="R262" s="554" t="s">
        <v>1072</v>
      </c>
      <c r="S262" s="554" t="s">
        <v>90</v>
      </c>
      <c r="T262" s="554">
        <v>2015</v>
      </c>
      <c r="U262" s="557">
        <v>425000000</v>
      </c>
      <c r="V262" s="557">
        <v>425000000</v>
      </c>
      <c r="W262" s="554" t="s">
        <v>55</v>
      </c>
      <c r="X262" s="554"/>
      <c r="Y262" s="554"/>
      <c r="Z262" s="554" t="s">
        <v>55</v>
      </c>
      <c r="AA262" s="554"/>
      <c r="AB262" s="554"/>
      <c r="AC262" s="554"/>
      <c r="AD262" s="554"/>
      <c r="AE262" s="554"/>
      <c r="AF262" s="557">
        <v>425000000</v>
      </c>
      <c r="AG262" s="558">
        <v>424093472</v>
      </c>
      <c r="AH262" s="162">
        <f t="shared" si="53"/>
        <v>0.99786699294117642</v>
      </c>
      <c r="AI262" s="534" t="s">
        <v>1052</v>
      </c>
      <c r="AJ262" s="554" t="s">
        <v>1096</v>
      </c>
      <c r="AK262" s="532"/>
      <c r="AL262" s="533"/>
      <c r="AM262" s="555"/>
    </row>
    <row r="263" spans="1:39" ht="146.25" x14ac:dyDescent="0.25">
      <c r="A263" s="351"/>
      <c r="B263" s="352"/>
      <c r="C263" s="352"/>
      <c r="D263" s="158"/>
      <c r="E263" s="158"/>
      <c r="F263" s="529"/>
      <c r="G263" s="543" t="s">
        <v>1097</v>
      </c>
      <c r="H263" s="543" t="s">
        <v>1077</v>
      </c>
      <c r="I263" s="543" t="s">
        <v>1078</v>
      </c>
      <c r="J263" s="529"/>
      <c r="K263" s="529"/>
      <c r="L263" s="529"/>
      <c r="M263" s="529"/>
      <c r="N263" s="529"/>
      <c r="O263" s="529"/>
      <c r="P263" s="290"/>
      <c r="Q263" s="554" t="s">
        <v>1098</v>
      </c>
      <c r="R263" s="554" t="s">
        <v>1072</v>
      </c>
      <c r="S263" s="554" t="s">
        <v>286</v>
      </c>
      <c r="T263" s="554" t="s">
        <v>90</v>
      </c>
      <c r="U263" s="557">
        <v>120011170.65000001</v>
      </c>
      <c r="V263" s="557">
        <v>120011170.65000001</v>
      </c>
      <c r="W263" s="554"/>
      <c r="X263" s="554" t="s">
        <v>55</v>
      </c>
      <c r="Y263" s="554"/>
      <c r="Z263" s="554"/>
      <c r="AA263" s="554"/>
      <c r="AB263" s="554"/>
      <c r="AC263" s="554"/>
      <c r="AD263" s="554"/>
      <c r="AE263" s="554"/>
      <c r="AF263" s="557">
        <v>120011170.65000001</v>
      </c>
      <c r="AG263" s="558">
        <v>2279400</v>
      </c>
      <c r="AH263" s="162">
        <f t="shared" si="53"/>
        <v>1.8993231943779894E-2</v>
      </c>
      <c r="AI263" s="534" t="s">
        <v>1052</v>
      </c>
      <c r="AJ263" s="554" t="s">
        <v>1099</v>
      </c>
      <c r="AK263" s="532"/>
      <c r="AL263" s="533"/>
      <c r="AM263" s="555"/>
    </row>
    <row r="264" spans="1:39" ht="90" x14ac:dyDescent="0.25">
      <c r="A264" s="351"/>
      <c r="B264" s="352"/>
      <c r="C264" s="352"/>
      <c r="D264" s="158"/>
      <c r="E264" s="158"/>
      <c r="F264" s="529"/>
      <c r="G264" s="543" t="s">
        <v>1100</v>
      </c>
      <c r="H264" s="543" t="s">
        <v>1101</v>
      </c>
      <c r="I264" s="543" t="s">
        <v>1102</v>
      </c>
      <c r="J264" s="529"/>
      <c r="K264" s="529"/>
      <c r="L264" s="529"/>
      <c r="M264" s="529"/>
      <c r="N264" s="529"/>
      <c r="O264" s="529"/>
      <c r="P264" s="290"/>
      <c r="Q264" s="534" t="s">
        <v>1103</v>
      </c>
      <c r="R264" s="534" t="s">
        <v>1051</v>
      </c>
      <c r="S264" s="534" t="s">
        <v>386</v>
      </c>
      <c r="T264" s="534" t="s">
        <v>1104</v>
      </c>
      <c r="U264" s="541">
        <v>284117573.52999997</v>
      </c>
      <c r="V264" s="541">
        <v>284117573.52999997</v>
      </c>
      <c r="W264" s="534"/>
      <c r="X264" s="534"/>
      <c r="Y264" s="534"/>
      <c r="Z264" s="534" t="s">
        <v>55</v>
      </c>
      <c r="AA264" s="534"/>
      <c r="AB264" s="534"/>
      <c r="AC264" s="534"/>
      <c r="AD264" s="534"/>
      <c r="AE264" s="534"/>
      <c r="AF264" s="541">
        <v>284117573.52999997</v>
      </c>
      <c r="AG264" s="542">
        <v>284113794.97000003</v>
      </c>
      <c r="AH264" s="162">
        <f>+AG264/AF264</f>
        <v>0.99998670071705531</v>
      </c>
      <c r="AI264" s="534" t="s">
        <v>1052</v>
      </c>
      <c r="AJ264" s="534" t="s">
        <v>1105</v>
      </c>
      <c r="AK264" s="532"/>
      <c r="AL264" s="533"/>
      <c r="AM264" s="555"/>
    </row>
    <row r="265" spans="1:39" ht="123.75" x14ac:dyDescent="0.25">
      <c r="A265" s="351"/>
      <c r="B265" s="352"/>
      <c r="C265" s="352"/>
      <c r="D265" s="158"/>
      <c r="E265" s="158"/>
      <c r="F265" s="529"/>
      <c r="G265" s="543" t="s">
        <v>1106</v>
      </c>
      <c r="H265" s="543" t="s">
        <v>1077</v>
      </c>
      <c r="I265" s="543" t="s">
        <v>1078</v>
      </c>
      <c r="J265" s="529"/>
      <c r="K265" s="529"/>
      <c r="L265" s="529"/>
      <c r="M265" s="529"/>
      <c r="N265" s="529"/>
      <c r="O265" s="529"/>
      <c r="P265" s="290"/>
      <c r="Q265" s="554" t="s">
        <v>1107</v>
      </c>
      <c r="R265" s="554" t="s">
        <v>1072</v>
      </c>
      <c r="S265" s="554" t="s">
        <v>74</v>
      </c>
      <c r="T265" s="554" t="s">
        <v>301</v>
      </c>
      <c r="U265" s="557">
        <v>499821771</v>
      </c>
      <c r="V265" s="557">
        <v>499821771</v>
      </c>
      <c r="W265" s="554"/>
      <c r="X265" s="554"/>
      <c r="Y265" s="554"/>
      <c r="Z265" s="554" t="s">
        <v>55</v>
      </c>
      <c r="AA265" s="554"/>
      <c r="AB265" s="554"/>
      <c r="AC265" s="554"/>
      <c r="AD265" s="554"/>
      <c r="AE265" s="554"/>
      <c r="AF265" s="557">
        <v>499821771</v>
      </c>
      <c r="AG265" s="558">
        <v>499769755.39999998</v>
      </c>
      <c r="AH265" s="162">
        <f t="shared" si="53"/>
        <v>0.99989593170402336</v>
      </c>
      <c r="AI265" s="534" t="s">
        <v>1052</v>
      </c>
      <c r="AJ265" s="554" t="s">
        <v>1108</v>
      </c>
      <c r="AK265" s="532"/>
      <c r="AL265" s="533"/>
      <c r="AM265" s="555"/>
    </row>
    <row r="266" spans="1:39" ht="123.75" x14ac:dyDescent="0.25">
      <c r="A266" s="351"/>
      <c r="B266" s="352"/>
      <c r="C266" s="352"/>
      <c r="D266" s="158"/>
      <c r="E266" s="158"/>
      <c r="F266" s="529"/>
      <c r="G266" s="543" t="s">
        <v>1109</v>
      </c>
      <c r="H266" s="543" t="s">
        <v>1077</v>
      </c>
      <c r="I266" s="543" t="s">
        <v>1078</v>
      </c>
      <c r="J266" s="529"/>
      <c r="K266" s="529"/>
      <c r="L266" s="529"/>
      <c r="M266" s="529"/>
      <c r="N266" s="529"/>
      <c r="O266" s="529"/>
      <c r="P266" s="290"/>
      <c r="Q266" s="554" t="s">
        <v>1098</v>
      </c>
      <c r="R266" s="554" t="s">
        <v>1072</v>
      </c>
      <c r="S266" s="554" t="s">
        <v>90</v>
      </c>
      <c r="T266" s="554" t="s">
        <v>484</v>
      </c>
      <c r="U266" s="557">
        <v>629840292.65999997</v>
      </c>
      <c r="V266" s="557">
        <v>629840292.65999997</v>
      </c>
      <c r="W266" s="554"/>
      <c r="X266" s="554" t="s">
        <v>55</v>
      </c>
      <c r="Y266" s="554"/>
      <c r="Z266" s="554" t="s">
        <v>55</v>
      </c>
      <c r="AA266" s="554"/>
      <c r="AB266" s="554"/>
      <c r="AC266" s="554"/>
      <c r="AD266" s="554"/>
      <c r="AE266" s="554"/>
      <c r="AF266" s="557">
        <v>629840292.65999997</v>
      </c>
      <c r="AG266" s="558">
        <v>629837455.74000001</v>
      </c>
      <c r="AH266" s="162">
        <f t="shared" si="53"/>
        <v>0.99999549581055225</v>
      </c>
      <c r="AI266" s="534" t="s">
        <v>1052</v>
      </c>
      <c r="AJ266" s="554" t="s">
        <v>1110</v>
      </c>
      <c r="AK266" s="532"/>
      <c r="AL266" s="533"/>
      <c r="AM266" s="555"/>
    </row>
    <row r="267" spans="1:39" ht="146.25" x14ac:dyDescent="0.25">
      <c r="A267" s="351"/>
      <c r="B267" s="352"/>
      <c r="C267" s="352"/>
      <c r="D267" s="158"/>
      <c r="E267" s="158"/>
      <c r="F267" s="529"/>
      <c r="G267" s="543" t="s">
        <v>1111</v>
      </c>
      <c r="H267" s="543" t="s">
        <v>1077</v>
      </c>
      <c r="I267" s="543" t="s">
        <v>1078</v>
      </c>
      <c r="J267" s="529"/>
      <c r="K267" s="529"/>
      <c r="L267" s="529"/>
      <c r="M267" s="529"/>
      <c r="N267" s="529"/>
      <c r="O267" s="529"/>
      <c r="P267" s="290"/>
      <c r="Q267" s="554" t="s">
        <v>1112</v>
      </c>
      <c r="R267" s="554" t="s">
        <v>1072</v>
      </c>
      <c r="S267" s="554" t="s">
        <v>386</v>
      </c>
      <c r="T267" s="554" t="s">
        <v>54</v>
      </c>
      <c r="U267" s="557">
        <v>186089645.91999999</v>
      </c>
      <c r="V267" s="557">
        <v>186089645.91999999</v>
      </c>
      <c r="W267" s="554"/>
      <c r="X267" s="554"/>
      <c r="Y267" s="554"/>
      <c r="Z267" s="554" t="s">
        <v>55</v>
      </c>
      <c r="AA267" s="554"/>
      <c r="AB267" s="554"/>
      <c r="AC267" s="554"/>
      <c r="AD267" s="554"/>
      <c r="AE267" s="554"/>
      <c r="AF267" s="557">
        <v>186089645.91999999</v>
      </c>
      <c r="AG267" s="558">
        <v>186085531.40000001</v>
      </c>
      <c r="AH267" s="162">
        <f t="shared" si="53"/>
        <v>0.99997788958123035</v>
      </c>
      <c r="AI267" s="534" t="s">
        <v>1052</v>
      </c>
      <c r="AJ267" s="554" t="s">
        <v>1113</v>
      </c>
      <c r="AK267" s="532"/>
      <c r="AL267" s="533"/>
      <c r="AM267" s="555"/>
    </row>
    <row r="268" spans="1:39" ht="168.75" x14ac:dyDescent="0.25">
      <c r="A268" s="351"/>
      <c r="B268" s="352"/>
      <c r="C268" s="352"/>
      <c r="D268" s="158"/>
      <c r="E268" s="158"/>
      <c r="F268" s="529"/>
      <c r="G268" s="543" t="s">
        <v>1114</v>
      </c>
      <c r="H268" s="543" t="s">
        <v>1077</v>
      </c>
      <c r="I268" s="543" t="s">
        <v>1078</v>
      </c>
      <c r="J268" s="529"/>
      <c r="K268" s="529"/>
      <c r="L268" s="529"/>
      <c r="M268" s="529"/>
      <c r="N268" s="529"/>
      <c r="O268" s="529"/>
      <c r="P268" s="290"/>
      <c r="Q268" s="554" t="s">
        <v>1115</v>
      </c>
      <c r="R268" s="554" t="s">
        <v>1072</v>
      </c>
      <c r="S268" s="554" t="s">
        <v>386</v>
      </c>
      <c r="T268" s="554" t="s">
        <v>89</v>
      </c>
      <c r="U268" s="557">
        <v>591339520</v>
      </c>
      <c r="V268" s="557">
        <v>591339520</v>
      </c>
      <c r="W268" s="554"/>
      <c r="X268" s="554"/>
      <c r="Y268" s="554"/>
      <c r="Z268" s="554" t="s">
        <v>55</v>
      </c>
      <c r="AA268" s="554"/>
      <c r="AB268" s="554"/>
      <c r="AC268" s="554"/>
      <c r="AD268" s="554"/>
      <c r="AE268" s="554"/>
      <c r="AF268" s="557">
        <v>591339520</v>
      </c>
      <c r="AG268" s="558">
        <v>591339336.21000004</v>
      </c>
      <c r="AH268" s="162">
        <f t="shared" si="53"/>
        <v>0.99999968919716387</v>
      </c>
      <c r="AI268" s="534" t="s">
        <v>1052</v>
      </c>
      <c r="AJ268" s="554" t="s">
        <v>1116</v>
      </c>
      <c r="AK268" s="532"/>
      <c r="AL268" s="533"/>
      <c r="AM268" s="555"/>
    </row>
    <row r="269" spans="1:39" ht="90" x14ac:dyDescent="0.25">
      <c r="A269" s="351"/>
      <c r="B269" s="352"/>
      <c r="C269" s="352"/>
      <c r="D269" s="158"/>
      <c r="E269" s="158"/>
      <c r="F269" s="529"/>
      <c r="G269" s="543" t="s">
        <v>1117</v>
      </c>
      <c r="H269" s="543" t="s">
        <v>1077</v>
      </c>
      <c r="I269" s="543" t="s">
        <v>1078</v>
      </c>
      <c r="J269" s="529"/>
      <c r="K269" s="529"/>
      <c r="L269" s="529"/>
      <c r="M269" s="529"/>
      <c r="N269" s="529"/>
      <c r="O269" s="529"/>
      <c r="P269" s="290"/>
      <c r="Q269" s="554" t="s">
        <v>1118</v>
      </c>
      <c r="R269" s="554" t="s">
        <v>1072</v>
      </c>
      <c r="S269" s="554" t="s">
        <v>1061</v>
      </c>
      <c r="T269" s="554" t="s">
        <v>1061</v>
      </c>
      <c r="U269" s="557">
        <v>424000000</v>
      </c>
      <c r="V269" s="557">
        <v>424000000</v>
      </c>
      <c r="W269" s="554"/>
      <c r="X269" s="554"/>
      <c r="Y269" s="554"/>
      <c r="Z269" s="554" t="s">
        <v>55</v>
      </c>
      <c r="AA269" s="554"/>
      <c r="AB269" s="554"/>
      <c r="AC269" s="554"/>
      <c r="AD269" s="554"/>
      <c r="AE269" s="554"/>
      <c r="AF269" s="557">
        <v>424000000</v>
      </c>
      <c r="AG269" s="558">
        <v>6691279.0899999999</v>
      </c>
      <c r="AH269" s="162">
        <f t="shared" si="53"/>
        <v>1.5781318608490566E-2</v>
      </c>
      <c r="AI269" s="534" t="s">
        <v>1052</v>
      </c>
      <c r="AJ269" s="554" t="s">
        <v>1099</v>
      </c>
      <c r="AK269" s="532"/>
      <c r="AL269" s="533"/>
      <c r="AM269" s="555"/>
    </row>
    <row r="270" spans="1:39" ht="101.25" x14ac:dyDescent="0.25">
      <c r="A270" s="351"/>
      <c r="B270" s="352"/>
      <c r="C270" s="352"/>
      <c r="D270" s="158"/>
      <c r="E270" s="158"/>
      <c r="F270" s="529"/>
      <c r="G270" s="543" t="s">
        <v>1119</v>
      </c>
      <c r="H270" s="543" t="s">
        <v>1077</v>
      </c>
      <c r="I270" s="543" t="s">
        <v>1078</v>
      </c>
      <c r="J270" s="529"/>
      <c r="K270" s="529"/>
      <c r="L270" s="529"/>
      <c r="M270" s="529"/>
      <c r="N270" s="529"/>
      <c r="O270" s="529"/>
      <c r="P270" s="290"/>
      <c r="Q270" s="554" t="s">
        <v>1120</v>
      </c>
      <c r="R270" s="554"/>
      <c r="S270" s="554" t="s">
        <v>1061</v>
      </c>
      <c r="T270" s="554" t="s">
        <v>1061</v>
      </c>
      <c r="U270" s="557">
        <v>263127810.39999998</v>
      </c>
      <c r="V270" s="557">
        <v>263127810.39999998</v>
      </c>
      <c r="W270" s="554"/>
      <c r="X270" s="554" t="s">
        <v>55</v>
      </c>
      <c r="Y270" s="554"/>
      <c r="Z270" s="554" t="s">
        <v>55</v>
      </c>
      <c r="AA270" s="554"/>
      <c r="AB270" s="554"/>
      <c r="AC270" s="554"/>
      <c r="AD270" s="554"/>
      <c r="AE270" s="554"/>
      <c r="AF270" s="557">
        <v>263127810.39999998</v>
      </c>
      <c r="AG270" s="558">
        <v>263127597.72000003</v>
      </c>
      <c r="AH270" s="162">
        <f t="shared" si="53"/>
        <v>0.99999919172359764</v>
      </c>
      <c r="AI270" s="534" t="s">
        <v>1052</v>
      </c>
      <c r="AJ270" s="554" t="s">
        <v>1121</v>
      </c>
      <c r="AK270" s="532"/>
      <c r="AL270" s="533"/>
      <c r="AM270" s="555"/>
    </row>
    <row r="271" spans="1:39" ht="90" x14ac:dyDescent="0.25">
      <c r="A271" s="351"/>
      <c r="B271" s="352"/>
      <c r="C271" s="352"/>
      <c r="D271" s="158"/>
      <c r="E271" s="158"/>
      <c r="F271" s="529"/>
      <c r="G271" s="543" t="s">
        <v>1122</v>
      </c>
      <c r="H271" s="543" t="s">
        <v>1077</v>
      </c>
      <c r="I271" s="543" t="s">
        <v>1078</v>
      </c>
      <c r="J271" s="550"/>
      <c r="K271" s="550"/>
      <c r="L271" s="550"/>
      <c r="M271" s="550"/>
      <c r="N271" s="550"/>
      <c r="O271" s="550"/>
      <c r="P271" s="292"/>
      <c r="Q271" s="554" t="s">
        <v>1123</v>
      </c>
      <c r="R271" s="554" t="s">
        <v>1072</v>
      </c>
      <c r="S271" s="554" t="s">
        <v>90</v>
      </c>
      <c r="T271" s="554" t="s">
        <v>201</v>
      </c>
      <c r="U271" s="557">
        <v>120000000</v>
      </c>
      <c r="V271" s="557">
        <v>120000000</v>
      </c>
      <c r="W271" s="554"/>
      <c r="X271" s="554"/>
      <c r="Y271" s="554"/>
      <c r="Z271" s="554" t="s">
        <v>55</v>
      </c>
      <c r="AA271" s="554"/>
      <c r="AB271" s="554"/>
      <c r="AC271" s="554"/>
      <c r="AD271" s="554"/>
      <c r="AE271" s="554"/>
      <c r="AF271" s="557">
        <v>120000000</v>
      </c>
      <c r="AG271" s="558">
        <v>120000000.00000001</v>
      </c>
      <c r="AH271" s="162">
        <f t="shared" si="53"/>
        <v>1.0000000000000002</v>
      </c>
      <c r="AI271" s="534" t="s">
        <v>1052</v>
      </c>
      <c r="AJ271" s="554" t="s">
        <v>1124</v>
      </c>
      <c r="AK271" s="532"/>
      <c r="AL271" s="533"/>
      <c r="AM271" s="555"/>
    </row>
    <row r="272" spans="1:39" ht="90" x14ac:dyDescent="0.25">
      <c r="A272" s="351"/>
      <c r="B272" s="352"/>
      <c r="C272" s="352"/>
      <c r="D272" s="158"/>
      <c r="E272" s="158"/>
      <c r="F272" s="529"/>
      <c r="G272" s="543" t="s">
        <v>1125</v>
      </c>
      <c r="H272" s="543" t="s">
        <v>1126</v>
      </c>
      <c r="I272" s="543" t="s">
        <v>1127</v>
      </c>
      <c r="J272" s="550" t="s">
        <v>1128</v>
      </c>
      <c r="K272" s="539">
        <f>+(0.035*100)/1.3</f>
        <v>2.6923076923076925</v>
      </c>
      <c r="L272" s="528" t="s">
        <v>1129</v>
      </c>
      <c r="M272" s="528"/>
      <c r="N272" s="555">
        <v>62</v>
      </c>
      <c r="O272" s="554">
        <v>50</v>
      </c>
      <c r="P272" s="119">
        <f>+O272/N272</f>
        <v>0.80645161290322576</v>
      </c>
      <c r="Q272" s="554" t="s">
        <v>1130</v>
      </c>
      <c r="R272" s="554" t="s">
        <v>1131</v>
      </c>
      <c r="S272" s="554" t="s">
        <v>90</v>
      </c>
      <c r="T272" s="554" t="s">
        <v>201</v>
      </c>
      <c r="U272" s="557">
        <v>400000000</v>
      </c>
      <c r="V272" s="557">
        <v>400000000</v>
      </c>
      <c r="W272" s="554"/>
      <c r="X272" s="554"/>
      <c r="Y272" s="554"/>
      <c r="Z272" s="554" t="s">
        <v>55</v>
      </c>
      <c r="AA272" s="554"/>
      <c r="AB272" s="554"/>
      <c r="AC272" s="554"/>
      <c r="AD272" s="554"/>
      <c r="AE272" s="554"/>
      <c r="AF272" s="557">
        <v>400000000</v>
      </c>
      <c r="AG272" s="557">
        <v>400000000</v>
      </c>
      <c r="AH272" s="162">
        <f t="shared" si="53"/>
        <v>1</v>
      </c>
      <c r="AI272" s="534" t="s">
        <v>1052</v>
      </c>
      <c r="AJ272" s="554" t="s">
        <v>1132</v>
      </c>
      <c r="AK272" s="532" t="s">
        <v>1043</v>
      </c>
      <c r="AL272" s="533" t="s">
        <v>1044</v>
      </c>
      <c r="AM272" s="555">
        <v>62</v>
      </c>
    </row>
    <row r="273" spans="1:39" ht="112.5" x14ac:dyDescent="0.25">
      <c r="A273" s="351"/>
      <c r="B273" s="352"/>
      <c r="C273" s="352"/>
      <c r="D273" s="158"/>
      <c r="E273" s="158"/>
      <c r="F273" s="529"/>
      <c r="G273" s="376" t="s">
        <v>1133</v>
      </c>
      <c r="H273" s="376" t="s">
        <v>1134</v>
      </c>
      <c r="I273" s="376" t="s">
        <v>1135</v>
      </c>
      <c r="J273" s="560" t="s">
        <v>1136</v>
      </c>
      <c r="K273" s="539"/>
      <c r="L273" s="528"/>
      <c r="M273" s="528"/>
      <c r="N273" s="380">
        <v>22</v>
      </c>
      <c r="O273" s="380">
        <v>22</v>
      </c>
      <c r="P273" s="119">
        <f>+O273/N273</f>
        <v>1</v>
      </c>
      <c r="Q273" s="376" t="s">
        <v>1137</v>
      </c>
      <c r="R273" s="376" t="s">
        <v>1138</v>
      </c>
      <c r="S273" s="376" t="s">
        <v>90</v>
      </c>
      <c r="T273" s="376" t="s">
        <v>201</v>
      </c>
      <c r="U273" s="378">
        <v>3273828137</v>
      </c>
      <c r="V273" s="378">
        <v>3273828137</v>
      </c>
      <c r="W273" s="376"/>
      <c r="X273" s="376"/>
      <c r="Y273" s="376"/>
      <c r="Z273" s="376" t="s">
        <v>55</v>
      </c>
      <c r="AA273" s="376"/>
      <c r="AB273" s="376"/>
      <c r="AC273" s="376"/>
      <c r="AD273" s="376"/>
      <c r="AE273" s="376"/>
      <c r="AF273" s="379">
        <f>+V273</f>
        <v>3273828137</v>
      </c>
      <c r="AG273" s="379">
        <v>3273828137</v>
      </c>
      <c r="AH273" s="119">
        <f>+AG273/AF273</f>
        <v>1</v>
      </c>
      <c r="AI273" s="380" t="s">
        <v>1062</v>
      </c>
      <c r="AJ273" s="380" t="s">
        <v>1139</v>
      </c>
      <c r="AK273" s="380" t="s">
        <v>1140</v>
      </c>
      <c r="AL273" s="380" t="s">
        <v>1064</v>
      </c>
      <c r="AM273" s="555"/>
    </row>
    <row r="274" spans="1:39" ht="90" x14ac:dyDescent="0.25">
      <c r="A274" s="351"/>
      <c r="B274" s="352"/>
      <c r="C274" s="352"/>
      <c r="D274" s="158"/>
      <c r="E274" s="158"/>
      <c r="F274" s="529"/>
      <c r="G274" s="543" t="s">
        <v>1141</v>
      </c>
      <c r="H274" s="543" t="s">
        <v>1142</v>
      </c>
      <c r="I274" s="543" t="s">
        <v>1143</v>
      </c>
      <c r="J274" s="528" t="s">
        <v>1136</v>
      </c>
      <c r="K274" s="539">
        <v>21.08</v>
      </c>
      <c r="L274" s="528" t="s">
        <v>1144</v>
      </c>
      <c r="M274" s="528"/>
      <c r="N274" s="561">
        <v>21.592794418379281</v>
      </c>
      <c r="O274" s="537">
        <v>42</v>
      </c>
      <c r="P274" s="26">
        <f>+O274/N274</f>
        <v>1.94509331151</v>
      </c>
      <c r="Q274" s="554" t="s">
        <v>1145</v>
      </c>
      <c r="R274" s="554" t="s">
        <v>1146</v>
      </c>
      <c r="S274" s="554" t="s">
        <v>90</v>
      </c>
      <c r="T274" s="554" t="s">
        <v>366</v>
      </c>
      <c r="U274" s="557">
        <v>330997300</v>
      </c>
      <c r="V274" s="557">
        <v>330997300</v>
      </c>
      <c r="W274" s="554"/>
      <c r="X274" s="554" t="s">
        <v>55</v>
      </c>
      <c r="Y274" s="554"/>
      <c r="Z274" s="554" t="s">
        <v>55</v>
      </c>
      <c r="AA274" s="554"/>
      <c r="AB274" s="554"/>
      <c r="AC274" s="554"/>
      <c r="AD274" s="554"/>
      <c r="AE274" s="554"/>
      <c r="AF274" s="557">
        <v>330997300</v>
      </c>
      <c r="AG274" s="558">
        <v>330997300</v>
      </c>
      <c r="AH274" s="162">
        <f t="shared" si="53"/>
        <v>1</v>
      </c>
      <c r="AI274" s="534" t="s">
        <v>1052</v>
      </c>
      <c r="AJ274" s="554" t="s">
        <v>1147</v>
      </c>
      <c r="AK274" s="532" t="s">
        <v>1043</v>
      </c>
      <c r="AL274" s="533" t="s">
        <v>1044</v>
      </c>
      <c r="AM274" s="555">
        <v>21.592794418379281</v>
      </c>
    </row>
    <row r="275" spans="1:39" ht="202.5" x14ac:dyDescent="0.25">
      <c r="A275" s="351"/>
      <c r="B275" s="352"/>
      <c r="C275" s="352"/>
      <c r="D275" s="158"/>
      <c r="E275" s="158"/>
      <c r="F275" s="529"/>
      <c r="G275" s="543" t="s">
        <v>1148</v>
      </c>
      <c r="H275" s="543" t="s">
        <v>1149</v>
      </c>
      <c r="I275" s="543" t="s">
        <v>1150</v>
      </c>
      <c r="J275" s="550"/>
      <c r="K275" s="550"/>
      <c r="L275" s="550"/>
      <c r="M275" s="550"/>
      <c r="N275" s="550"/>
      <c r="O275" s="550"/>
      <c r="P275" s="292"/>
      <c r="Q275" s="554" t="s">
        <v>1151</v>
      </c>
      <c r="R275" s="554" t="s">
        <v>1152</v>
      </c>
      <c r="S275" s="554" t="s">
        <v>1153</v>
      </c>
      <c r="T275" s="554" t="s">
        <v>1154</v>
      </c>
      <c r="U275" s="557">
        <v>500000000</v>
      </c>
      <c r="V275" s="557">
        <v>500000000</v>
      </c>
      <c r="W275" s="554"/>
      <c r="X275" s="554"/>
      <c r="Y275" s="554"/>
      <c r="Z275" s="554" t="s">
        <v>55</v>
      </c>
      <c r="AA275" s="554"/>
      <c r="AB275" s="554"/>
      <c r="AC275" s="554"/>
      <c r="AD275" s="554"/>
      <c r="AE275" s="554"/>
      <c r="AF275" s="557">
        <v>500000000</v>
      </c>
      <c r="AG275" s="558">
        <v>75000000</v>
      </c>
      <c r="AH275" s="162">
        <f t="shared" si="53"/>
        <v>0.15</v>
      </c>
      <c r="AI275" s="534" t="s">
        <v>1052</v>
      </c>
      <c r="AJ275" s="554" t="s">
        <v>1155</v>
      </c>
      <c r="AK275" s="532"/>
      <c r="AL275" s="533"/>
      <c r="AM275" s="555"/>
    </row>
    <row r="276" spans="1:39" ht="56.25" x14ac:dyDescent="0.25">
      <c r="A276" s="351"/>
      <c r="B276" s="352"/>
      <c r="C276" s="352"/>
      <c r="D276" s="158"/>
      <c r="E276" s="158"/>
      <c r="F276" s="529"/>
      <c r="G276" s="529"/>
      <c r="H276" s="529"/>
      <c r="I276" s="529"/>
      <c r="J276" s="550" t="s">
        <v>1156</v>
      </c>
      <c r="K276" s="539">
        <f>+(0.012*100)/1.3</f>
        <v>0.92307692307692302</v>
      </c>
      <c r="L276" s="528" t="s">
        <v>1157</v>
      </c>
      <c r="M276" s="528"/>
      <c r="N276" s="528"/>
      <c r="O276" s="528"/>
      <c r="P276" s="162">
        <v>0</v>
      </c>
      <c r="Q276" s="528"/>
      <c r="R276" s="528"/>
      <c r="S276" s="528"/>
      <c r="T276" s="528"/>
      <c r="U276" s="528"/>
      <c r="V276" s="528"/>
      <c r="W276" s="528"/>
      <c r="X276" s="528"/>
      <c r="Y276" s="528"/>
      <c r="Z276" s="528"/>
      <c r="AA276" s="528"/>
      <c r="AB276" s="528"/>
      <c r="AC276" s="528"/>
      <c r="AD276" s="528"/>
      <c r="AE276" s="528"/>
      <c r="AF276" s="528"/>
      <c r="AG276" s="528"/>
      <c r="AH276" s="162">
        <v>0</v>
      </c>
      <c r="AI276" s="528"/>
      <c r="AJ276" s="528"/>
      <c r="AK276" s="532" t="s">
        <v>1043</v>
      </c>
      <c r="AL276" s="533" t="s">
        <v>1044</v>
      </c>
      <c r="AM276" s="555">
        <v>630</v>
      </c>
    </row>
    <row r="277" spans="1:39" ht="33.75" x14ac:dyDescent="0.25">
      <c r="A277" s="351"/>
      <c r="B277" s="352"/>
      <c r="C277" s="352"/>
      <c r="D277" s="158"/>
      <c r="E277" s="158"/>
      <c r="F277" s="529"/>
      <c r="G277" s="529"/>
      <c r="H277" s="529"/>
      <c r="I277" s="529"/>
      <c r="J277" s="550" t="s">
        <v>1158</v>
      </c>
      <c r="K277" s="539">
        <f>+(0.05*100)/1.3</f>
        <v>3.8461538461538458</v>
      </c>
      <c r="L277" s="528" t="s">
        <v>1159</v>
      </c>
      <c r="M277" s="528"/>
      <c r="N277" s="528"/>
      <c r="O277" s="528"/>
      <c r="P277" s="162">
        <v>0</v>
      </c>
      <c r="Q277" s="528"/>
      <c r="R277" s="528"/>
      <c r="S277" s="528"/>
      <c r="T277" s="528"/>
      <c r="U277" s="528"/>
      <c r="V277" s="528"/>
      <c r="W277" s="528"/>
      <c r="X277" s="528"/>
      <c r="Y277" s="528"/>
      <c r="Z277" s="528"/>
      <c r="AA277" s="528"/>
      <c r="AB277" s="528"/>
      <c r="AC277" s="528"/>
      <c r="AD277" s="528"/>
      <c r="AE277" s="528"/>
      <c r="AF277" s="528"/>
      <c r="AG277" s="528"/>
      <c r="AH277" s="162">
        <v>0</v>
      </c>
      <c r="AI277" s="528"/>
      <c r="AJ277" s="528"/>
      <c r="AK277" s="532" t="s">
        <v>1043</v>
      </c>
      <c r="AL277" s="533" t="s">
        <v>1044</v>
      </c>
      <c r="AM277" s="555">
        <v>1000</v>
      </c>
    </row>
    <row r="278" spans="1:39" ht="123.75" x14ac:dyDescent="0.25">
      <c r="A278" s="351"/>
      <c r="B278" s="352"/>
      <c r="C278" s="352"/>
      <c r="D278" s="158"/>
      <c r="E278" s="158"/>
      <c r="F278" s="529"/>
      <c r="G278" s="543" t="s">
        <v>1160</v>
      </c>
      <c r="H278" s="543" t="s">
        <v>1161</v>
      </c>
      <c r="I278" s="543" t="s">
        <v>1162</v>
      </c>
      <c r="J278" s="528" t="s">
        <v>1163</v>
      </c>
      <c r="K278" s="539">
        <v>15.54</v>
      </c>
      <c r="L278" s="528" t="s">
        <v>1157</v>
      </c>
      <c r="M278" s="528"/>
      <c r="N278" s="555">
        <v>35200</v>
      </c>
      <c r="O278" s="540">
        <v>36284</v>
      </c>
      <c r="P278" s="26">
        <f>+O278/N278</f>
        <v>1.0307954545454545</v>
      </c>
      <c r="Q278" s="540" t="s">
        <v>1164</v>
      </c>
      <c r="R278" s="540" t="s">
        <v>1165</v>
      </c>
      <c r="S278" s="555" t="s">
        <v>54</v>
      </c>
      <c r="T278" s="555" t="s">
        <v>1166</v>
      </c>
      <c r="U278" s="548">
        <v>17431780991.279999</v>
      </c>
      <c r="V278" s="548">
        <v>17431780991.279999</v>
      </c>
      <c r="W278" s="554"/>
      <c r="X278" s="554"/>
      <c r="Y278" s="554"/>
      <c r="Z278" s="554" t="s">
        <v>55</v>
      </c>
      <c r="AA278" s="554"/>
      <c r="AB278" s="554"/>
      <c r="AC278" s="554"/>
      <c r="AD278" s="554"/>
      <c r="AE278" s="554"/>
      <c r="AF278" s="548">
        <v>17431780991.279999</v>
      </c>
      <c r="AG278" s="558">
        <v>12570422356</v>
      </c>
      <c r="AH278" s="162">
        <f t="shared" ref="AH278:AH279" si="54">+AG278/AF278</f>
        <v>0.72112094353917</v>
      </c>
      <c r="AI278" s="534" t="s">
        <v>1052</v>
      </c>
      <c r="AJ278" s="554" t="s">
        <v>1167</v>
      </c>
      <c r="AK278" s="532" t="s">
        <v>1043</v>
      </c>
      <c r="AL278" s="533" t="s">
        <v>1044</v>
      </c>
      <c r="AM278" s="555">
        <v>35200</v>
      </c>
    </row>
    <row r="279" spans="1:39" ht="146.25" x14ac:dyDescent="0.25">
      <c r="A279" s="351"/>
      <c r="B279" s="352"/>
      <c r="C279" s="352"/>
      <c r="D279" s="158"/>
      <c r="E279" s="158"/>
      <c r="F279" s="529"/>
      <c r="G279" s="543" t="s">
        <v>1168</v>
      </c>
      <c r="H279" s="543" t="s">
        <v>1161</v>
      </c>
      <c r="I279" s="543" t="s">
        <v>1162</v>
      </c>
      <c r="J279" s="550"/>
      <c r="K279" s="562"/>
      <c r="L279" s="550"/>
      <c r="M279" s="550"/>
      <c r="N279" s="546"/>
      <c r="O279" s="546"/>
      <c r="P279" s="547"/>
      <c r="Q279" s="540" t="s">
        <v>1169</v>
      </c>
      <c r="R279" s="540" t="s">
        <v>1165</v>
      </c>
      <c r="S279" s="555" t="s">
        <v>1170</v>
      </c>
      <c r="T279" s="555" t="s">
        <v>1166</v>
      </c>
      <c r="U279" s="563">
        <v>4227055190</v>
      </c>
      <c r="V279" s="563">
        <v>4227055190</v>
      </c>
      <c r="W279" s="554"/>
      <c r="X279" s="554"/>
      <c r="Y279" s="554"/>
      <c r="Z279" s="554" t="s">
        <v>55</v>
      </c>
      <c r="AA279" s="554"/>
      <c r="AB279" s="554"/>
      <c r="AC279" s="554"/>
      <c r="AD279" s="554"/>
      <c r="AE279" s="554"/>
      <c r="AF279" s="563">
        <v>4227055190</v>
      </c>
      <c r="AG279" s="558">
        <v>4223633222</v>
      </c>
      <c r="AH279" s="162">
        <f t="shared" si="54"/>
        <v>0.99919046053429927</v>
      </c>
      <c r="AI279" s="534" t="s">
        <v>1052</v>
      </c>
      <c r="AJ279" s="554" t="s">
        <v>1171</v>
      </c>
      <c r="AK279" s="530"/>
      <c r="AL279" s="564"/>
      <c r="AM279" s="555"/>
    </row>
    <row r="280" spans="1:39" ht="90" x14ac:dyDescent="0.25">
      <c r="A280" s="351"/>
      <c r="B280" s="352"/>
      <c r="C280" s="352"/>
      <c r="D280" s="158"/>
      <c r="E280" s="158"/>
      <c r="F280" s="529"/>
      <c r="G280" s="136" t="s">
        <v>1172</v>
      </c>
      <c r="H280" s="137" t="s">
        <v>1173</v>
      </c>
      <c r="I280" s="137" t="s">
        <v>1174</v>
      </c>
      <c r="J280" s="528" t="s">
        <v>1175</v>
      </c>
      <c r="K280" s="539">
        <f>+(0.195*100)/1.3</f>
        <v>15</v>
      </c>
      <c r="L280" s="528" t="s">
        <v>1176</v>
      </c>
      <c r="M280" s="528"/>
      <c r="N280" s="137">
        <v>6000</v>
      </c>
      <c r="O280" s="137">
        <v>6627</v>
      </c>
      <c r="P280" s="49">
        <f>+O280/N280</f>
        <v>1.1045</v>
      </c>
      <c r="Q280" s="137" t="s">
        <v>1177</v>
      </c>
      <c r="R280" s="137" t="s">
        <v>1178</v>
      </c>
      <c r="S280" s="137" t="s">
        <v>386</v>
      </c>
      <c r="T280" s="137" t="s">
        <v>1179</v>
      </c>
      <c r="U280" s="138">
        <v>11583066870</v>
      </c>
      <c r="V280" s="138">
        <v>11583066870</v>
      </c>
      <c r="W280" s="137"/>
      <c r="X280" s="137"/>
      <c r="Y280" s="137"/>
      <c r="Z280" s="137" t="s">
        <v>55</v>
      </c>
      <c r="AA280" s="137"/>
      <c r="AB280" s="137"/>
      <c r="AC280" s="137"/>
      <c r="AD280" s="137"/>
      <c r="AE280" s="137"/>
      <c r="AF280" s="138">
        <v>11583066870</v>
      </c>
      <c r="AG280" s="138">
        <v>11583066870</v>
      </c>
      <c r="AH280" s="49">
        <f>+AG280/AF280</f>
        <v>1</v>
      </c>
      <c r="AI280" s="137" t="s">
        <v>1180</v>
      </c>
      <c r="AJ280" s="137" t="s">
        <v>1181</v>
      </c>
      <c r="AK280" s="137" t="s">
        <v>1182</v>
      </c>
      <c r="AL280" s="137" t="s">
        <v>1183</v>
      </c>
      <c r="AM280" s="555">
        <v>6000</v>
      </c>
    </row>
    <row r="281" spans="1:39" ht="45" x14ac:dyDescent="0.25">
      <c r="A281" s="351"/>
      <c r="B281" s="352"/>
      <c r="C281" s="352"/>
      <c r="D281" s="158"/>
      <c r="E281" s="158"/>
      <c r="F281" s="550"/>
      <c r="G281" s="550"/>
      <c r="H281" s="550"/>
      <c r="I281" s="550"/>
      <c r="J281" s="550" t="s">
        <v>1184</v>
      </c>
      <c r="K281" s="539">
        <f>+(0.072*100)/1.3</f>
        <v>5.5384615384615374</v>
      </c>
      <c r="L281" s="543" t="s">
        <v>1185</v>
      </c>
      <c r="M281" s="543"/>
      <c r="N281" s="543"/>
      <c r="O281" s="543"/>
      <c r="P281" s="49">
        <v>0</v>
      </c>
      <c r="Q281" s="543"/>
      <c r="R281" s="543"/>
      <c r="S281" s="543"/>
      <c r="T281" s="543"/>
      <c r="U281" s="543"/>
      <c r="V281" s="543"/>
      <c r="W281" s="543"/>
      <c r="X281" s="543"/>
      <c r="Y281" s="543"/>
      <c r="Z281" s="543"/>
      <c r="AA281" s="543"/>
      <c r="AB281" s="543"/>
      <c r="AC281" s="543"/>
      <c r="AD281" s="543"/>
      <c r="AE281" s="543"/>
      <c r="AF281" s="543"/>
      <c r="AG281" s="543"/>
      <c r="AH281" s="49">
        <v>0</v>
      </c>
      <c r="AI281" s="543"/>
      <c r="AJ281" s="543"/>
      <c r="AK281" s="532" t="s">
        <v>1043</v>
      </c>
      <c r="AL281" s="533" t="s">
        <v>1044</v>
      </c>
      <c r="AM281" s="554">
        <v>435</v>
      </c>
    </row>
    <row r="282" spans="1:39" ht="33.75" x14ac:dyDescent="0.25">
      <c r="A282" s="351"/>
      <c r="B282" s="352"/>
      <c r="C282" s="352"/>
      <c r="D282" s="158"/>
      <c r="E282" s="158"/>
      <c r="F282" s="110" t="s">
        <v>158</v>
      </c>
      <c r="G282" s="110"/>
      <c r="H282" s="110"/>
      <c r="I282" s="110"/>
      <c r="J282" s="112"/>
      <c r="K282" s="235">
        <f>SUM(K254:K281)</f>
        <v>99.929999999999993</v>
      </c>
      <c r="L282" s="112"/>
      <c r="M282" s="112"/>
      <c r="N282" s="112"/>
      <c r="O282" s="112"/>
      <c r="P282" s="112"/>
      <c r="Q282" s="112"/>
      <c r="R282" s="112"/>
      <c r="S282" s="112"/>
      <c r="T282" s="112"/>
      <c r="U282" s="112"/>
      <c r="V282" s="112"/>
      <c r="W282" s="112"/>
      <c r="X282" s="112"/>
      <c r="Y282" s="112"/>
      <c r="Z282" s="112"/>
      <c r="AA282" s="112"/>
      <c r="AB282" s="112"/>
      <c r="AC282" s="112"/>
      <c r="AD282" s="112"/>
      <c r="AE282" s="112"/>
      <c r="AF282" s="112"/>
      <c r="AG282" s="112"/>
      <c r="AH282" s="112"/>
      <c r="AI282" s="112"/>
      <c r="AJ282" s="112"/>
      <c r="AK282" s="112"/>
      <c r="AL282" s="553"/>
      <c r="AM282" s="112"/>
    </row>
    <row r="283" spans="1:39" ht="45" x14ac:dyDescent="0.25">
      <c r="A283" s="351"/>
      <c r="B283" s="352"/>
      <c r="C283" s="352"/>
      <c r="D283" s="158"/>
      <c r="E283" s="158"/>
      <c r="F283" s="529" t="s">
        <v>1186</v>
      </c>
      <c r="G283" s="529"/>
      <c r="H283" s="529"/>
      <c r="I283" s="529"/>
      <c r="J283" s="543" t="s">
        <v>1187</v>
      </c>
      <c r="K283" s="565">
        <f>+(0.182*100)/1.25</f>
        <v>14.559999999999999</v>
      </c>
      <c r="L283" s="543" t="s">
        <v>1188</v>
      </c>
      <c r="M283" s="543"/>
      <c r="N283" s="543"/>
      <c r="O283" s="543"/>
      <c r="P283" s="49">
        <v>0</v>
      </c>
      <c r="Q283" s="543"/>
      <c r="R283" s="543"/>
      <c r="S283" s="543"/>
      <c r="T283" s="543"/>
      <c r="U283" s="543"/>
      <c r="V283" s="543"/>
      <c r="W283" s="543"/>
      <c r="X283" s="543"/>
      <c r="Y283" s="543"/>
      <c r="Z283" s="543"/>
      <c r="AA283" s="543"/>
      <c r="AB283" s="543"/>
      <c r="AC283" s="543"/>
      <c r="AD283" s="543"/>
      <c r="AE283" s="543"/>
      <c r="AF283" s="543"/>
      <c r="AG283" s="543"/>
      <c r="AH283" s="49">
        <v>0</v>
      </c>
      <c r="AI283" s="543"/>
      <c r="AJ283" s="543"/>
      <c r="AK283" s="532" t="s">
        <v>1043</v>
      </c>
      <c r="AL283" s="533" t="s">
        <v>1044</v>
      </c>
      <c r="AM283" s="554">
        <v>320</v>
      </c>
    </row>
    <row r="284" spans="1:39" ht="90" x14ac:dyDescent="0.25">
      <c r="A284" s="351"/>
      <c r="B284" s="352"/>
      <c r="C284" s="352"/>
      <c r="D284" s="158"/>
      <c r="E284" s="158"/>
      <c r="F284" s="529"/>
      <c r="G284" s="543" t="s">
        <v>1189</v>
      </c>
      <c r="H284" s="543"/>
      <c r="I284" s="543"/>
      <c r="J284" s="543" t="s">
        <v>1190</v>
      </c>
      <c r="K284" s="565">
        <v>14.56</v>
      </c>
      <c r="L284" s="543" t="s">
        <v>1191</v>
      </c>
      <c r="M284" s="543"/>
      <c r="N284" s="554">
        <v>0.21428571428571427</v>
      </c>
      <c r="O284" s="534"/>
      <c r="P284" s="162">
        <f>+O284/N284</f>
        <v>0</v>
      </c>
      <c r="Q284" s="534" t="s">
        <v>1192</v>
      </c>
      <c r="R284" s="534" t="s">
        <v>137</v>
      </c>
      <c r="S284" s="534" t="s">
        <v>194</v>
      </c>
      <c r="T284" s="534" t="s">
        <v>74</v>
      </c>
      <c r="U284" s="541">
        <v>380000000</v>
      </c>
      <c r="V284" s="541">
        <v>380000000</v>
      </c>
      <c r="W284" s="534"/>
      <c r="X284" s="534"/>
      <c r="Y284" s="534"/>
      <c r="Z284" s="534" t="s">
        <v>55</v>
      </c>
      <c r="AA284" s="534"/>
      <c r="AB284" s="534"/>
      <c r="AC284" s="534"/>
      <c r="AD284" s="534"/>
      <c r="AE284" s="534"/>
      <c r="AF284" s="541">
        <v>380000000</v>
      </c>
      <c r="AG284" s="541">
        <v>380000000</v>
      </c>
      <c r="AH284" s="162">
        <f t="shared" ref="AH284:AH285" si="55">+AG284/AF284</f>
        <v>1</v>
      </c>
      <c r="AI284" s="534" t="s">
        <v>1052</v>
      </c>
      <c r="AJ284" s="534" t="s">
        <v>1193</v>
      </c>
      <c r="AK284" s="532" t="s">
        <v>1043</v>
      </c>
      <c r="AL284" s="533" t="s">
        <v>1044</v>
      </c>
      <c r="AM284" s="554">
        <v>0.21428571428571427</v>
      </c>
    </row>
    <row r="285" spans="1:39" ht="112.5" x14ac:dyDescent="0.25">
      <c r="A285" s="351"/>
      <c r="B285" s="352"/>
      <c r="C285" s="352"/>
      <c r="D285" s="158"/>
      <c r="E285" s="158"/>
      <c r="F285" s="529"/>
      <c r="G285" s="543" t="s">
        <v>1194</v>
      </c>
      <c r="H285" s="543"/>
      <c r="I285" s="543"/>
      <c r="J285" s="543" t="s">
        <v>1195</v>
      </c>
      <c r="K285" s="539">
        <v>10.96</v>
      </c>
      <c r="L285" s="543">
        <v>0</v>
      </c>
      <c r="M285" s="543"/>
      <c r="N285" s="554">
        <v>1</v>
      </c>
      <c r="O285" s="534">
        <v>0</v>
      </c>
      <c r="P285" s="162">
        <f>+O285/N285</f>
        <v>0</v>
      </c>
      <c r="Q285" s="534" t="s">
        <v>1196</v>
      </c>
      <c r="R285" s="534" t="s">
        <v>285</v>
      </c>
      <c r="S285" s="534" t="s">
        <v>386</v>
      </c>
      <c r="T285" s="534" t="s">
        <v>1197</v>
      </c>
      <c r="U285" s="557">
        <v>150000000</v>
      </c>
      <c r="V285" s="557">
        <v>150000000</v>
      </c>
      <c r="W285" s="534"/>
      <c r="X285" s="534"/>
      <c r="Y285" s="534"/>
      <c r="Z285" s="534" t="s">
        <v>55</v>
      </c>
      <c r="AA285" s="534"/>
      <c r="AB285" s="534"/>
      <c r="AC285" s="534"/>
      <c r="AD285" s="534"/>
      <c r="AE285" s="534"/>
      <c r="AF285" s="557">
        <v>150000000</v>
      </c>
      <c r="AG285" s="557">
        <v>150000000</v>
      </c>
      <c r="AH285" s="162">
        <f t="shared" si="55"/>
        <v>1</v>
      </c>
      <c r="AI285" s="534"/>
      <c r="AJ285" s="534" t="s">
        <v>1198</v>
      </c>
      <c r="AK285" s="532" t="s">
        <v>1043</v>
      </c>
      <c r="AL285" s="533" t="s">
        <v>1044</v>
      </c>
      <c r="AM285" s="554">
        <v>0</v>
      </c>
    </row>
    <row r="286" spans="1:39" ht="78.75" x14ac:dyDescent="0.25">
      <c r="A286" s="351"/>
      <c r="B286" s="352"/>
      <c r="C286" s="352"/>
      <c r="D286" s="158"/>
      <c r="E286" s="158"/>
      <c r="F286" s="529"/>
      <c r="G286" s="529"/>
      <c r="H286" s="529"/>
      <c r="I286" s="529"/>
      <c r="J286" s="543" t="s">
        <v>1199</v>
      </c>
      <c r="K286" s="565">
        <f>+(0.135*100)/1.25</f>
        <v>10.8</v>
      </c>
      <c r="L286" s="543" t="s">
        <v>1200</v>
      </c>
      <c r="M286" s="543"/>
      <c r="N286" s="543"/>
      <c r="O286" s="543"/>
      <c r="P286" s="49">
        <v>0</v>
      </c>
      <c r="Q286" s="543"/>
      <c r="R286" s="543"/>
      <c r="S286" s="543"/>
      <c r="T286" s="543"/>
      <c r="U286" s="543"/>
      <c r="V286" s="543"/>
      <c r="W286" s="543"/>
      <c r="X286" s="543"/>
      <c r="Y286" s="543"/>
      <c r="Z286" s="543"/>
      <c r="AA286" s="543"/>
      <c r="AB286" s="543"/>
      <c r="AC286" s="543"/>
      <c r="AD286" s="543"/>
      <c r="AE286" s="543"/>
      <c r="AF286" s="543"/>
      <c r="AG286" s="543"/>
      <c r="AH286" s="49">
        <v>0</v>
      </c>
      <c r="AI286" s="543"/>
      <c r="AJ286" s="543"/>
      <c r="AK286" s="532" t="s">
        <v>1043</v>
      </c>
      <c r="AL286" s="533" t="s">
        <v>1044</v>
      </c>
      <c r="AM286" s="554">
        <v>1</v>
      </c>
    </row>
    <row r="287" spans="1:39" ht="45" x14ac:dyDescent="0.25">
      <c r="A287" s="351"/>
      <c r="B287" s="352"/>
      <c r="C287" s="352"/>
      <c r="D287" s="158"/>
      <c r="E287" s="158"/>
      <c r="F287" s="529"/>
      <c r="G287" s="529"/>
      <c r="H287" s="529"/>
      <c r="I287" s="529"/>
      <c r="J287" s="543" t="s">
        <v>1201</v>
      </c>
      <c r="K287" s="565">
        <f>+(0.02*100)/1.25</f>
        <v>1.6</v>
      </c>
      <c r="L287" s="543" t="s">
        <v>1202</v>
      </c>
      <c r="M287" s="543"/>
      <c r="N287" s="543"/>
      <c r="O287" s="543"/>
      <c r="P287" s="49">
        <v>0</v>
      </c>
      <c r="Q287" s="543"/>
      <c r="R287" s="543"/>
      <c r="S287" s="543"/>
      <c r="T287" s="543"/>
      <c r="U287" s="543"/>
      <c r="V287" s="543"/>
      <c r="W287" s="543"/>
      <c r="X287" s="543"/>
      <c r="Y287" s="543"/>
      <c r="Z287" s="543"/>
      <c r="AA287" s="543"/>
      <c r="AB287" s="543"/>
      <c r="AC287" s="543"/>
      <c r="AD287" s="543"/>
      <c r="AE287" s="543"/>
      <c r="AF287" s="543"/>
      <c r="AG287" s="543"/>
      <c r="AH287" s="49">
        <v>0</v>
      </c>
      <c r="AI287" s="543"/>
      <c r="AJ287" s="543"/>
      <c r="AK287" s="532" t="s">
        <v>1043</v>
      </c>
      <c r="AL287" s="533" t="s">
        <v>1044</v>
      </c>
      <c r="AM287" s="554">
        <v>0.16736661432275499</v>
      </c>
    </row>
    <row r="288" spans="1:39" ht="56.25" x14ac:dyDescent="0.25">
      <c r="A288" s="351"/>
      <c r="B288" s="352"/>
      <c r="C288" s="352"/>
      <c r="D288" s="158"/>
      <c r="E288" s="158"/>
      <c r="F288" s="529"/>
      <c r="G288" s="529"/>
      <c r="H288" s="529"/>
      <c r="I288" s="529"/>
      <c r="J288" s="543" t="s">
        <v>1203</v>
      </c>
      <c r="K288" s="565">
        <f>+(0.185*100)/1.25</f>
        <v>14.8</v>
      </c>
      <c r="L288" s="543" t="s">
        <v>1204</v>
      </c>
      <c r="M288" s="543"/>
      <c r="N288" s="543"/>
      <c r="O288" s="543"/>
      <c r="P288" s="49">
        <v>0</v>
      </c>
      <c r="Q288" s="543"/>
      <c r="R288" s="543"/>
      <c r="S288" s="543"/>
      <c r="T288" s="543"/>
      <c r="U288" s="543"/>
      <c r="V288" s="543"/>
      <c r="W288" s="543"/>
      <c r="X288" s="543"/>
      <c r="Y288" s="543"/>
      <c r="Z288" s="543"/>
      <c r="AA288" s="543"/>
      <c r="AB288" s="543"/>
      <c r="AC288" s="543"/>
      <c r="AD288" s="543"/>
      <c r="AE288" s="543"/>
      <c r="AF288" s="543"/>
      <c r="AG288" s="543"/>
      <c r="AH288" s="49">
        <v>0</v>
      </c>
      <c r="AI288" s="543"/>
      <c r="AJ288" s="543"/>
      <c r="AK288" s="532" t="s">
        <v>1043</v>
      </c>
      <c r="AL288" s="533" t="s">
        <v>1044</v>
      </c>
      <c r="AM288" s="554">
        <v>6</v>
      </c>
    </row>
    <row r="289" spans="1:39" ht="112.5" x14ac:dyDescent="0.25">
      <c r="A289" s="351"/>
      <c r="B289" s="352"/>
      <c r="C289" s="352"/>
      <c r="D289" s="158"/>
      <c r="E289" s="158"/>
      <c r="F289" s="529"/>
      <c r="G289" s="543" t="s">
        <v>1205</v>
      </c>
      <c r="H289" s="543"/>
      <c r="I289" s="543"/>
      <c r="J289" s="543" t="s">
        <v>1206</v>
      </c>
      <c r="K289" s="565">
        <f>+(0.314*100)/1.25</f>
        <v>25.119999999999997</v>
      </c>
      <c r="L289" s="543" t="s">
        <v>1207</v>
      </c>
      <c r="M289" s="543"/>
      <c r="N289" s="554">
        <v>15.4</v>
      </c>
      <c r="O289" s="534" t="s">
        <v>1208</v>
      </c>
      <c r="P289" s="162">
        <v>0.3</v>
      </c>
      <c r="Q289" s="534" t="s">
        <v>1209</v>
      </c>
      <c r="R289" s="534" t="s">
        <v>321</v>
      </c>
      <c r="S289" s="534" t="s">
        <v>89</v>
      </c>
      <c r="T289" s="534" t="s">
        <v>90</v>
      </c>
      <c r="U289" s="541">
        <v>150000000</v>
      </c>
      <c r="V289" s="541">
        <v>150000000</v>
      </c>
      <c r="W289" s="534" t="s">
        <v>55</v>
      </c>
      <c r="X289" s="534"/>
      <c r="Y289" s="534"/>
      <c r="Z289" s="534" t="s">
        <v>55</v>
      </c>
      <c r="AA289" s="534"/>
      <c r="AB289" s="534"/>
      <c r="AC289" s="534"/>
      <c r="AD289" s="534"/>
      <c r="AE289" s="534"/>
      <c r="AF289" s="541">
        <v>150000000</v>
      </c>
      <c r="AG289" s="541">
        <v>150000000</v>
      </c>
      <c r="AH289" s="162">
        <f t="shared" ref="AH289:AH291" si="56">+AG289/AF289</f>
        <v>1</v>
      </c>
      <c r="AI289" s="534" t="s">
        <v>1210</v>
      </c>
      <c r="AJ289" s="543"/>
      <c r="AK289" s="532" t="s">
        <v>1043</v>
      </c>
      <c r="AL289" s="533" t="s">
        <v>1044</v>
      </c>
      <c r="AM289" s="554">
        <v>15.4</v>
      </c>
    </row>
    <row r="290" spans="1:39" ht="67.5" x14ac:dyDescent="0.25">
      <c r="A290" s="351"/>
      <c r="B290" s="352"/>
      <c r="C290" s="352"/>
      <c r="D290" s="158"/>
      <c r="E290" s="158"/>
      <c r="F290" s="529"/>
      <c r="G290" s="543" t="s">
        <v>1211</v>
      </c>
      <c r="H290" s="543"/>
      <c r="I290" s="543"/>
      <c r="J290" s="528" t="s">
        <v>1212</v>
      </c>
      <c r="K290" s="537">
        <v>1.68</v>
      </c>
      <c r="L290" s="528" t="s">
        <v>1213</v>
      </c>
      <c r="M290" s="528"/>
      <c r="N290" s="555">
        <v>5</v>
      </c>
      <c r="O290" s="566"/>
      <c r="P290" s="567">
        <f>+O290/N290</f>
        <v>0</v>
      </c>
      <c r="Q290" s="534" t="s">
        <v>1214</v>
      </c>
      <c r="R290" s="534" t="s">
        <v>1215</v>
      </c>
      <c r="S290" s="534" t="s">
        <v>1170</v>
      </c>
      <c r="T290" s="534" t="s">
        <v>1170</v>
      </c>
      <c r="U290" s="541">
        <v>100000000</v>
      </c>
      <c r="V290" s="541">
        <v>100000000</v>
      </c>
      <c r="W290" s="534" t="s">
        <v>55</v>
      </c>
      <c r="X290" s="534"/>
      <c r="Y290" s="534"/>
      <c r="Z290" s="534"/>
      <c r="AA290" s="534"/>
      <c r="AB290" s="534"/>
      <c r="AC290" s="534"/>
      <c r="AD290" s="534"/>
      <c r="AE290" s="534"/>
      <c r="AF290" s="541">
        <v>100000000</v>
      </c>
      <c r="AG290" s="542">
        <v>90402101</v>
      </c>
      <c r="AH290" s="162">
        <f t="shared" si="56"/>
        <v>0.90402101000000001</v>
      </c>
      <c r="AI290" s="534"/>
      <c r="AJ290" s="534" t="s">
        <v>1216</v>
      </c>
      <c r="AK290" s="532" t="s">
        <v>1043</v>
      </c>
      <c r="AL290" s="533" t="s">
        <v>1044</v>
      </c>
      <c r="AM290" s="554">
        <v>5</v>
      </c>
    </row>
    <row r="291" spans="1:39" ht="123.75" x14ac:dyDescent="0.25">
      <c r="A291" s="351"/>
      <c r="B291" s="352"/>
      <c r="C291" s="352"/>
      <c r="D291" s="158"/>
      <c r="E291" s="158"/>
      <c r="F291" s="529"/>
      <c r="G291" s="543" t="s">
        <v>1217</v>
      </c>
      <c r="H291" s="543"/>
      <c r="I291" s="543"/>
      <c r="J291" s="550"/>
      <c r="K291" s="529"/>
      <c r="L291" s="529"/>
      <c r="M291" s="529"/>
      <c r="N291" s="566"/>
      <c r="O291" s="566"/>
      <c r="P291" s="568"/>
      <c r="Q291" s="534" t="s">
        <v>1218</v>
      </c>
      <c r="R291" s="534" t="s">
        <v>1219</v>
      </c>
      <c r="S291" s="534" t="s">
        <v>1061</v>
      </c>
      <c r="T291" s="534" t="s">
        <v>1061</v>
      </c>
      <c r="U291" s="569">
        <v>286055410</v>
      </c>
      <c r="V291" s="569">
        <v>286055410</v>
      </c>
      <c r="W291" s="534"/>
      <c r="X291" s="534" t="s">
        <v>55</v>
      </c>
      <c r="Y291" s="534"/>
      <c r="Z291" s="534"/>
      <c r="AA291" s="534"/>
      <c r="AB291" s="534"/>
      <c r="AC291" s="534"/>
      <c r="AD291" s="534"/>
      <c r="AE291" s="534"/>
      <c r="AF291" s="569">
        <v>286055410</v>
      </c>
      <c r="AG291" s="542">
        <v>143098004.84</v>
      </c>
      <c r="AH291" s="162">
        <f t="shared" si="56"/>
        <v>0.50024575602328236</v>
      </c>
      <c r="AI291" s="534"/>
      <c r="AJ291" s="534" t="s">
        <v>1220</v>
      </c>
      <c r="AK291" s="532"/>
      <c r="AL291" s="533"/>
      <c r="AM291" s="554"/>
    </row>
    <row r="292" spans="1:39" ht="56.25" x14ac:dyDescent="0.25">
      <c r="A292" s="351"/>
      <c r="B292" s="352"/>
      <c r="C292" s="352"/>
      <c r="D292" s="158"/>
      <c r="E292" s="158"/>
      <c r="F292" s="529"/>
      <c r="G292" s="529"/>
      <c r="H292" s="529"/>
      <c r="I292" s="529"/>
      <c r="J292" s="543" t="s">
        <v>1221</v>
      </c>
      <c r="K292" s="565">
        <f>+(0.03*100)/1.25</f>
        <v>2.4</v>
      </c>
      <c r="L292" s="543" t="s">
        <v>1222</v>
      </c>
      <c r="M292" s="543"/>
      <c r="N292" s="543"/>
      <c r="O292" s="543"/>
      <c r="P292" s="567">
        <v>0</v>
      </c>
      <c r="Q292" s="543"/>
      <c r="R292" s="543"/>
      <c r="S292" s="543"/>
      <c r="T292" s="543"/>
      <c r="U292" s="543"/>
      <c r="V292" s="543"/>
      <c r="W292" s="543"/>
      <c r="X292" s="543"/>
      <c r="Y292" s="543"/>
      <c r="Z292" s="543"/>
      <c r="AA292" s="543"/>
      <c r="AB292" s="543"/>
      <c r="AC292" s="543"/>
      <c r="AD292" s="543"/>
      <c r="AE292" s="543"/>
      <c r="AF292" s="543"/>
      <c r="AG292" s="543"/>
      <c r="AH292" s="567">
        <v>0</v>
      </c>
      <c r="AI292" s="543"/>
      <c r="AJ292" s="543"/>
      <c r="AK292" s="532" t="s">
        <v>1043</v>
      </c>
      <c r="AL292" s="533" t="s">
        <v>1044</v>
      </c>
      <c r="AM292" s="554">
        <v>0</v>
      </c>
    </row>
    <row r="293" spans="1:39" ht="56.25" x14ac:dyDescent="0.25">
      <c r="A293" s="351"/>
      <c r="B293" s="352"/>
      <c r="C293" s="352"/>
      <c r="D293" s="158"/>
      <c r="E293" s="158"/>
      <c r="F293" s="529"/>
      <c r="G293" s="529"/>
      <c r="H293" s="529"/>
      <c r="I293" s="529"/>
      <c r="J293" s="543" t="s">
        <v>1223</v>
      </c>
      <c r="K293" s="565">
        <f>+(0.03*100)/1.25</f>
        <v>2.4</v>
      </c>
      <c r="L293" s="543" t="s">
        <v>1224</v>
      </c>
      <c r="M293" s="543"/>
      <c r="N293" s="543"/>
      <c r="O293" s="543"/>
      <c r="P293" s="567">
        <v>0</v>
      </c>
      <c r="Q293" s="543"/>
      <c r="R293" s="543"/>
      <c r="S293" s="543"/>
      <c r="T293" s="543"/>
      <c r="U293" s="543"/>
      <c r="V293" s="543"/>
      <c r="W293" s="543"/>
      <c r="X293" s="543"/>
      <c r="Y293" s="543"/>
      <c r="Z293" s="543"/>
      <c r="AA293" s="543"/>
      <c r="AB293" s="543"/>
      <c r="AC293" s="543"/>
      <c r="AD293" s="543"/>
      <c r="AE293" s="543"/>
      <c r="AF293" s="543"/>
      <c r="AG293" s="543"/>
      <c r="AH293" s="567">
        <v>0</v>
      </c>
      <c r="AI293" s="543"/>
      <c r="AJ293" s="543"/>
      <c r="AK293" s="532" t="s">
        <v>1043</v>
      </c>
      <c r="AL293" s="533" t="s">
        <v>1044</v>
      </c>
      <c r="AM293" s="554">
        <v>0</v>
      </c>
    </row>
    <row r="294" spans="1:39" ht="45" x14ac:dyDescent="0.25">
      <c r="A294" s="351"/>
      <c r="B294" s="352"/>
      <c r="C294" s="352"/>
      <c r="D294" s="158"/>
      <c r="E294" s="158"/>
      <c r="F294" s="550"/>
      <c r="G294" s="550"/>
      <c r="H294" s="550"/>
      <c r="I294" s="550"/>
      <c r="J294" s="543" t="s">
        <v>1225</v>
      </c>
      <c r="K294" s="565">
        <f>+(0.03*100)/1.25</f>
        <v>2.4</v>
      </c>
      <c r="L294" s="543" t="s">
        <v>1226</v>
      </c>
      <c r="M294" s="543"/>
      <c r="N294" s="543"/>
      <c r="O294" s="543"/>
      <c r="P294" s="567">
        <v>0</v>
      </c>
      <c r="Q294" s="543"/>
      <c r="R294" s="543"/>
      <c r="S294" s="543"/>
      <c r="T294" s="543"/>
      <c r="U294" s="543"/>
      <c r="V294" s="543"/>
      <c r="W294" s="543"/>
      <c r="X294" s="543"/>
      <c r="Y294" s="543"/>
      <c r="Z294" s="543"/>
      <c r="AA294" s="543"/>
      <c r="AB294" s="543"/>
      <c r="AC294" s="543"/>
      <c r="AD294" s="543"/>
      <c r="AE294" s="543"/>
      <c r="AF294" s="543"/>
      <c r="AG294" s="543"/>
      <c r="AH294" s="567">
        <v>0</v>
      </c>
      <c r="AI294" s="543"/>
      <c r="AJ294" s="543"/>
      <c r="AK294" s="532" t="s">
        <v>1043</v>
      </c>
      <c r="AL294" s="533" t="s">
        <v>1044</v>
      </c>
      <c r="AM294" s="554">
        <v>0</v>
      </c>
    </row>
    <row r="295" spans="1:39" ht="33.75" x14ac:dyDescent="0.25">
      <c r="A295" s="351"/>
      <c r="B295" s="352"/>
      <c r="C295" s="352"/>
      <c r="D295" s="158"/>
      <c r="E295" s="158"/>
      <c r="F295" s="110" t="s">
        <v>158</v>
      </c>
      <c r="G295" s="201"/>
      <c r="H295" s="201"/>
      <c r="I295" s="201"/>
      <c r="J295" s="112"/>
      <c r="K295" s="235">
        <f>SUM(K283:K294)</f>
        <v>101.28000000000003</v>
      </c>
      <c r="L295" s="143"/>
      <c r="M295" s="143"/>
      <c r="N295" s="143"/>
      <c r="O295" s="143"/>
      <c r="P295" s="143"/>
      <c r="Q295" s="143"/>
      <c r="R295" s="143"/>
      <c r="S295" s="143"/>
      <c r="T295" s="143"/>
      <c r="U295" s="143"/>
      <c r="V295" s="143"/>
      <c r="W295" s="143"/>
      <c r="X295" s="143"/>
      <c r="Y295" s="143"/>
      <c r="Z295" s="143"/>
      <c r="AA295" s="143"/>
      <c r="AB295" s="143"/>
      <c r="AC295" s="143"/>
      <c r="AD295" s="143"/>
      <c r="AE295" s="143"/>
      <c r="AF295" s="143"/>
      <c r="AG295" s="143"/>
      <c r="AH295" s="143"/>
      <c r="AI295" s="143"/>
      <c r="AJ295" s="143"/>
      <c r="AK295" s="143"/>
      <c r="AL295" s="146"/>
      <c r="AM295" s="143"/>
    </row>
    <row r="296" spans="1:39" ht="33.75" x14ac:dyDescent="0.25">
      <c r="A296" s="351"/>
      <c r="B296" s="352"/>
      <c r="C296" s="352"/>
      <c r="D296" s="158"/>
      <c r="E296" s="158"/>
      <c r="F296" s="570" t="s">
        <v>1227</v>
      </c>
      <c r="G296" s="571"/>
      <c r="H296" s="571"/>
      <c r="I296" s="571"/>
      <c r="J296" s="572" t="s">
        <v>1228</v>
      </c>
      <c r="K296" s="573">
        <f>+(0.06*100)/1.25</f>
        <v>4.8</v>
      </c>
      <c r="L296" s="572" t="s">
        <v>1229</v>
      </c>
      <c r="M296" s="572"/>
      <c r="N296" s="572"/>
      <c r="O296" s="572"/>
      <c r="P296" s="567">
        <v>0</v>
      </c>
      <c r="Q296" s="572"/>
      <c r="R296" s="572"/>
      <c r="S296" s="572"/>
      <c r="T296" s="572"/>
      <c r="U296" s="572"/>
      <c r="V296" s="572"/>
      <c r="W296" s="572"/>
      <c r="X296" s="572"/>
      <c r="Y296" s="572"/>
      <c r="Z296" s="572"/>
      <c r="AA296" s="572"/>
      <c r="AB296" s="572"/>
      <c r="AC296" s="572"/>
      <c r="AD296" s="572"/>
      <c r="AE296" s="572"/>
      <c r="AF296" s="572"/>
      <c r="AG296" s="572"/>
      <c r="AH296" s="567">
        <v>0</v>
      </c>
      <c r="AI296" s="572"/>
      <c r="AJ296" s="572"/>
      <c r="AK296" s="141" t="s">
        <v>1043</v>
      </c>
      <c r="AL296" s="574" t="s">
        <v>1044</v>
      </c>
      <c r="AM296" s="575">
        <v>0</v>
      </c>
    </row>
    <row r="297" spans="1:39" ht="56.25" x14ac:dyDescent="0.25">
      <c r="A297" s="351"/>
      <c r="B297" s="352"/>
      <c r="C297" s="352"/>
      <c r="D297" s="158"/>
      <c r="E297" s="158"/>
      <c r="F297" s="571"/>
      <c r="G297" s="571"/>
      <c r="H297" s="571"/>
      <c r="I297" s="571"/>
      <c r="J297" s="572" t="s">
        <v>1230</v>
      </c>
      <c r="K297" s="573">
        <f>+(0.158*100)/1.25</f>
        <v>12.64</v>
      </c>
      <c r="L297" s="572" t="s">
        <v>1231</v>
      </c>
      <c r="M297" s="572"/>
      <c r="N297" s="572"/>
      <c r="O297" s="572"/>
      <c r="P297" s="567">
        <v>0</v>
      </c>
      <c r="Q297" s="572"/>
      <c r="R297" s="572"/>
      <c r="S297" s="572"/>
      <c r="T297" s="572"/>
      <c r="U297" s="572"/>
      <c r="V297" s="572"/>
      <c r="W297" s="572"/>
      <c r="X297" s="572"/>
      <c r="Y297" s="572"/>
      <c r="Z297" s="572"/>
      <c r="AA297" s="572"/>
      <c r="AB297" s="572"/>
      <c r="AC297" s="572"/>
      <c r="AD297" s="572"/>
      <c r="AE297" s="572"/>
      <c r="AF297" s="572"/>
      <c r="AG297" s="572"/>
      <c r="AH297" s="567">
        <v>0</v>
      </c>
      <c r="AI297" s="572"/>
      <c r="AJ297" s="572"/>
      <c r="AK297" s="141" t="s">
        <v>1043</v>
      </c>
      <c r="AL297" s="574" t="s">
        <v>1044</v>
      </c>
      <c r="AM297" s="575">
        <v>0</v>
      </c>
    </row>
    <row r="298" spans="1:39" ht="56.25" x14ac:dyDescent="0.25">
      <c r="A298" s="351"/>
      <c r="B298" s="352"/>
      <c r="C298" s="352"/>
      <c r="D298" s="158"/>
      <c r="E298" s="158"/>
      <c r="F298" s="571"/>
      <c r="G298" s="571"/>
      <c r="H298" s="571"/>
      <c r="I298" s="571"/>
      <c r="J298" s="572" t="s">
        <v>1232</v>
      </c>
      <c r="K298" s="573">
        <f>+(0.485*100)/1.25</f>
        <v>38.799999999999997</v>
      </c>
      <c r="L298" s="576" t="s">
        <v>1233</v>
      </c>
      <c r="M298" s="576"/>
      <c r="N298" s="576"/>
      <c r="O298" s="576"/>
      <c r="P298" s="567">
        <v>0</v>
      </c>
      <c r="Q298" s="572"/>
      <c r="R298" s="572"/>
      <c r="S298" s="572"/>
      <c r="T298" s="572"/>
      <c r="U298" s="572"/>
      <c r="V298" s="572"/>
      <c r="W298" s="572"/>
      <c r="X298" s="572"/>
      <c r="Y298" s="572"/>
      <c r="Z298" s="572"/>
      <c r="AA298" s="572"/>
      <c r="AB298" s="572"/>
      <c r="AC298" s="572"/>
      <c r="AD298" s="572"/>
      <c r="AE298" s="572"/>
      <c r="AF298" s="572"/>
      <c r="AG298" s="572"/>
      <c r="AH298" s="567">
        <v>0</v>
      </c>
      <c r="AI298" s="576"/>
      <c r="AJ298" s="576"/>
      <c r="AK298" s="141" t="s">
        <v>1043</v>
      </c>
      <c r="AL298" s="574" t="s">
        <v>1044</v>
      </c>
      <c r="AM298" s="575">
        <v>7</v>
      </c>
    </row>
    <row r="299" spans="1:39" ht="56.25" x14ac:dyDescent="0.25">
      <c r="A299" s="351"/>
      <c r="B299" s="352"/>
      <c r="C299" s="352"/>
      <c r="D299" s="158"/>
      <c r="E299" s="158"/>
      <c r="F299" s="571"/>
      <c r="G299" s="571"/>
      <c r="H299" s="571"/>
      <c r="I299" s="571"/>
      <c r="J299" s="572" t="s">
        <v>1234</v>
      </c>
      <c r="K299" s="573">
        <f>+(0.12*100)/1.25</f>
        <v>9.6</v>
      </c>
      <c r="L299" s="576" t="s">
        <v>1235</v>
      </c>
      <c r="M299" s="576"/>
      <c r="N299" s="576"/>
      <c r="O299" s="576"/>
      <c r="P299" s="567">
        <v>0</v>
      </c>
      <c r="Q299" s="572"/>
      <c r="R299" s="572"/>
      <c r="S299" s="572"/>
      <c r="T299" s="572"/>
      <c r="U299" s="572"/>
      <c r="V299" s="572"/>
      <c r="W299" s="572"/>
      <c r="X299" s="572"/>
      <c r="Y299" s="572"/>
      <c r="Z299" s="572"/>
      <c r="AA299" s="572"/>
      <c r="AB299" s="572"/>
      <c r="AC299" s="572"/>
      <c r="AD299" s="572"/>
      <c r="AE299" s="572"/>
      <c r="AF299" s="572"/>
      <c r="AG299" s="572"/>
      <c r="AH299" s="567">
        <v>0</v>
      </c>
      <c r="AI299" s="576"/>
      <c r="AJ299" s="576"/>
      <c r="AK299" s="141" t="s">
        <v>1043</v>
      </c>
      <c r="AL299" s="574" t="s">
        <v>1044</v>
      </c>
      <c r="AM299" s="575">
        <v>7</v>
      </c>
    </row>
    <row r="300" spans="1:39" ht="45" x14ac:dyDescent="0.25">
      <c r="A300" s="351"/>
      <c r="B300" s="352"/>
      <c r="C300" s="352"/>
      <c r="D300" s="158"/>
      <c r="E300" s="158"/>
      <c r="F300" s="571"/>
      <c r="G300" s="571"/>
      <c r="H300" s="571"/>
      <c r="I300" s="571"/>
      <c r="J300" s="572" t="s">
        <v>1236</v>
      </c>
      <c r="K300" s="573">
        <f>+(0.1*100)/1.25</f>
        <v>8</v>
      </c>
      <c r="L300" s="577" t="s">
        <v>1237</v>
      </c>
      <c r="M300" s="577"/>
      <c r="N300" s="577"/>
      <c r="O300" s="577"/>
      <c r="P300" s="567">
        <v>0</v>
      </c>
      <c r="Q300" s="572"/>
      <c r="R300" s="572"/>
      <c r="S300" s="572"/>
      <c r="T300" s="572"/>
      <c r="U300" s="572"/>
      <c r="V300" s="572"/>
      <c r="W300" s="572"/>
      <c r="X300" s="572"/>
      <c r="Y300" s="572"/>
      <c r="Z300" s="572"/>
      <c r="AA300" s="572"/>
      <c r="AB300" s="572"/>
      <c r="AC300" s="572"/>
      <c r="AD300" s="572"/>
      <c r="AE300" s="572"/>
      <c r="AF300" s="572"/>
      <c r="AG300" s="572"/>
      <c r="AH300" s="567">
        <v>0</v>
      </c>
      <c r="AI300" s="577"/>
      <c r="AJ300" s="577"/>
      <c r="AK300" s="141" t="s">
        <v>1043</v>
      </c>
      <c r="AL300" s="574" t="s">
        <v>1044</v>
      </c>
      <c r="AM300" s="575">
        <v>1</v>
      </c>
    </row>
    <row r="301" spans="1:39" ht="135" x14ac:dyDescent="0.25">
      <c r="A301" s="351"/>
      <c r="B301" s="352"/>
      <c r="C301" s="352"/>
      <c r="D301" s="158"/>
      <c r="E301" s="158"/>
      <c r="F301" s="571"/>
      <c r="G301" s="578" t="s">
        <v>1238</v>
      </c>
      <c r="H301" s="578"/>
      <c r="I301" s="578"/>
      <c r="J301" s="572" t="s">
        <v>1239</v>
      </c>
      <c r="K301" s="573">
        <f>+(0.075*100)/1.25</f>
        <v>6</v>
      </c>
      <c r="L301" s="577" t="s">
        <v>1240</v>
      </c>
      <c r="M301" s="577"/>
      <c r="N301" s="575">
        <v>1</v>
      </c>
      <c r="O301" s="575">
        <v>1</v>
      </c>
      <c r="P301" s="119">
        <f>+O301/N301</f>
        <v>1</v>
      </c>
      <c r="Q301" s="575" t="s">
        <v>1241</v>
      </c>
      <c r="R301" s="575" t="s">
        <v>1242</v>
      </c>
      <c r="S301" s="575" t="s">
        <v>90</v>
      </c>
      <c r="T301" s="575" t="s">
        <v>516</v>
      </c>
      <c r="U301" s="579">
        <v>60000000</v>
      </c>
      <c r="V301" s="579">
        <v>60000000</v>
      </c>
      <c r="W301" s="575"/>
      <c r="X301" s="575"/>
      <c r="Y301" s="575"/>
      <c r="Z301" s="575" t="s">
        <v>55</v>
      </c>
      <c r="AA301" s="575"/>
      <c r="AB301" s="575"/>
      <c r="AC301" s="575"/>
      <c r="AD301" s="575"/>
      <c r="AE301" s="575"/>
      <c r="AF301" s="579">
        <v>60000000</v>
      </c>
      <c r="AG301" s="580">
        <v>59999840</v>
      </c>
      <c r="AH301" s="119">
        <f t="shared" ref="AH301" si="57">+AG301/AF301</f>
        <v>0.99999733333333329</v>
      </c>
      <c r="AI301" s="575" t="s">
        <v>1243</v>
      </c>
      <c r="AJ301" s="575" t="s">
        <v>1244</v>
      </c>
      <c r="AK301" s="141" t="s">
        <v>1043</v>
      </c>
      <c r="AL301" s="574" t="s">
        <v>1044</v>
      </c>
      <c r="AM301" s="575">
        <v>0</v>
      </c>
    </row>
    <row r="302" spans="1:39" ht="56.25" x14ac:dyDescent="0.25">
      <c r="A302" s="351"/>
      <c r="B302" s="352"/>
      <c r="C302" s="352"/>
      <c r="D302" s="158"/>
      <c r="E302" s="158"/>
      <c r="F302" s="571"/>
      <c r="G302" s="571"/>
      <c r="H302" s="571"/>
      <c r="I302" s="571"/>
      <c r="J302" s="572" t="s">
        <v>1245</v>
      </c>
      <c r="K302" s="573">
        <f>+(0.251*100)/1.25</f>
        <v>20.080000000000002</v>
      </c>
      <c r="L302" s="577" t="s">
        <v>1246</v>
      </c>
      <c r="M302" s="577"/>
      <c r="N302" s="577"/>
      <c r="O302" s="577"/>
      <c r="P302" s="581"/>
      <c r="Q302" s="577"/>
      <c r="R302" s="577"/>
      <c r="S302" s="577"/>
      <c r="T302" s="577"/>
      <c r="U302" s="577"/>
      <c r="V302" s="577"/>
      <c r="W302" s="577"/>
      <c r="X302" s="577"/>
      <c r="Y302" s="577"/>
      <c r="Z302" s="577"/>
      <c r="AA302" s="577"/>
      <c r="AB302" s="577"/>
      <c r="AC302" s="577"/>
      <c r="AD302" s="577"/>
      <c r="AE302" s="577"/>
      <c r="AF302" s="577"/>
      <c r="AG302" s="577"/>
      <c r="AH302" s="581"/>
      <c r="AI302" s="577"/>
      <c r="AJ302" s="577"/>
      <c r="AK302" s="141" t="s">
        <v>1043</v>
      </c>
      <c r="AL302" s="574" t="s">
        <v>1044</v>
      </c>
      <c r="AM302" s="575">
        <v>1</v>
      </c>
    </row>
    <row r="303" spans="1:39" ht="33.75" x14ac:dyDescent="0.25">
      <c r="A303" s="351"/>
      <c r="B303" s="352"/>
      <c r="C303" s="352"/>
      <c r="D303" s="158"/>
      <c r="E303" s="158"/>
      <c r="F303" s="110" t="s">
        <v>158</v>
      </c>
      <c r="G303" s="110"/>
      <c r="H303" s="110"/>
      <c r="I303" s="110"/>
      <c r="J303" s="112"/>
      <c r="K303" s="582">
        <f>SUM(K296:K302)</f>
        <v>99.919999999999987</v>
      </c>
      <c r="L303" s="112"/>
      <c r="M303" s="112"/>
      <c r="N303" s="112"/>
      <c r="O303" s="112"/>
      <c r="P303" s="112"/>
      <c r="Q303" s="112"/>
      <c r="R303" s="112"/>
      <c r="S303" s="112"/>
      <c r="T303" s="112"/>
      <c r="U303" s="112"/>
      <c r="V303" s="112"/>
      <c r="W303" s="112"/>
      <c r="X303" s="112"/>
      <c r="Y303" s="112"/>
      <c r="Z303" s="112"/>
      <c r="AA303" s="112"/>
      <c r="AB303" s="112"/>
      <c r="AC303" s="112"/>
      <c r="AD303" s="112"/>
      <c r="AE303" s="112"/>
      <c r="AF303" s="112"/>
      <c r="AG303" s="112"/>
      <c r="AH303" s="112"/>
      <c r="AI303" s="112"/>
      <c r="AJ303" s="112"/>
      <c r="AK303" s="143"/>
      <c r="AL303" s="146"/>
      <c r="AM303" s="144"/>
    </row>
    <row r="304" spans="1:39" ht="180" x14ac:dyDescent="0.25">
      <c r="A304" s="351"/>
      <c r="B304" s="352"/>
      <c r="C304" s="352"/>
      <c r="D304" s="170"/>
      <c r="E304" s="170"/>
      <c r="F304" s="576" t="s">
        <v>1247</v>
      </c>
      <c r="G304" s="583" t="s">
        <v>1248</v>
      </c>
      <c r="H304" s="584" t="s">
        <v>1249</v>
      </c>
      <c r="I304" s="584" t="s">
        <v>1250</v>
      </c>
      <c r="J304" s="585" t="s">
        <v>1251</v>
      </c>
      <c r="K304" s="586">
        <v>100</v>
      </c>
      <c r="L304" s="585" t="s">
        <v>1252</v>
      </c>
      <c r="M304" s="585"/>
      <c r="N304" s="587">
        <v>15.471223747437588</v>
      </c>
      <c r="O304" s="587">
        <v>15.471223747437588</v>
      </c>
      <c r="P304" s="55">
        <f>+O304/N304</f>
        <v>1</v>
      </c>
      <c r="Q304" s="583" t="s">
        <v>1253</v>
      </c>
      <c r="R304" s="588" t="s">
        <v>1254</v>
      </c>
      <c r="S304" s="588" t="s">
        <v>548</v>
      </c>
      <c r="T304" s="588" t="s">
        <v>90</v>
      </c>
      <c r="U304" s="589">
        <v>3386951439</v>
      </c>
      <c r="V304" s="589">
        <v>3386951439</v>
      </c>
      <c r="W304" s="588"/>
      <c r="X304" s="588"/>
      <c r="Y304" s="588" t="s">
        <v>55</v>
      </c>
      <c r="Z304" s="588"/>
      <c r="AA304" s="588"/>
      <c r="AB304" s="588"/>
      <c r="AC304" s="588"/>
      <c r="AD304" s="588"/>
      <c r="AE304" s="588"/>
      <c r="AF304" s="589">
        <v>3386951439</v>
      </c>
      <c r="AG304" s="580">
        <v>3306565202</v>
      </c>
      <c r="AH304" s="162">
        <f>+AG304/AF304</f>
        <v>0.97626590211056163</v>
      </c>
      <c r="AI304" s="588"/>
      <c r="AJ304" s="588"/>
      <c r="AK304" s="141" t="s">
        <v>1043</v>
      </c>
      <c r="AL304" s="574" t="s">
        <v>1044</v>
      </c>
      <c r="AM304" s="588">
        <v>15.471223747437588</v>
      </c>
    </row>
    <row r="305" spans="1:39" ht="236.25" x14ac:dyDescent="0.25">
      <c r="A305" s="351"/>
      <c r="B305" s="352"/>
      <c r="C305" s="352"/>
      <c r="D305" s="170"/>
      <c r="E305" s="170"/>
      <c r="F305" s="576"/>
      <c r="G305" s="583" t="s">
        <v>1255</v>
      </c>
      <c r="H305" s="584" t="s">
        <v>1249</v>
      </c>
      <c r="I305" s="584" t="s">
        <v>1250</v>
      </c>
      <c r="J305" s="590"/>
      <c r="K305" s="590"/>
      <c r="L305" s="590"/>
      <c r="M305" s="590"/>
      <c r="N305" s="590"/>
      <c r="O305" s="590"/>
      <c r="P305" s="591"/>
      <c r="Q305" s="583" t="s">
        <v>1253</v>
      </c>
      <c r="R305" s="588" t="s">
        <v>1254</v>
      </c>
      <c r="S305" s="588" t="s">
        <v>548</v>
      </c>
      <c r="T305" s="588" t="s">
        <v>90</v>
      </c>
      <c r="U305" s="589">
        <v>94226135</v>
      </c>
      <c r="V305" s="589">
        <v>94226135</v>
      </c>
      <c r="W305" s="588"/>
      <c r="X305" s="588"/>
      <c r="Y305" s="588"/>
      <c r="Z305" s="588"/>
      <c r="AA305" s="588"/>
      <c r="AB305" s="588"/>
      <c r="AC305" s="588"/>
      <c r="AD305" s="588"/>
      <c r="AE305" s="588"/>
      <c r="AF305" s="589">
        <v>94226135</v>
      </c>
      <c r="AG305" s="580">
        <v>73526510</v>
      </c>
      <c r="AH305" s="162">
        <f t="shared" ref="AH305:AH368" si="58">+AG305/AF305</f>
        <v>0.78031970641690862</v>
      </c>
      <c r="AI305" s="588"/>
      <c r="AJ305" s="588"/>
      <c r="AK305" s="141"/>
      <c r="AL305" s="574"/>
      <c r="AM305" s="588"/>
    </row>
    <row r="306" spans="1:39" ht="180" x14ac:dyDescent="0.25">
      <c r="A306" s="351"/>
      <c r="B306" s="352"/>
      <c r="C306" s="352"/>
      <c r="D306" s="170"/>
      <c r="E306" s="170"/>
      <c r="F306" s="576"/>
      <c r="G306" s="583" t="s">
        <v>1256</v>
      </c>
      <c r="H306" s="584" t="s">
        <v>1249</v>
      </c>
      <c r="I306" s="584" t="s">
        <v>1250</v>
      </c>
      <c r="J306" s="590"/>
      <c r="K306" s="590"/>
      <c r="L306" s="590"/>
      <c r="M306" s="590"/>
      <c r="N306" s="590"/>
      <c r="O306" s="590"/>
      <c r="P306" s="591"/>
      <c r="Q306" s="583" t="s">
        <v>1253</v>
      </c>
      <c r="R306" s="588" t="s">
        <v>1254</v>
      </c>
      <c r="S306" s="588" t="s">
        <v>548</v>
      </c>
      <c r="T306" s="588" t="s">
        <v>90</v>
      </c>
      <c r="U306" s="589">
        <v>34000000</v>
      </c>
      <c r="V306" s="589">
        <v>34000000</v>
      </c>
      <c r="W306" s="588"/>
      <c r="X306" s="588"/>
      <c r="Y306" s="588" t="s">
        <v>55</v>
      </c>
      <c r="Z306" s="588"/>
      <c r="AA306" s="588"/>
      <c r="AB306" s="588"/>
      <c r="AC306" s="588"/>
      <c r="AD306" s="588"/>
      <c r="AE306" s="588"/>
      <c r="AF306" s="589">
        <v>34000000</v>
      </c>
      <c r="AG306" s="580">
        <v>10205592</v>
      </c>
      <c r="AH306" s="162">
        <f t="shared" si="58"/>
        <v>0.30016447058823531</v>
      </c>
      <c r="AI306" s="588"/>
      <c r="AJ306" s="588"/>
      <c r="AK306" s="141"/>
      <c r="AL306" s="574"/>
      <c r="AM306" s="588"/>
    </row>
    <row r="307" spans="1:39" ht="168.75" x14ac:dyDescent="0.25">
      <c r="A307" s="351"/>
      <c r="B307" s="352"/>
      <c r="C307" s="352"/>
      <c r="D307" s="170"/>
      <c r="E307" s="170"/>
      <c r="F307" s="576"/>
      <c r="G307" s="583" t="s">
        <v>1257</v>
      </c>
      <c r="H307" s="584" t="s">
        <v>1249</v>
      </c>
      <c r="I307" s="584" t="s">
        <v>1250</v>
      </c>
      <c r="J307" s="590"/>
      <c r="K307" s="590"/>
      <c r="L307" s="590"/>
      <c r="M307" s="590"/>
      <c r="N307" s="590"/>
      <c r="O307" s="590"/>
      <c r="P307" s="591"/>
      <c r="Q307" s="583" t="s">
        <v>1253</v>
      </c>
      <c r="R307" s="588" t="s">
        <v>1254</v>
      </c>
      <c r="S307" s="588" t="s">
        <v>548</v>
      </c>
      <c r="T307" s="588" t="s">
        <v>90</v>
      </c>
      <c r="U307" s="589">
        <v>636996169</v>
      </c>
      <c r="V307" s="589">
        <v>636996169</v>
      </c>
      <c r="W307" s="588"/>
      <c r="X307" s="588"/>
      <c r="Y307" s="588" t="s">
        <v>55</v>
      </c>
      <c r="Z307" s="588"/>
      <c r="AA307" s="588"/>
      <c r="AB307" s="588"/>
      <c r="AC307" s="588"/>
      <c r="AD307" s="588"/>
      <c r="AE307" s="588"/>
      <c r="AF307" s="589">
        <v>636996169</v>
      </c>
      <c r="AG307" s="580">
        <v>566114982</v>
      </c>
      <c r="AH307" s="162">
        <f t="shared" si="58"/>
        <v>0.88872588180353718</v>
      </c>
      <c r="AI307" s="588"/>
      <c r="AJ307" s="588"/>
      <c r="AK307" s="141"/>
      <c r="AL307" s="574"/>
      <c r="AM307" s="588"/>
    </row>
    <row r="308" spans="1:39" ht="191.25" x14ac:dyDescent="0.25">
      <c r="A308" s="351"/>
      <c r="B308" s="352"/>
      <c r="C308" s="352"/>
      <c r="D308" s="170"/>
      <c r="E308" s="170"/>
      <c r="F308" s="576"/>
      <c r="G308" s="583" t="s">
        <v>1258</v>
      </c>
      <c r="H308" s="584" t="s">
        <v>1249</v>
      </c>
      <c r="I308" s="584" t="s">
        <v>1250</v>
      </c>
      <c r="J308" s="590"/>
      <c r="K308" s="590"/>
      <c r="L308" s="590"/>
      <c r="M308" s="590"/>
      <c r="N308" s="590"/>
      <c r="O308" s="590"/>
      <c r="P308" s="591"/>
      <c r="Q308" s="583" t="s">
        <v>1253</v>
      </c>
      <c r="R308" s="588" t="s">
        <v>1254</v>
      </c>
      <c r="S308" s="588" t="s">
        <v>548</v>
      </c>
      <c r="T308" s="588" t="s">
        <v>90</v>
      </c>
      <c r="U308" s="589">
        <v>890638585</v>
      </c>
      <c r="V308" s="589">
        <v>890638585</v>
      </c>
      <c r="W308" s="588"/>
      <c r="X308" s="588"/>
      <c r="Y308" s="588" t="s">
        <v>55</v>
      </c>
      <c r="Z308" s="588"/>
      <c r="AA308" s="588"/>
      <c r="AB308" s="588"/>
      <c r="AC308" s="588"/>
      <c r="AD308" s="588"/>
      <c r="AE308" s="588"/>
      <c r="AF308" s="589">
        <v>890638585</v>
      </c>
      <c r="AG308" s="580">
        <v>820904837</v>
      </c>
      <c r="AH308" s="162">
        <f t="shared" si="58"/>
        <v>0.92170365266624954</v>
      </c>
      <c r="AI308" s="588"/>
      <c r="AJ308" s="588"/>
      <c r="AK308" s="141"/>
      <c r="AL308" s="574"/>
      <c r="AM308" s="588"/>
    </row>
    <row r="309" spans="1:39" ht="168.75" x14ac:dyDescent="0.25">
      <c r="A309" s="351"/>
      <c r="B309" s="352"/>
      <c r="C309" s="352"/>
      <c r="D309" s="170"/>
      <c r="E309" s="170"/>
      <c r="F309" s="576"/>
      <c r="G309" s="592" t="s">
        <v>1259</v>
      </c>
      <c r="H309" s="584" t="s">
        <v>1249</v>
      </c>
      <c r="I309" s="584" t="s">
        <v>1250</v>
      </c>
      <c r="J309" s="590"/>
      <c r="K309" s="590"/>
      <c r="L309" s="590"/>
      <c r="M309" s="590"/>
      <c r="N309" s="590"/>
      <c r="O309" s="590"/>
      <c r="P309" s="591"/>
      <c r="Q309" s="583" t="s">
        <v>1253</v>
      </c>
      <c r="R309" s="588" t="s">
        <v>1254</v>
      </c>
      <c r="S309" s="588" t="s">
        <v>548</v>
      </c>
      <c r="T309" s="588" t="s">
        <v>90</v>
      </c>
      <c r="U309" s="589">
        <v>186205992</v>
      </c>
      <c r="V309" s="589">
        <v>186205992</v>
      </c>
      <c r="W309" s="588"/>
      <c r="X309" s="588"/>
      <c r="Y309" s="588" t="s">
        <v>55</v>
      </c>
      <c r="Z309" s="588"/>
      <c r="AA309" s="588"/>
      <c r="AB309" s="588"/>
      <c r="AC309" s="588"/>
      <c r="AD309" s="588"/>
      <c r="AE309" s="588"/>
      <c r="AF309" s="589">
        <v>186205992</v>
      </c>
      <c r="AG309" s="580">
        <v>174295300</v>
      </c>
      <c r="AH309" s="162">
        <f t="shared" si="58"/>
        <v>0.93603486186416596</v>
      </c>
      <c r="AI309" s="588"/>
      <c r="AJ309" s="588"/>
      <c r="AK309" s="141"/>
      <c r="AL309" s="574"/>
      <c r="AM309" s="588"/>
    </row>
    <row r="310" spans="1:39" ht="213.75" x14ac:dyDescent="0.25">
      <c r="A310" s="351"/>
      <c r="B310" s="352"/>
      <c r="C310" s="352"/>
      <c r="D310" s="170"/>
      <c r="E310" s="170"/>
      <c r="F310" s="576"/>
      <c r="G310" s="593" t="s">
        <v>1260</v>
      </c>
      <c r="H310" s="584" t="s">
        <v>1249</v>
      </c>
      <c r="I310" s="584" t="s">
        <v>1250</v>
      </c>
      <c r="J310" s="590"/>
      <c r="K310" s="590"/>
      <c r="L310" s="590"/>
      <c r="M310" s="590"/>
      <c r="N310" s="590"/>
      <c r="O310" s="590"/>
      <c r="P310" s="591"/>
      <c r="Q310" s="583" t="s">
        <v>1253</v>
      </c>
      <c r="R310" s="588" t="s">
        <v>1254</v>
      </c>
      <c r="S310" s="588" t="s">
        <v>548</v>
      </c>
      <c r="T310" s="588" t="s">
        <v>90</v>
      </c>
      <c r="U310" s="589">
        <v>392935002</v>
      </c>
      <c r="V310" s="589">
        <v>392935002</v>
      </c>
      <c r="W310" s="588"/>
      <c r="X310" s="588"/>
      <c r="Y310" s="588" t="s">
        <v>55</v>
      </c>
      <c r="Z310" s="588"/>
      <c r="AA310" s="588"/>
      <c r="AB310" s="588"/>
      <c r="AC310" s="588"/>
      <c r="AD310" s="588"/>
      <c r="AE310" s="588"/>
      <c r="AF310" s="589">
        <v>392935002</v>
      </c>
      <c r="AG310" s="580">
        <v>346084608</v>
      </c>
      <c r="AH310" s="162">
        <f t="shared" si="58"/>
        <v>0.88076808184168842</v>
      </c>
      <c r="AI310" s="588"/>
      <c r="AJ310" s="588"/>
      <c r="AK310" s="141"/>
      <c r="AL310" s="574"/>
      <c r="AM310" s="588"/>
    </row>
    <row r="311" spans="1:39" ht="135" x14ac:dyDescent="0.25">
      <c r="A311" s="351"/>
      <c r="B311" s="352"/>
      <c r="C311" s="352"/>
      <c r="D311" s="170"/>
      <c r="E311" s="170"/>
      <c r="F311" s="576"/>
      <c r="G311" s="593" t="s">
        <v>1261</v>
      </c>
      <c r="H311" s="584" t="s">
        <v>1249</v>
      </c>
      <c r="I311" s="584" t="s">
        <v>1250</v>
      </c>
      <c r="J311" s="590"/>
      <c r="K311" s="590"/>
      <c r="L311" s="590"/>
      <c r="M311" s="590"/>
      <c r="N311" s="590"/>
      <c r="O311" s="590"/>
      <c r="P311" s="591"/>
      <c r="Q311" s="583" t="s">
        <v>1253</v>
      </c>
      <c r="R311" s="588" t="s">
        <v>1254</v>
      </c>
      <c r="S311" s="588" t="s">
        <v>548</v>
      </c>
      <c r="T311" s="588" t="s">
        <v>90</v>
      </c>
      <c r="U311" s="589">
        <v>305426784</v>
      </c>
      <c r="V311" s="589">
        <v>305426784</v>
      </c>
      <c r="W311" s="588"/>
      <c r="X311" s="588"/>
      <c r="Y311" s="588" t="s">
        <v>55</v>
      </c>
      <c r="Z311" s="588"/>
      <c r="AA311" s="588"/>
      <c r="AB311" s="588"/>
      <c r="AC311" s="588"/>
      <c r="AD311" s="588"/>
      <c r="AE311" s="588"/>
      <c r="AF311" s="589">
        <v>305426784</v>
      </c>
      <c r="AG311" s="580">
        <v>286882900</v>
      </c>
      <c r="AH311" s="162">
        <f t="shared" si="58"/>
        <v>0.93928533785694446</v>
      </c>
      <c r="AI311" s="588"/>
      <c r="AJ311" s="588"/>
      <c r="AK311" s="141"/>
      <c r="AL311" s="574"/>
      <c r="AM311" s="588"/>
    </row>
    <row r="312" spans="1:39" ht="135" x14ac:dyDescent="0.25">
      <c r="A312" s="351"/>
      <c r="B312" s="352"/>
      <c r="C312" s="352"/>
      <c r="D312" s="170"/>
      <c r="E312" s="170"/>
      <c r="F312" s="576"/>
      <c r="G312" s="593" t="s">
        <v>1262</v>
      </c>
      <c r="H312" s="584" t="s">
        <v>1249</v>
      </c>
      <c r="I312" s="584" t="s">
        <v>1250</v>
      </c>
      <c r="J312" s="590"/>
      <c r="K312" s="590"/>
      <c r="L312" s="590"/>
      <c r="M312" s="590"/>
      <c r="N312" s="590"/>
      <c r="O312" s="590"/>
      <c r="P312" s="591"/>
      <c r="Q312" s="583" t="s">
        <v>1253</v>
      </c>
      <c r="R312" s="588" t="s">
        <v>1254</v>
      </c>
      <c r="S312" s="588" t="s">
        <v>548</v>
      </c>
      <c r="T312" s="588" t="s">
        <v>90</v>
      </c>
      <c r="U312" s="589">
        <v>431190753</v>
      </c>
      <c r="V312" s="589">
        <v>431190753</v>
      </c>
      <c r="W312" s="588"/>
      <c r="X312" s="588"/>
      <c r="Y312" s="588" t="s">
        <v>55</v>
      </c>
      <c r="Z312" s="588"/>
      <c r="AA312" s="588"/>
      <c r="AB312" s="588"/>
      <c r="AC312" s="588"/>
      <c r="AD312" s="588"/>
      <c r="AE312" s="588"/>
      <c r="AF312" s="589">
        <v>431190753</v>
      </c>
      <c r="AG312" s="580">
        <v>404939200</v>
      </c>
      <c r="AH312" s="162">
        <f t="shared" si="58"/>
        <v>0.93911846945381972</v>
      </c>
      <c r="AI312" s="588"/>
      <c r="AJ312" s="588"/>
      <c r="AK312" s="141"/>
      <c r="AL312" s="574"/>
      <c r="AM312" s="588"/>
    </row>
    <row r="313" spans="1:39" ht="180" x14ac:dyDescent="0.25">
      <c r="A313" s="351"/>
      <c r="B313" s="352"/>
      <c r="C313" s="352"/>
      <c r="D313" s="170"/>
      <c r="E313" s="170"/>
      <c r="F313" s="576"/>
      <c r="G313" s="593" t="s">
        <v>1263</v>
      </c>
      <c r="H313" s="584" t="s">
        <v>1249</v>
      </c>
      <c r="I313" s="584" t="s">
        <v>1250</v>
      </c>
      <c r="J313" s="590"/>
      <c r="K313" s="590"/>
      <c r="L313" s="590"/>
      <c r="M313" s="590"/>
      <c r="N313" s="590"/>
      <c r="O313" s="590"/>
      <c r="P313" s="591"/>
      <c r="Q313" s="583" t="s">
        <v>1253</v>
      </c>
      <c r="R313" s="588" t="s">
        <v>1254</v>
      </c>
      <c r="S313" s="588" t="s">
        <v>548</v>
      </c>
      <c r="T313" s="588" t="s">
        <v>90</v>
      </c>
      <c r="U313" s="589">
        <v>23275749</v>
      </c>
      <c r="V313" s="589">
        <v>23275749</v>
      </c>
      <c r="W313" s="588"/>
      <c r="X313" s="588"/>
      <c r="Y313" s="588" t="s">
        <v>55</v>
      </c>
      <c r="Z313" s="588"/>
      <c r="AA313" s="588"/>
      <c r="AB313" s="588"/>
      <c r="AC313" s="588"/>
      <c r="AD313" s="588"/>
      <c r="AE313" s="588"/>
      <c r="AF313" s="589">
        <v>23275749</v>
      </c>
      <c r="AG313" s="580">
        <v>21783800</v>
      </c>
      <c r="AH313" s="162">
        <f t="shared" si="58"/>
        <v>0.93590113899234784</v>
      </c>
      <c r="AI313" s="588"/>
      <c r="AJ313" s="588"/>
      <c r="AK313" s="141"/>
      <c r="AL313" s="574"/>
      <c r="AM313" s="588"/>
    </row>
    <row r="314" spans="1:39" ht="180" x14ac:dyDescent="0.25">
      <c r="A314" s="351"/>
      <c r="B314" s="352"/>
      <c r="C314" s="352"/>
      <c r="D314" s="170"/>
      <c r="E314" s="170"/>
      <c r="F314" s="576"/>
      <c r="G314" s="593" t="s">
        <v>1264</v>
      </c>
      <c r="H314" s="584" t="s">
        <v>1249</v>
      </c>
      <c r="I314" s="584" t="s">
        <v>1250</v>
      </c>
      <c r="J314" s="590"/>
      <c r="K314" s="590"/>
      <c r="L314" s="590"/>
      <c r="M314" s="590"/>
      <c r="N314" s="590"/>
      <c r="O314" s="590"/>
      <c r="P314" s="591"/>
      <c r="Q314" s="583" t="s">
        <v>1253</v>
      </c>
      <c r="R314" s="588" t="s">
        <v>1254</v>
      </c>
      <c r="S314" s="588" t="s">
        <v>548</v>
      </c>
      <c r="T314" s="588" t="s">
        <v>90</v>
      </c>
      <c r="U314" s="589">
        <v>139654494</v>
      </c>
      <c r="V314" s="589">
        <v>139654494</v>
      </c>
      <c r="W314" s="588"/>
      <c r="X314" s="588"/>
      <c r="Y314" s="588" t="s">
        <v>55</v>
      </c>
      <c r="Z314" s="588"/>
      <c r="AA314" s="588"/>
      <c r="AB314" s="588"/>
      <c r="AC314" s="588"/>
      <c r="AD314" s="588"/>
      <c r="AE314" s="588"/>
      <c r="AF314" s="589">
        <v>139654494</v>
      </c>
      <c r="AG314" s="580">
        <v>130701600</v>
      </c>
      <c r="AH314" s="162">
        <f t="shared" si="58"/>
        <v>0.93589254635801411</v>
      </c>
      <c r="AI314" s="588"/>
      <c r="AJ314" s="588"/>
      <c r="AK314" s="141"/>
      <c r="AL314" s="574"/>
      <c r="AM314" s="588"/>
    </row>
    <row r="315" spans="1:39" ht="191.25" x14ac:dyDescent="0.25">
      <c r="A315" s="351"/>
      <c r="B315" s="352"/>
      <c r="C315" s="352"/>
      <c r="D315" s="170"/>
      <c r="E315" s="170"/>
      <c r="F315" s="576"/>
      <c r="G315" s="593" t="s">
        <v>1265</v>
      </c>
      <c r="H315" s="584" t="s">
        <v>1249</v>
      </c>
      <c r="I315" s="584" t="s">
        <v>1250</v>
      </c>
      <c r="J315" s="590"/>
      <c r="K315" s="590"/>
      <c r="L315" s="590"/>
      <c r="M315" s="590"/>
      <c r="N315" s="590"/>
      <c r="O315" s="590"/>
      <c r="P315" s="591"/>
      <c r="Q315" s="583" t="s">
        <v>1253</v>
      </c>
      <c r="R315" s="588" t="s">
        <v>1254</v>
      </c>
      <c r="S315" s="588" t="s">
        <v>548</v>
      </c>
      <c r="T315" s="588" t="s">
        <v>90</v>
      </c>
      <c r="U315" s="589">
        <v>46551498</v>
      </c>
      <c r="V315" s="589">
        <v>46551498</v>
      </c>
      <c r="W315" s="588"/>
      <c r="X315" s="588"/>
      <c r="Y315" s="588" t="s">
        <v>55</v>
      </c>
      <c r="Z315" s="588"/>
      <c r="AA315" s="588"/>
      <c r="AB315" s="588"/>
      <c r="AC315" s="588"/>
      <c r="AD315" s="588"/>
      <c r="AE315" s="588"/>
      <c r="AF315" s="589">
        <v>46551498</v>
      </c>
      <c r="AG315" s="580">
        <v>43556200</v>
      </c>
      <c r="AH315" s="162">
        <f t="shared" si="58"/>
        <v>0.93565624891383736</v>
      </c>
      <c r="AI315" s="588"/>
      <c r="AJ315" s="588"/>
      <c r="AK315" s="141"/>
      <c r="AL315" s="574"/>
      <c r="AM315" s="588"/>
    </row>
    <row r="316" spans="1:39" ht="180" x14ac:dyDescent="0.25">
      <c r="A316" s="351"/>
      <c r="B316" s="352"/>
      <c r="C316" s="352"/>
      <c r="D316" s="170"/>
      <c r="E316" s="170"/>
      <c r="F316" s="576"/>
      <c r="G316" s="593" t="s">
        <v>1266</v>
      </c>
      <c r="H316" s="584" t="s">
        <v>1249</v>
      </c>
      <c r="I316" s="584" t="s">
        <v>1250</v>
      </c>
      <c r="J316" s="590"/>
      <c r="K316" s="590"/>
      <c r="L316" s="590"/>
      <c r="M316" s="590"/>
      <c r="N316" s="590"/>
      <c r="O316" s="590"/>
      <c r="P316" s="591"/>
      <c r="Q316" s="583" t="s">
        <v>1253</v>
      </c>
      <c r="R316" s="588" t="s">
        <v>1254</v>
      </c>
      <c r="S316" s="588" t="s">
        <v>548</v>
      </c>
      <c r="T316" s="588" t="s">
        <v>90</v>
      </c>
      <c r="U316" s="589">
        <v>23275748.98</v>
      </c>
      <c r="V316" s="589">
        <v>23275748.98</v>
      </c>
      <c r="W316" s="588"/>
      <c r="X316" s="588"/>
      <c r="Y316" s="588" t="s">
        <v>55</v>
      </c>
      <c r="Z316" s="588"/>
      <c r="AA316" s="588"/>
      <c r="AB316" s="588"/>
      <c r="AC316" s="588"/>
      <c r="AD316" s="588"/>
      <c r="AE316" s="588"/>
      <c r="AF316" s="589">
        <v>23275748.98</v>
      </c>
      <c r="AG316" s="580">
        <v>21783800</v>
      </c>
      <c r="AH316" s="162">
        <f t="shared" si="58"/>
        <v>0.93590113979653344</v>
      </c>
      <c r="AI316" s="588"/>
      <c r="AJ316" s="588"/>
      <c r="AK316" s="141"/>
      <c r="AL316" s="574"/>
      <c r="AM316" s="588"/>
    </row>
    <row r="317" spans="1:39" ht="157.5" x14ac:dyDescent="0.25">
      <c r="A317" s="351"/>
      <c r="B317" s="352"/>
      <c r="C317" s="352"/>
      <c r="D317" s="170"/>
      <c r="E317" s="170"/>
      <c r="F317" s="576"/>
      <c r="G317" s="583" t="s">
        <v>1267</v>
      </c>
      <c r="H317" s="584" t="s">
        <v>1249</v>
      </c>
      <c r="I317" s="584" t="s">
        <v>1250</v>
      </c>
      <c r="J317" s="590"/>
      <c r="K317" s="590"/>
      <c r="L317" s="590"/>
      <c r="M317" s="590"/>
      <c r="N317" s="590"/>
      <c r="O317" s="590"/>
      <c r="P317" s="591"/>
      <c r="Q317" s="583" t="s">
        <v>1253</v>
      </c>
      <c r="R317" s="588" t="s">
        <v>1254</v>
      </c>
      <c r="S317" s="588" t="s">
        <v>548</v>
      </c>
      <c r="T317" s="588" t="s">
        <v>90</v>
      </c>
      <c r="U317" s="589">
        <v>38752073.469999999</v>
      </c>
      <c r="V317" s="589">
        <v>38752073.469999999</v>
      </c>
      <c r="W317" s="588"/>
      <c r="X317" s="588"/>
      <c r="Y317" s="588" t="s">
        <v>55</v>
      </c>
      <c r="Z317" s="588"/>
      <c r="AA317" s="588"/>
      <c r="AB317" s="588"/>
      <c r="AC317" s="588"/>
      <c r="AD317" s="588"/>
      <c r="AE317" s="588"/>
      <c r="AF317" s="589">
        <v>38752073.469999999</v>
      </c>
      <c r="AG317" s="580">
        <v>33513800</v>
      </c>
      <c r="AH317" s="162">
        <f t="shared" si="58"/>
        <v>0.86482598217472884</v>
      </c>
      <c r="AI317" s="588"/>
      <c r="AJ317" s="588"/>
      <c r="AK317" s="141"/>
      <c r="AL317" s="574"/>
      <c r="AM317" s="588"/>
    </row>
    <row r="318" spans="1:39" ht="292.5" x14ac:dyDescent="0.25">
      <c r="A318" s="351"/>
      <c r="B318" s="352"/>
      <c r="C318" s="352"/>
      <c r="D318" s="170"/>
      <c r="E318" s="170"/>
      <c r="F318" s="576"/>
      <c r="G318" s="583" t="s">
        <v>1268</v>
      </c>
      <c r="H318" s="584" t="s">
        <v>1249</v>
      </c>
      <c r="I318" s="584" t="s">
        <v>1250</v>
      </c>
      <c r="J318" s="590"/>
      <c r="K318" s="590"/>
      <c r="L318" s="590"/>
      <c r="M318" s="590"/>
      <c r="N318" s="590"/>
      <c r="O318" s="590"/>
      <c r="P318" s="591"/>
      <c r="Q318" s="583" t="s">
        <v>1269</v>
      </c>
      <c r="R318" s="588" t="s">
        <v>1270</v>
      </c>
      <c r="S318" s="588" t="s">
        <v>548</v>
      </c>
      <c r="T318" s="588" t="s">
        <v>90</v>
      </c>
      <c r="U318" s="589">
        <v>23911144.670000002</v>
      </c>
      <c r="V318" s="589">
        <v>23911144.670000002</v>
      </c>
      <c r="W318" s="588"/>
      <c r="X318" s="588"/>
      <c r="Y318" s="588" t="s">
        <v>55</v>
      </c>
      <c r="Z318" s="588"/>
      <c r="AA318" s="588"/>
      <c r="AB318" s="588"/>
      <c r="AC318" s="588"/>
      <c r="AD318" s="588"/>
      <c r="AE318" s="588"/>
      <c r="AF318" s="589">
        <v>23911144.670000002</v>
      </c>
      <c r="AG318" s="580">
        <v>21403910</v>
      </c>
      <c r="AH318" s="162">
        <f t="shared" si="58"/>
        <v>0.89514367862339561</v>
      </c>
      <c r="AI318" s="588"/>
      <c r="AJ318" s="588"/>
      <c r="AK318" s="141"/>
      <c r="AL318" s="574"/>
      <c r="AM318" s="588"/>
    </row>
    <row r="319" spans="1:39" ht="157.5" x14ac:dyDescent="0.25">
      <c r="A319" s="351"/>
      <c r="B319" s="352"/>
      <c r="C319" s="352"/>
      <c r="D319" s="170"/>
      <c r="E319" s="170"/>
      <c r="F319" s="576"/>
      <c r="G319" s="583" t="s">
        <v>1271</v>
      </c>
      <c r="H319" s="584" t="s">
        <v>1249</v>
      </c>
      <c r="I319" s="584"/>
      <c r="J319" s="590"/>
      <c r="K319" s="590"/>
      <c r="L319" s="590"/>
      <c r="M319" s="590"/>
      <c r="N319" s="590"/>
      <c r="O319" s="590"/>
      <c r="P319" s="591"/>
      <c r="Q319" s="583" t="s">
        <v>1271</v>
      </c>
      <c r="R319" s="588" t="s">
        <v>1242</v>
      </c>
      <c r="S319" s="588" t="s">
        <v>548</v>
      </c>
      <c r="T319" s="588" t="s">
        <v>90</v>
      </c>
      <c r="U319" s="589">
        <v>127635126</v>
      </c>
      <c r="V319" s="589">
        <v>127635126</v>
      </c>
      <c r="W319" s="588"/>
      <c r="X319" s="588"/>
      <c r="Y319" s="588" t="s">
        <v>55</v>
      </c>
      <c r="Z319" s="588"/>
      <c r="AA319" s="588"/>
      <c r="AB319" s="588"/>
      <c r="AC319" s="588"/>
      <c r="AD319" s="588"/>
      <c r="AE319" s="588"/>
      <c r="AF319" s="589">
        <v>127635126</v>
      </c>
      <c r="AG319" s="580">
        <v>126485260.91</v>
      </c>
      <c r="AH319" s="162">
        <f t="shared" si="58"/>
        <v>0.99099099812068969</v>
      </c>
      <c r="AI319" s="588"/>
      <c r="AJ319" s="588"/>
      <c r="AK319" s="141"/>
      <c r="AL319" s="574"/>
      <c r="AM319" s="588"/>
    </row>
    <row r="320" spans="1:39" ht="112.5" x14ac:dyDescent="0.25">
      <c r="A320" s="351"/>
      <c r="B320" s="352"/>
      <c r="C320" s="352"/>
      <c r="D320" s="170"/>
      <c r="E320" s="170"/>
      <c r="F320" s="576"/>
      <c r="G320" s="583" t="s">
        <v>1272</v>
      </c>
      <c r="H320" s="584" t="s">
        <v>1249</v>
      </c>
      <c r="I320" s="584" t="s">
        <v>1250</v>
      </c>
      <c r="J320" s="590"/>
      <c r="K320" s="590"/>
      <c r="L320" s="590"/>
      <c r="M320" s="590"/>
      <c r="N320" s="590"/>
      <c r="O320" s="590"/>
      <c r="P320" s="591"/>
      <c r="Q320" s="583" t="s">
        <v>1273</v>
      </c>
      <c r="R320" s="588" t="s">
        <v>1274</v>
      </c>
      <c r="S320" s="588" t="s">
        <v>548</v>
      </c>
      <c r="T320" s="588" t="s">
        <v>90</v>
      </c>
      <c r="U320" s="589">
        <v>10000000</v>
      </c>
      <c r="V320" s="589">
        <v>10000000</v>
      </c>
      <c r="W320" s="588"/>
      <c r="X320" s="588"/>
      <c r="Y320" s="588" t="s">
        <v>55</v>
      </c>
      <c r="Z320" s="588"/>
      <c r="AA320" s="588"/>
      <c r="AB320" s="588"/>
      <c r="AC320" s="588"/>
      <c r="AD320" s="588"/>
      <c r="AE320" s="588"/>
      <c r="AF320" s="589">
        <v>10000000</v>
      </c>
      <c r="AG320" s="580">
        <v>0</v>
      </c>
      <c r="AH320" s="162">
        <f t="shared" si="58"/>
        <v>0</v>
      </c>
      <c r="AI320" s="588"/>
      <c r="AJ320" s="588"/>
      <c r="AK320" s="141"/>
      <c r="AL320" s="574"/>
      <c r="AM320" s="588"/>
    </row>
    <row r="321" spans="1:39" ht="123.75" x14ac:dyDescent="0.25">
      <c r="A321" s="351"/>
      <c r="B321" s="352"/>
      <c r="C321" s="352"/>
      <c r="D321" s="170"/>
      <c r="E321" s="170"/>
      <c r="F321" s="576"/>
      <c r="G321" s="583" t="s">
        <v>1275</v>
      </c>
      <c r="H321" s="584" t="s">
        <v>1249</v>
      </c>
      <c r="I321" s="584"/>
      <c r="J321" s="590"/>
      <c r="K321" s="590"/>
      <c r="L321" s="590"/>
      <c r="M321" s="590"/>
      <c r="N321" s="590"/>
      <c r="O321" s="590"/>
      <c r="P321" s="591"/>
      <c r="Q321" s="583" t="s">
        <v>1276</v>
      </c>
      <c r="R321" s="588" t="s">
        <v>1277</v>
      </c>
      <c r="S321" s="588" t="s">
        <v>548</v>
      </c>
      <c r="T321" s="588" t="s">
        <v>90</v>
      </c>
      <c r="U321" s="589">
        <v>10000000</v>
      </c>
      <c r="V321" s="589">
        <v>10000000</v>
      </c>
      <c r="W321" s="588"/>
      <c r="X321" s="588"/>
      <c r="Y321" s="588" t="s">
        <v>55</v>
      </c>
      <c r="Z321" s="588"/>
      <c r="AA321" s="588"/>
      <c r="AB321" s="588"/>
      <c r="AC321" s="588"/>
      <c r="AD321" s="588"/>
      <c r="AE321" s="588"/>
      <c r="AF321" s="589">
        <v>10000000</v>
      </c>
      <c r="AG321" s="580">
        <v>0</v>
      </c>
      <c r="AH321" s="162">
        <f t="shared" si="58"/>
        <v>0</v>
      </c>
      <c r="AI321" s="588"/>
      <c r="AJ321" s="588"/>
      <c r="AK321" s="141"/>
      <c r="AL321" s="574"/>
      <c r="AM321" s="588"/>
    </row>
    <row r="322" spans="1:39" ht="180" x14ac:dyDescent="0.25">
      <c r="A322" s="351"/>
      <c r="B322" s="352"/>
      <c r="C322" s="352"/>
      <c r="D322" s="170"/>
      <c r="E322" s="170"/>
      <c r="F322" s="576"/>
      <c r="G322" s="583" t="s">
        <v>1278</v>
      </c>
      <c r="H322" s="584" t="s">
        <v>1249</v>
      </c>
      <c r="I322" s="584" t="s">
        <v>1250</v>
      </c>
      <c r="J322" s="590"/>
      <c r="K322" s="590"/>
      <c r="L322" s="590"/>
      <c r="M322" s="590"/>
      <c r="N322" s="590"/>
      <c r="O322" s="590"/>
      <c r="P322" s="591"/>
      <c r="Q322" s="583" t="s">
        <v>1253</v>
      </c>
      <c r="R322" s="588" t="s">
        <v>1254</v>
      </c>
      <c r="S322" s="588" t="s">
        <v>548</v>
      </c>
      <c r="T322" s="588" t="s">
        <v>90</v>
      </c>
      <c r="U322" s="589">
        <v>100000000</v>
      </c>
      <c r="V322" s="589">
        <v>100000000</v>
      </c>
      <c r="W322" s="588"/>
      <c r="X322" s="588"/>
      <c r="Y322" s="588" t="s">
        <v>55</v>
      </c>
      <c r="Z322" s="588"/>
      <c r="AA322" s="588"/>
      <c r="AB322" s="588"/>
      <c r="AC322" s="588"/>
      <c r="AD322" s="588"/>
      <c r="AE322" s="588"/>
      <c r="AF322" s="589">
        <v>100000000</v>
      </c>
      <c r="AG322" s="580">
        <v>0</v>
      </c>
      <c r="AH322" s="162">
        <f t="shared" si="58"/>
        <v>0</v>
      </c>
      <c r="AI322" s="588"/>
      <c r="AJ322" s="588"/>
      <c r="AK322" s="141"/>
      <c r="AL322" s="574"/>
      <c r="AM322" s="588"/>
    </row>
    <row r="323" spans="1:39" ht="112.5" x14ac:dyDescent="0.25">
      <c r="A323" s="351"/>
      <c r="B323" s="352"/>
      <c r="C323" s="352"/>
      <c r="D323" s="170"/>
      <c r="E323" s="170"/>
      <c r="F323" s="576"/>
      <c r="G323" s="583" t="s">
        <v>1279</v>
      </c>
      <c r="H323" s="584" t="s">
        <v>1249</v>
      </c>
      <c r="I323" s="584" t="s">
        <v>1250</v>
      </c>
      <c r="J323" s="590"/>
      <c r="K323" s="590"/>
      <c r="L323" s="590"/>
      <c r="M323" s="590"/>
      <c r="N323" s="590"/>
      <c r="O323" s="590"/>
      <c r="P323" s="591"/>
      <c r="Q323" s="583" t="s">
        <v>1253</v>
      </c>
      <c r="R323" s="588" t="s">
        <v>1254</v>
      </c>
      <c r="S323" s="588" t="s">
        <v>548</v>
      </c>
      <c r="T323" s="588" t="s">
        <v>90</v>
      </c>
      <c r="U323" s="589">
        <v>190000000</v>
      </c>
      <c r="V323" s="589">
        <v>190000000</v>
      </c>
      <c r="W323" s="588"/>
      <c r="X323" s="588"/>
      <c r="Y323" s="588" t="s">
        <v>55</v>
      </c>
      <c r="Z323" s="588"/>
      <c r="AA323" s="588"/>
      <c r="AB323" s="588"/>
      <c r="AC323" s="588"/>
      <c r="AD323" s="588"/>
      <c r="AE323" s="588"/>
      <c r="AF323" s="589">
        <v>190000000</v>
      </c>
      <c r="AG323" s="580">
        <v>116727888.26000001</v>
      </c>
      <c r="AH323" s="162">
        <f t="shared" si="58"/>
        <v>0.61435730663157895</v>
      </c>
      <c r="AI323" s="588"/>
      <c r="AJ323" s="588"/>
      <c r="AK323" s="141"/>
      <c r="AL323" s="574"/>
      <c r="AM323" s="588"/>
    </row>
    <row r="324" spans="1:39" ht="112.5" x14ac:dyDescent="0.25">
      <c r="A324" s="351"/>
      <c r="B324" s="352"/>
      <c r="C324" s="352"/>
      <c r="D324" s="170"/>
      <c r="E324" s="170"/>
      <c r="F324" s="576"/>
      <c r="G324" s="583" t="s">
        <v>1280</v>
      </c>
      <c r="H324" s="584" t="s">
        <v>1249</v>
      </c>
      <c r="I324" s="584" t="s">
        <v>1250</v>
      </c>
      <c r="J324" s="590"/>
      <c r="K324" s="590"/>
      <c r="L324" s="590"/>
      <c r="M324" s="590"/>
      <c r="N324" s="590"/>
      <c r="O324" s="590"/>
      <c r="P324" s="591"/>
      <c r="Q324" s="583" t="s">
        <v>1253</v>
      </c>
      <c r="R324" s="588" t="s">
        <v>1254</v>
      </c>
      <c r="S324" s="588" t="s">
        <v>548</v>
      </c>
      <c r="T324" s="588" t="s">
        <v>90</v>
      </c>
      <c r="U324" s="594">
        <v>2000000000</v>
      </c>
      <c r="V324" s="589">
        <v>1995434282</v>
      </c>
      <c r="W324" s="588"/>
      <c r="X324" s="588"/>
      <c r="Y324" s="588" t="s">
        <v>55</v>
      </c>
      <c r="Z324" s="588"/>
      <c r="AA324" s="588"/>
      <c r="AB324" s="588"/>
      <c r="AC324" s="588"/>
      <c r="AD324" s="588"/>
      <c r="AE324" s="588"/>
      <c r="AF324" s="594">
        <v>2000000000</v>
      </c>
      <c r="AG324" s="580">
        <v>1995434282</v>
      </c>
      <c r="AH324" s="162">
        <f t="shared" si="58"/>
        <v>0.99771714099999997</v>
      </c>
      <c r="AI324" s="588"/>
      <c r="AJ324" s="588"/>
      <c r="AK324" s="141"/>
      <c r="AL324" s="574"/>
      <c r="AM324" s="588"/>
    </row>
    <row r="325" spans="1:39" ht="112.5" x14ac:dyDescent="0.25">
      <c r="A325" s="351"/>
      <c r="B325" s="352"/>
      <c r="C325" s="352"/>
      <c r="D325" s="170"/>
      <c r="E325" s="170"/>
      <c r="F325" s="576"/>
      <c r="G325" s="583" t="s">
        <v>1281</v>
      </c>
      <c r="H325" s="584" t="s">
        <v>1249</v>
      </c>
      <c r="I325" s="584" t="s">
        <v>1250</v>
      </c>
      <c r="J325" s="590"/>
      <c r="K325" s="590"/>
      <c r="L325" s="590"/>
      <c r="M325" s="590"/>
      <c r="N325" s="590"/>
      <c r="O325" s="590"/>
      <c r="P325" s="591"/>
      <c r="Q325" s="583" t="s">
        <v>1253</v>
      </c>
      <c r="R325" s="588" t="s">
        <v>1254</v>
      </c>
      <c r="S325" s="588" t="s">
        <v>548</v>
      </c>
      <c r="T325" s="588" t="s">
        <v>90</v>
      </c>
      <c r="U325" s="589">
        <v>2658864619</v>
      </c>
      <c r="V325" s="589">
        <v>2658864619</v>
      </c>
      <c r="W325" s="588"/>
      <c r="X325" s="588"/>
      <c r="Y325" s="588" t="s">
        <v>55</v>
      </c>
      <c r="Z325" s="588"/>
      <c r="AA325" s="588"/>
      <c r="AB325" s="588"/>
      <c r="AC325" s="588"/>
      <c r="AD325" s="588"/>
      <c r="AE325" s="588"/>
      <c r="AF325" s="589">
        <v>2658864619</v>
      </c>
      <c r="AG325" s="580">
        <v>2658864619</v>
      </c>
      <c r="AH325" s="162">
        <f t="shared" si="58"/>
        <v>1</v>
      </c>
      <c r="AI325" s="588"/>
      <c r="AJ325" s="588"/>
      <c r="AK325" s="141"/>
      <c r="AL325" s="574"/>
      <c r="AM325" s="588"/>
    </row>
    <row r="326" spans="1:39" ht="180" x14ac:dyDescent="0.25">
      <c r="A326" s="351"/>
      <c r="B326" s="352"/>
      <c r="C326" s="352"/>
      <c r="D326" s="170"/>
      <c r="E326" s="170"/>
      <c r="F326" s="576"/>
      <c r="G326" s="583" t="s">
        <v>1282</v>
      </c>
      <c r="H326" s="584" t="s">
        <v>1249</v>
      </c>
      <c r="I326" s="584" t="s">
        <v>1250</v>
      </c>
      <c r="J326" s="590"/>
      <c r="K326" s="590"/>
      <c r="L326" s="590"/>
      <c r="M326" s="590"/>
      <c r="N326" s="590"/>
      <c r="O326" s="590"/>
      <c r="P326" s="591"/>
      <c r="Q326" s="583" t="s">
        <v>1253</v>
      </c>
      <c r="R326" s="588" t="s">
        <v>1254</v>
      </c>
      <c r="S326" s="588" t="s">
        <v>548</v>
      </c>
      <c r="T326" s="588" t="s">
        <v>90</v>
      </c>
      <c r="U326" s="589">
        <v>56000000</v>
      </c>
      <c r="V326" s="589">
        <v>56000000</v>
      </c>
      <c r="W326" s="588"/>
      <c r="X326" s="588"/>
      <c r="Y326" s="588" t="s">
        <v>55</v>
      </c>
      <c r="Z326" s="588"/>
      <c r="AA326" s="588"/>
      <c r="AB326" s="588"/>
      <c r="AC326" s="588"/>
      <c r="AD326" s="588"/>
      <c r="AE326" s="588"/>
      <c r="AF326" s="589">
        <v>56000000</v>
      </c>
      <c r="AG326" s="580">
        <v>37415000</v>
      </c>
      <c r="AH326" s="162">
        <f t="shared" si="58"/>
        <v>0.66812499999999997</v>
      </c>
      <c r="AI326" s="588"/>
      <c r="AJ326" s="588"/>
      <c r="AK326" s="141"/>
      <c r="AL326" s="574"/>
      <c r="AM326" s="588"/>
    </row>
    <row r="327" spans="1:39" ht="292.5" x14ac:dyDescent="0.25">
      <c r="A327" s="351"/>
      <c r="B327" s="352"/>
      <c r="C327" s="352"/>
      <c r="D327" s="170"/>
      <c r="E327" s="170"/>
      <c r="F327" s="576"/>
      <c r="G327" s="583" t="s">
        <v>1283</v>
      </c>
      <c r="H327" s="584" t="s">
        <v>1249</v>
      </c>
      <c r="I327" s="584" t="s">
        <v>1250</v>
      </c>
      <c r="J327" s="590"/>
      <c r="K327" s="590"/>
      <c r="L327" s="590"/>
      <c r="M327" s="590"/>
      <c r="N327" s="590"/>
      <c r="O327" s="590"/>
      <c r="P327" s="591"/>
      <c r="Q327" s="583" t="s">
        <v>1253</v>
      </c>
      <c r="R327" s="588" t="s">
        <v>1254</v>
      </c>
      <c r="S327" s="588" t="s">
        <v>548</v>
      </c>
      <c r="T327" s="588" t="s">
        <v>90</v>
      </c>
      <c r="U327" s="589">
        <v>56032382</v>
      </c>
      <c r="V327" s="589">
        <v>56032382</v>
      </c>
      <c r="W327" s="588"/>
      <c r="X327" s="588"/>
      <c r="Y327" s="588" t="s">
        <v>55</v>
      </c>
      <c r="Z327" s="588"/>
      <c r="AA327" s="588"/>
      <c r="AB327" s="588"/>
      <c r="AC327" s="588"/>
      <c r="AD327" s="588"/>
      <c r="AE327" s="588"/>
      <c r="AF327" s="589">
        <v>56032382</v>
      </c>
      <c r="AG327" s="580">
        <v>55145146</v>
      </c>
      <c r="AH327" s="162">
        <f t="shared" si="58"/>
        <v>0.98416565620929697</v>
      </c>
      <c r="AI327" s="588"/>
      <c r="AJ327" s="588"/>
      <c r="AK327" s="141"/>
      <c r="AL327" s="574"/>
      <c r="AM327" s="588"/>
    </row>
    <row r="328" spans="1:39" ht="236.25" x14ac:dyDescent="0.25">
      <c r="A328" s="351"/>
      <c r="B328" s="352"/>
      <c r="C328" s="352"/>
      <c r="D328" s="170"/>
      <c r="E328" s="170"/>
      <c r="F328" s="576"/>
      <c r="G328" s="583" t="s">
        <v>1284</v>
      </c>
      <c r="H328" s="584" t="s">
        <v>1249</v>
      </c>
      <c r="I328" s="584" t="s">
        <v>1250</v>
      </c>
      <c r="J328" s="590"/>
      <c r="K328" s="590"/>
      <c r="L328" s="590"/>
      <c r="M328" s="590"/>
      <c r="N328" s="590"/>
      <c r="O328" s="590"/>
      <c r="P328" s="591"/>
      <c r="Q328" s="583" t="s">
        <v>1253</v>
      </c>
      <c r="R328" s="588" t="s">
        <v>1254</v>
      </c>
      <c r="S328" s="588" t="s">
        <v>548</v>
      </c>
      <c r="T328" s="588" t="s">
        <v>90</v>
      </c>
      <c r="U328" s="580">
        <v>62867908929</v>
      </c>
      <c r="V328" s="580">
        <v>62867908929</v>
      </c>
      <c r="W328" s="588"/>
      <c r="X328" s="588"/>
      <c r="Y328" s="588" t="s">
        <v>55</v>
      </c>
      <c r="Z328" s="588"/>
      <c r="AA328" s="588"/>
      <c r="AB328" s="588"/>
      <c r="AC328" s="588"/>
      <c r="AD328" s="588"/>
      <c r="AE328" s="588"/>
      <c r="AF328" s="580">
        <v>62867908929</v>
      </c>
      <c r="AG328" s="580">
        <v>62867908929</v>
      </c>
      <c r="AH328" s="162">
        <f t="shared" si="58"/>
        <v>1</v>
      </c>
      <c r="AI328" s="588"/>
      <c r="AJ328" s="588"/>
      <c r="AK328" s="141"/>
      <c r="AL328" s="574"/>
      <c r="AM328" s="588"/>
    </row>
    <row r="329" spans="1:39" ht="247.5" x14ac:dyDescent="0.25">
      <c r="A329" s="351"/>
      <c r="B329" s="352"/>
      <c r="C329" s="352"/>
      <c r="D329" s="170"/>
      <c r="E329" s="170"/>
      <c r="F329" s="576"/>
      <c r="G329" s="583" t="s">
        <v>1285</v>
      </c>
      <c r="H329" s="584" t="s">
        <v>1249</v>
      </c>
      <c r="I329" s="584" t="s">
        <v>1250</v>
      </c>
      <c r="J329" s="590"/>
      <c r="K329" s="590"/>
      <c r="L329" s="590"/>
      <c r="M329" s="590"/>
      <c r="N329" s="590"/>
      <c r="O329" s="590"/>
      <c r="P329" s="591"/>
      <c r="Q329" s="583" t="s">
        <v>1253</v>
      </c>
      <c r="R329" s="588" t="s">
        <v>1254</v>
      </c>
      <c r="S329" s="588" t="s">
        <v>548</v>
      </c>
      <c r="T329" s="588" t="s">
        <v>90</v>
      </c>
      <c r="U329" s="580">
        <v>12409074828</v>
      </c>
      <c r="V329" s="589">
        <v>12409074828</v>
      </c>
      <c r="W329" s="588"/>
      <c r="X329" s="588"/>
      <c r="Y329" s="588" t="s">
        <v>55</v>
      </c>
      <c r="Z329" s="588"/>
      <c r="AA329" s="588"/>
      <c r="AB329" s="588"/>
      <c r="AC329" s="588"/>
      <c r="AD329" s="588"/>
      <c r="AE329" s="588"/>
      <c r="AF329" s="580">
        <v>12409074828</v>
      </c>
      <c r="AG329" s="580">
        <v>12409074828</v>
      </c>
      <c r="AH329" s="162">
        <f t="shared" si="58"/>
        <v>1</v>
      </c>
      <c r="AI329" s="588"/>
      <c r="AJ329" s="588"/>
      <c r="AK329" s="141"/>
      <c r="AL329" s="574"/>
      <c r="AM329" s="588"/>
    </row>
    <row r="330" spans="1:39" ht="157.5" x14ac:dyDescent="0.25">
      <c r="A330" s="351"/>
      <c r="B330" s="352"/>
      <c r="C330" s="352"/>
      <c r="D330" s="170"/>
      <c r="E330" s="170"/>
      <c r="F330" s="576"/>
      <c r="G330" s="583" t="s">
        <v>1286</v>
      </c>
      <c r="H330" s="584" t="s">
        <v>1249</v>
      </c>
      <c r="I330" s="584" t="s">
        <v>1250</v>
      </c>
      <c r="J330" s="590"/>
      <c r="K330" s="590"/>
      <c r="L330" s="590"/>
      <c r="M330" s="590"/>
      <c r="N330" s="590"/>
      <c r="O330" s="590"/>
      <c r="P330" s="591"/>
      <c r="Q330" s="583" t="s">
        <v>1253</v>
      </c>
      <c r="R330" s="588" t="s">
        <v>1254</v>
      </c>
      <c r="S330" s="588" t="s">
        <v>548</v>
      </c>
      <c r="T330" s="588" t="s">
        <v>90</v>
      </c>
      <c r="U330" s="589">
        <v>2859544749</v>
      </c>
      <c r="V330" s="589">
        <v>2859544749</v>
      </c>
      <c r="W330" s="588"/>
      <c r="X330" s="588"/>
      <c r="Y330" s="588" t="s">
        <v>55</v>
      </c>
      <c r="Z330" s="588"/>
      <c r="AA330" s="588"/>
      <c r="AB330" s="588"/>
      <c r="AC330" s="588"/>
      <c r="AD330" s="588"/>
      <c r="AE330" s="588"/>
      <c r="AF330" s="580">
        <v>2859544749</v>
      </c>
      <c r="AG330" s="580">
        <v>2787497200</v>
      </c>
      <c r="AH330" s="162">
        <f t="shared" si="58"/>
        <v>0.97480453872064932</v>
      </c>
      <c r="AI330" s="588"/>
      <c r="AJ330" s="588"/>
      <c r="AK330" s="141"/>
      <c r="AL330" s="574"/>
      <c r="AM330" s="588"/>
    </row>
    <row r="331" spans="1:39" ht="135" x14ac:dyDescent="0.25">
      <c r="A331" s="351"/>
      <c r="B331" s="352"/>
      <c r="C331" s="352"/>
      <c r="D331" s="170"/>
      <c r="E331" s="170"/>
      <c r="F331" s="576"/>
      <c r="G331" s="583" t="s">
        <v>1287</v>
      </c>
      <c r="H331" s="584" t="s">
        <v>1249</v>
      </c>
      <c r="I331" s="584" t="s">
        <v>1250</v>
      </c>
      <c r="J331" s="590"/>
      <c r="K331" s="590"/>
      <c r="L331" s="590"/>
      <c r="M331" s="590"/>
      <c r="N331" s="590"/>
      <c r="O331" s="590"/>
      <c r="P331" s="591"/>
      <c r="Q331" s="583" t="s">
        <v>1253</v>
      </c>
      <c r="R331" s="588" t="s">
        <v>1254</v>
      </c>
      <c r="S331" s="588" t="s">
        <v>548</v>
      </c>
      <c r="T331" s="588" t="s">
        <v>90</v>
      </c>
      <c r="U331" s="589">
        <v>357443094</v>
      </c>
      <c r="V331" s="589">
        <v>357443094</v>
      </c>
      <c r="W331" s="588"/>
      <c r="X331" s="588"/>
      <c r="Y331" s="588" t="s">
        <v>55</v>
      </c>
      <c r="Z331" s="588"/>
      <c r="AA331" s="588"/>
      <c r="AB331" s="588"/>
      <c r="AC331" s="588"/>
      <c r="AD331" s="588"/>
      <c r="AE331" s="588"/>
      <c r="AF331" s="589">
        <v>357443094</v>
      </c>
      <c r="AG331" s="580">
        <v>348290400</v>
      </c>
      <c r="AH331" s="162">
        <f t="shared" si="58"/>
        <v>0.97439398283632805</v>
      </c>
      <c r="AI331" s="588"/>
      <c r="AJ331" s="588"/>
      <c r="AK331" s="141"/>
      <c r="AL331" s="574"/>
      <c r="AM331" s="588"/>
    </row>
    <row r="332" spans="1:39" ht="135" x14ac:dyDescent="0.25">
      <c r="A332" s="351"/>
      <c r="B332" s="352"/>
      <c r="C332" s="352"/>
      <c r="D332" s="170"/>
      <c r="E332" s="170"/>
      <c r="F332" s="576"/>
      <c r="G332" s="583" t="s">
        <v>1288</v>
      </c>
      <c r="H332" s="584" t="s">
        <v>1249</v>
      </c>
      <c r="I332" s="584" t="s">
        <v>1250</v>
      </c>
      <c r="J332" s="590"/>
      <c r="K332" s="590"/>
      <c r="L332" s="590"/>
      <c r="M332" s="590"/>
      <c r="N332" s="590"/>
      <c r="O332" s="590"/>
      <c r="P332" s="591"/>
      <c r="Q332" s="583" t="s">
        <v>1253</v>
      </c>
      <c r="R332" s="588" t="s">
        <v>1254</v>
      </c>
      <c r="S332" s="588" t="s">
        <v>548</v>
      </c>
      <c r="T332" s="588" t="s">
        <v>90</v>
      </c>
      <c r="U332" s="589">
        <v>2144658562</v>
      </c>
      <c r="V332" s="589">
        <v>2144658562</v>
      </c>
      <c r="W332" s="588"/>
      <c r="X332" s="588"/>
      <c r="Y332" s="588" t="s">
        <v>55</v>
      </c>
      <c r="Z332" s="588"/>
      <c r="AA332" s="588"/>
      <c r="AB332" s="588"/>
      <c r="AC332" s="588"/>
      <c r="AD332" s="588"/>
      <c r="AE332" s="588"/>
      <c r="AF332" s="589">
        <v>2144658562</v>
      </c>
      <c r="AG332" s="580">
        <v>2090750200</v>
      </c>
      <c r="AH332" s="162">
        <f t="shared" si="58"/>
        <v>0.97486389537468954</v>
      </c>
      <c r="AI332" s="588"/>
      <c r="AJ332" s="588"/>
      <c r="AK332" s="141"/>
      <c r="AL332" s="574"/>
      <c r="AM332" s="588"/>
    </row>
    <row r="333" spans="1:39" ht="157.5" x14ac:dyDescent="0.25">
      <c r="A333" s="351"/>
      <c r="B333" s="352"/>
      <c r="C333" s="352"/>
      <c r="D333" s="170"/>
      <c r="E333" s="170"/>
      <c r="F333" s="576"/>
      <c r="G333" s="583" t="s">
        <v>1289</v>
      </c>
      <c r="H333" s="584" t="s">
        <v>1249</v>
      </c>
      <c r="I333" s="584" t="s">
        <v>1250</v>
      </c>
      <c r="J333" s="590"/>
      <c r="K333" s="590"/>
      <c r="L333" s="590"/>
      <c r="M333" s="590"/>
      <c r="N333" s="590"/>
      <c r="O333" s="590"/>
      <c r="P333" s="591"/>
      <c r="Q333" s="583" t="s">
        <v>1253</v>
      </c>
      <c r="R333" s="588" t="s">
        <v>1254</v>
      </c>
      <c r="S333" s="588" t="s">
        <v>548</v>
      </c>
      <c r="T333" s="588" t="s">
        <v>90</v>
      </c>
      <c r="U333" s="589">
        <v>714886187</v>
      </c>
      <c r="V333" s="589">
        <v>714886187</v>
      </c>
      <c r="W333" s="588"/>
      <c r="X333" s="588"/>
      <c r="Y333" s="588" t="s">
        <v>55</v>
      </c>
      <c r="Z333" s="588"/>
      <c r="AA333" s="588"/>
      <c r="AB333" s="588"/>
      <c r="AC333" s="588"/>
      <c r="AD333" s="588"/>
      <c r="AE333" s="588"/>
      <c r="AF333" s="589">
        <v>714886187</v>
      </c>
      <c r="AG333" s="580">
        <v>697150100</v>
      </c>
      <c r="AH333" s="162">
        <f t="shared" si="58"/>
        <v>0.97519033473785666</v>
      </c>
      <c r="AI333" s="588"/>
      <c r="AJ333" s="588"/>
      <c r="AK333" s="141"/>
      <c r="AL333" s="574"/>
      <c r="AM333" s="588"/>
    </row>
    <row r="334" spans="1:39" ht="146.25" x14ac:dyDescent="0.25">
      <c r="A334" s="351"/>
      <c r="B334" s="352"/>
      <c r="C334" s="352"/>
      <c r="D334" s="170"/>
      <c r="E334" s="170"/>
      <c r="F334" s="576"/>
      <c r="G334" s="583" t="s">
        <v>1290</v>
      </c>
      <c r="H334" s="584" t="s">
        <v>1249</v>
      </c>
      <c r="I334" s="584" t="s">
        <v>1250</v>
      </c>
      <c r="J334" s="590"/>
      <c r="K334" s="590"/>
      <c r="L334" s="590"/>
      <c r="M334" s="590"/>
      <c r="N334" s="590"/>
      <c r="O334" s="590"/>
      <c r="P334" s="591"/>
      <c r="Q334" s="583" t="s">
        <v>1253</v>
      </c>
      <c r="R334" s="588" t="s">
        <v>1254</v>
      </c>
      <c r="S334" s="588" t="s">
        <v>548</v>
      </c>
      <c r="T334" s="588" t="s">
        <v>90</v>
      </c>
      <c r="U334" s="589">
        <v>357443094</v>
      </c>
      <c r="V334" s="589">
        <v>357443094</v>
      </c>
      <c r="W334" s="588"/>
      <c r="X334" s="588"/>
      <c r="Y334" s="588" t="s">
        <v>55</v>
      </c>
      <c r="Z334" s="588"/>
      <c r="AA334" s="588"/>
      <c r="AB334" s="588"/>
      <c r="AC334" s="588"/>
      <c r="AD334" s="588"/>
      <c r="AE334" s="588"/>
      <c r="AF334" s="589">
        <v>357443094</v>
      </c>
      <c r="AG334" s="580">
        <v>348290400</v>
      </c>
      <c r="AH334" s="162">
        <f t="shared" si="58"/>
        <v>0.97439398283632805</v>
      </c>
      <c r="AI334" s="588"/>
      <c r="AJ334" s="588"/>
      <c r="AK334" s="141"/>
      <c r="AL334" s="574"/>
      <c r="AM334" s="588"/>
    </row>
    <row r="335" spans="1:39" ht="123.75" x14ac:dyDescent="0.25">
      <c r="A335" s="351"/>
      <c r="B335" s="352"/>
      <c r="C335" s="352"/>
      <c r="D335" s="170"/>
      <c r="E335" s="170"/>
      <c r="F335" s="576"/>
      <c r="G335" s="583" t="s">
        <v>1291</v>
      </c>
      <c r="H335" s="584" t="s">
        <v>1249</v>
      </c>
      <c r="I335" s="584" t="s">
        <v>1250</v>
      </c>
      <c r="J335" s="590"/>
      <c r="K335" s="590"/>
      <c r="L335" s="590"/>
      <c r="M335" s="590"/>
      <c r="N335" s="590"/>
      <c r="O335" s="590"/>
      <c r="P335" s="591"/>
      <c r="Q335" s="583" t="s">
        <v>1253</v>
      </c>
      <c r="R335" s="588" t="s">
        <v>1254</v>
      </c>
      <c r="S335" s="588" t="s">
        <v>548</v>
      </c>
      <c r="T335" s="588" t="s">
        <v>90</v>
      </c>
      <c r="U335" s="589">
        <v>6308937261</v>
      </c>
      <c r="V335" s="589">
        <v>6308937261</v>
      </c>
      <c r="W335" s="588"/>
      <c r="X335" s="588"/>
      <c r="Y335" s="588" t="s">
        <v>55</v>
      </c>
      <c r="Z335" s="588"/>
      <c r="AA335" s="588"/>
      <c r="AB335" s="588"/>
      <c r="AC335" s="588"/>
      <c r="AD335" s="588"/>
      <c r="AE335" s="588"/>
      <c r="AF335" s="589">
        <v>6308937261</v>
      </c>
      <c r="AG335" s="580">
        <v>6122841923</v>
      </c>
      <c r="AH335" s="162">
        <f t="shared" si="58"/>
        <v>0.97050290242218973</v>
      </c>
      <c r="AI335" s="588"/>
      <c r="AJ335" s="588"/>
      <c r="AK335" s="141"/>
      <c r="AL335" s="574"/>
      <c r="AM335" s="588"/>
    </row>
    <row r="336" spans="1:39" ht="202.5" x14ac:dyDescent="0.25">
      <c r="A336" s="351"/>
      <c r="B336" s="352"/>
      <c r="C336" s="352"/>
      <c r="D336" s="170"/>
      <c r="E336" s="170"/>
      <c r="F336" s="576"/>
      <c r="G336" s="583" t="s">
        <v>1292</v>
      </c>
      <c r="H336" s="584" t="s">
        <v>1249</v>
      </c>
      <c r="I336" s="584" t="s">
        <v>1250</v>
      </c>
      <c r="J336" s="590"/>
      <c r="K336" s="590"/>
      <c r="L336" s="590"/>
      <c r="M336" s="590"/>
      <c r="N336" s="590"/>
      <c r="O336" s="590"/>
      <c r="P336" s="591"/>
      <c r="Q336" s="583" t="s">
        <v>1253</v>
      </c>
      <c r="R336" s="588" t="s">
        <v>1254</v>
      </c>
      <c r="S336" s="588" t="s">
        <v>548</v>
      </c>
      <c r="T336" s="588" t="s">
        <v>90</v>
      </c>
      <c r="U336" s="589">
        <v>5501533901</v>
      </c>
      <c r="V336" s="589">
        <v>5501533901</v>
      </c>
      <c r="W336" s="588"/>
      <c r="X336" s="588"/>
      <c r="Y336" s="588" t="s">
        <v>55</v>
      </c>
      <c r="Z336" s="588"/>
      <c r="AA336" s="588"/>
      <c r="AB336" s="588"/>
      <c r="AC336" s="588"/>
      <c r="AD336" s="588"/>
      <c r="AE336" s="588"/>
      <c r="AF336" s="589">
        <v>5501533901</v>
      </c>
      <c r="AG336" s="580">
        <v>5308857772</v>
      </c>
      <c r="AH336" s="162">
        <f t="shared" si="58"/>
        <v>0.96497774394065305</v>
      </c>
      <c r="AI336" s="588"/>
      <c r="AJ336" s="588"/>
      <c r="AK336" s="141"/>
      <c r="AL336" s="574"/>
      <c r="AM336" s="588"/>
    </row>
    <row r="337" spans="1:39" ht="146.25" x14ac:dyDescent="0.25">
      <c r="A337" s="351"/>
      <c r="B337" s="352"/>
      <c r="C337" s="352"/>
      <c r="D337" s="170"/>
      <c r="E337" s="170"/>
      <c r="F337" s="576"/>
      <c r="G337" s="583" t="s">
        <v>1293</v>
      </c>
      <c r="H337" s="584" t="s">
        <v>1249</v>
      </c>
      <c r="I337" s="584"/>
      <c r="J337" s="590"/>
      <c r="K337" s="590"/>
      <c r="L337" s="590"/>
      <c r="M337" s="590"/>
      <c r="N337" s="590"/>
      <c r="O337" s="590"/>
      <c r="P337" s="591"/>
      <c r="Q337" s="583" t="s">
        <v>1294</v>
      </c>
      <c r="R337" s="588" t="s">
        <v>1242</v>
      </c>
      <c r="S337" s="588" t="s">
        <v>548</v>
      </c>
      <c r="T337" s="588" t="s">
        <v>90</v>
      </c>
      <c r="U337" s="589">
        <v>211780800</v>
      </c>
      <c r="V337" s="589">
        <v>211780800</v>
      </c>
      <c r="W337" s="588"/>
      <c r="X337" s="588"/>
      <c r="Y337" s="588" t="s">
        <v>55</v>
      </c>
      <c r="Z337" s="588"/>
      <c r="AA337" s="588"/>
      <c r="AB337" s="588"/>
      <c r="AC337" s="588"/>
      <c r="AD337" s="588"/>
      <c r="AE337" s="588"/>
      <c r="AF337" s="589">
        <v>211780800</v>
      </c>
      <c r="AG337" s="580">
        <v>211568173.75</v>
      </c>
      <c r="AH337" s="162">
        <f t="shared" si="58"/>
        <v>0.99899600790062182</v>
      </c>
      <c r="AI337" s="588"/>
      <c r="AJ337" s="588"/>
      <c r="AK337" s="141"/>
      <c r="AL337" s="574"/>
      <c r="AM337" s="588"/>
    </row>
    <row r="338" spans="1:39" ht="112.5" x14ac:dyDescent="0.25">
      <c r="A338" s="351"/>
      <c r="B338" s="352"/>
      <c r="C338" s="352"/>
      <c r="D338" s="170"/>
      <c r="E338" s="170"/>
      <c r="F338" s="576"/>
      <c r="G338" s="583" t="s">
        <v>1295</v>
      </c>
      <c r="H338" s="584" t="s">
        <v>1249</v>
      </c>
      <c r="I338" s="584"/>
      <c r="J338" s="590"/>
      <c r="K338" s="590"/>
      <c r="L338" s="590"/>
      <c r="M338" s="590"/>
      <c r="N338" s="590"/>
      <c r="O338" s="590"/>
      <c r="P338" s="591"/>
      <c r="Q338" s="583" t="s">
        <v>1296</v>
      </c>
      <c r="R338" s="588" t="s">
        <v>1274</v>
      </c>
      <c r="S338" s="588" t="s">
        <v>548</v>
      </c>
      <c r="T338" s="588" t="s">
        <v>90</v>
      </c>
      <c r="U338" s="589">
        <v>8839740.5599999987</v>
      </c>
      <c r="V338" s="589">
        <v>8839740.5599999987</v>
      </c>
      <c r="W338" s="588"/>
      <c r="X338" s="588"/>
      <c r="Y338" s="588" t="s">
        <v>55</v>
      </c>
      <c r="Z338" s="588"/>
      <c r="AA338" s="588"/>
      <c r="AB338" s="588"/>
      <c r="AC338" s="588"/>
      <c r="AD338" s="588"/>
      <c r="AE338" s="588"/>
      <c r="AF338" s="589">
        <v>8839740.5599999987</v>
      </c>
      <c r="AG338" s="580">
        <v>7557037.5600000005</v>
      </c>
      <c r="AH338" s="162">
        <f t="shared" si="58"/>
        <v>0.854893592035466</v>
      </c>
      <c r="AI338" s="588"/>
      <c r="AJ338" s="588"/>
      <c r="AK338" s="141"/>
      <c r="AL338" s="574"/>
      <c r="AM338" s="588"/>
    </row>
    <row r="339" spans="1:39" ht="112.5" x14ac:dyDescent="0.25">
      <c r="A339" s="351"/>
      <c r="B339" s="352"/>
      <c r="C339" s="352"/>
      <c r="D339" s="170"/>
      <c r="E339" s="170"/>
      <c r="F339" s="576"/>
      <c r="G339" s="583" t="s">
        <v>1297</v>
      </c>
      <c r="H339" s="584" t="s">
        <v>1249</v>
      </c>
      <c r="I339" s="584"/>
      <c r="J339" s="590"/>
      <c r="K339" s="590"/>
      <c r="L339" s="590"/>
      <c r="M339" s="590"/>
      <c r="N339" s="590"/>
      <c r="O339" s="590"/>
      <c r="P339" s="591"/>
      <c r="Q339" s="583" t="s">
        <v>1298</v>
      </c>
      <c r="R339" s="588" t="s">
        <v>1277</v>
      </c>
      <c r="S339" s="588" t="s">
        <v>548</v>
      </c>
      <c r="T339" s="588" t="s">
        <v>90</v>
      </c>
      <c r="U339" s="589">
        <v>12720000</v>
      </c>
      <c r="V339" s="589">
        <v>12720000</v>
      </c>
      <c r="W339" s="588"/>
      <c r="X339" s="588"/>
      <c r="Y339" s="588" t="s">
        <v>55</v>
      </c>
      <c r="Z339" s="588"/>
      <c r="AA339" s="588"/>
      <c r="AB339" s="588"/>
      <c r="AC339" s="588"/>
      <c r="AD339" s="588"/>
      <c r="AE339" s="588"/>
      <c r="AF339" s="589">
        <v>12720000</v>
      </c>
      <c r="AG339" s="580">
        <v>12720000</v>
      </c>
      <c r="AH339" s="162">
        <f t="shared" si="58"/>
        <v>1</v>
      </c>
      <c r="AI339" s="588"/>
      <c r="AJ339" s="588"/>
      <c r="AK339" s="141"/>
      <c r="AL339" s="574"/>
      <c r="AM339" s="588"/>
    </row>
    <row r="340" spans="1:39" ht="168.75" x14ac:dyDescent="0.25">
      <c r="A340" s="351"/>
      <c r="B340" s="352"/>
      <c r="C340" s="352"/>
      <c r="D340" s="170"/>
      <c r="E340" s="170"/>
      <c r="F340" s="576"/>
      <c r="G340" s="583" t="s">
        <v>1299</v>
      </c>
      <c r="H340" s="584" t="s">
        <v>1249</v>
      </c>
      <c r="I340" s="584" t="s">
        <v>1250</v>
      </c>
      <c r="J340" s="590"/>
      <c r="K340" s="590"/>
      <c r="L340" s="590"/>
      <c r="M340" s="590"/>
      <c r="N340" s="590"/>
      <c r="O340" s="590"/>
      <c r="P340" s="591"/>
      <c r="Q340" s="583" t="s">
        <v>1253</v>
      </c>
      <c r="R340" s="588" t="s">
        <v>1254</v>
      </c>
      <c r="S340" s="588" t="s">
        <v>548</v>
      </c>
      <c r="T340" s="588" t="s">
        <v>90</v>
      </c>
      <c r="U340" s="589">
        <v>50000000</v>
      </c>
      <c r="V340" s="589">
        <v>50000000</v>
      </c>
      <c r="W340" s="588"/>
      <c r="X340" s="588"/>
      <c r="Y340" s="588" t="s">
        <v>55</v>
      </c>
      <c r="Z340" s="588"/>
      <c r="AA340" s="588"/>
      <c r="AB340" s="588"/>
      <c r="AC340" s="588"/>
      <c r="AD340" s="588"/>
      <c r="AE340" s="588"/>
      <c r="AF340" s="589">
        <v>50000000</v>
      </c>
      <c r="AG340" s="580">
        <v>9211899</v>
      </c>
      <c r="AH340" s="162">
        <f t="shared" si="58"/>
        <v>0.18423798</v>
      </c>
      <c r="AI340" s="588"/>
      <c r="AJ340" s="588"/>
      <c r="AK340" s="141"/>
      <c r="AL340" s="574"/>
      <c r="AM340" s="588"/>
    </row>
    <row r="341" spans="1:39" ht="157.5" x14ac:dyDescent="0.25">
      <c r="A341" s="351"/>
      <c r="B341" s="352"/>
      <c r="C341" s="352"/>
      <c r="D341" s="170"/>
      <c r="E341" s="170"/>
      <c r="F341" s="576"/>
      <c r="G341" s="583" t="s">
        <v>1300</v>
      </c>
      <c r="H341" s="584" t="s">
        <v>1249</v>
      </c>
      <c r="I341" s="584" t="s">
        <v>1250</v>
      </c>
      <c r="J341" s="590"/>
      <c r="K341" s="590"/>
      <c r="L341" s="590"/>
      <c r="M341" s="590"/>
      <c r="N341" s="590"/>
      <c r="O341" s="590"/>
      <c r="P341" s="591"/>
      <c r="Q341" s="583" t="s">
        <v>1253</v>
      </c>
      <c r="R341" s="588" t="s">
        <v>1254</v>
      </c>
      <c r="S341" s="588" t="s">
        <v>548</v>
      </c>
      <c r="T341" s="588" t="s">
        <v>90</v>
      </c>
      <c r="U341" s="594">
        <v>70000000</v>
      </c>
      <c r="V341" s="594">
        <v>70000000</v>
      </c>
      <c r="W341" s="588"/>
      <c r="X341" s="588"/>
      <c r="Y341" s="588" t="s">
        <v>55</v>
      </c>
      <c r="Z341" s="588"/>
      <c r="AA341" s="588"/>
      <c r="AB341" s="588"/>
      <c r="AC341" s="588"/>
      <c r="AD341" s="588"/>
      <c r="AE341" s="588"/>
      <c r="AF341" s="594">
        <v>70000000</v>
      </c>
      <c r="AG341" s="580">
        <v>0</v>
      </c>
      <c r="AH341" s="162">
        <f t="shared" si="58"/>
        <v>0</v>
      </c>
      <c r="AI341" s="588"/>
      <c r="AJ341" s="588"/>
      <c r="AK341" s="141"/>
      <c r="AL341" s="574"/>
      <c r="AM341" s="588"/>
    </row>
    <row r="342" spans="1:39" ht="202.5" x14ac:dyDescent="0.25">
      <c r="A342" s="351"/>
      <c r="B342" s="352"/>
      <c r="C342" s="352"/>
      <c r="D342" s="170"/>
      <c r="E342" s="170"/>
      <c r="F342" s="576"/>
      <c r="G342" s="583" t="s">
        <v>1301</v>
      </c>
      <c r="H342" s="584" t="s">
        <v>1249</v>
      </c>
      <c r="I342" s="584" t="s">
        <v>1250</v>
      </c>
      <c r="J342" s="590"/>
      <c r="K342" s="590"/>
      <c r="L342" s="590"/>
      <c r="M342" s="590"/>
      <c r="N342" s="590"/>
      <c r="O342" s="590"/>
      <c r="P342" s="591"/>
      <c r="Q342" s="583" t="s">
        <v>1253</v>
      </c>
      <c r="R342" s="588" t="s">
        <v>1254</v>
      </c>
      <c r="S342" s="588" t="s">
        <v>548</v>
      </c>
      <c r="T342" s="588" t="s">
        <v>90</v>
      </c>
      <c r="U342" s="589">
        <v>619810819</v>
      </c>
      <c r="V342" s="589">
        <v>619810819</v>
      </c>
      <c r="W342" s="588"/>
      <c r="X342" s="588"/>
      <c r="Y342" s="588" t="s">
        <v>55</v>
      </c>
      <c r="Z342" s="588"/>
      <c r="AA342" s="588"/>
      <c r="AB342" s="588"/>
      <c r="AC342" s="588"/>
      <c r="AD342" s="588"/>
      <c r="AE342" s="588"/>
      <c r="AF342" s="589">
        <v>619810819</v>
      </c>
      <c r="AG342" s="580">
        <v>393930497.02999997</v>
      </c>
      <c r="AH342" s="162">
        <f t="shared" si="58"/>
        <v>0.63556569997530166</v>
      </c>
      <c r="AI342" s="588"/>
      <c r="AJ342" s="588"/>
      <c r="AK342" s="141"/>
      <c r="AL342" s="574"/>
      <c r="AM342" s="588"/>
    </row>
    <row r="343" spans="1:39" ht="191.25" x14ac:dyDescent="0.25">
      <c r="A343" s="351"/>
      <c r="B343" s="352"/>
      <c r="C343" s="352"/>
      <c r="D343" s="170"/>
      <c r="E343" s="170"/>
      <c r="F343" s="576"/>
      <c r="G343" s="583" t="s">
        <v>1302</v>
      </c>
      <c r="H343" s="584" t="s">
        <v>1249</v>
      </c>
      <c r="I343" s="584" t="s">
        <v>1250</v>
      </c>
      <c r="J343" s="590"/>
      <c r="K343" s="590"/>
      <c r="L343" s="590"/>
      <c r="M343" s="590"/>
      <c r="N343" s="590"/>
      <c r="O343" s="590"/>
      <c r="P343" s="591"/>
      <c r="Q343" s="583" t="s">
        <v>1253</v>
      </c>
      <c r="R343" s="588" t="s">
        <v>1254</v>
      </c>
      <c r="S343" s="588" t="s">
        <v>548</v>
      </c>
      <c r="T343" s="588" t="s">
        <v>90</v>
      </c>
      <c r="U343" s="589">
        <v>4643415671</v>
      </c>
      <c r="V343" s="589">
        <v>4643415671</v>
      </c>
      <c r="W343" s="588"/>
      <c r="X343" s="588"/>
      <c r="Y343" s="588" t="s">
        <v>55</v>
      </c>
      <c r="Z343" s="588"/>
      <c r="AA343" s="588"/>
      <c r="AB343" s="588"/>
      <c r="AC343" s="588"/>
      <c r="AD343" s="588"/>
      <c r="AE343" s="588"/>
      <c r="AF343" s="589">
        <v>4643415671</v>
      </c>
      <c r="AG343" s="580">
        <v>4582072949</v>
      </c>
      <c r="AH343" s="162">
        <f t="shared" si="58"/>
        <v>0.98678931063977104</v>
      </c>
      <c r="AI343" s="588"/>
      <c r="AJ343" s="588"/>
      <c r="AK343" s="141"/>
      <c r="AL343" s="574"/>
      <c r="AM343" s="588"/>
    </row>
    <row r="344" spans="1:39" ht="180" x14ac:dyDescent="0.25">
      <c r="A344" s="351"/>
      <c r="B344" s="352"/>
      <c r="C344" s="352"/>
      <c r="D344" s="170"/>
      <c r="E344" s="170"/>
      <c r="F344" s="576"/>
      <c r="G344" s="583" t="s">
        <v>1303</v>
      </c>
      <c r="H344" s="584" t="s">
        <v>1249</v>
      </c>
      <c r="I344" s="584" t="s">
        <v>1250</v>
      </c>
      <c r="J344" s="590"/>
      <c r="K344" s="590"/>
      <c r="L344" s="590"/>
      <c r="M344" s="590"/>
      <c r="N344" s="590"/>
      <c r="O344" s="590"/>
      <c r="P344" s="591"/>
      <c r="Q344" s="583" t="s">
        <v>1253</v>
      </c>
      <c r="R344" s="588" t="s">
        <v>1254</v>
      </c>
      <c r="S344" s="588" t="s">
        <v>548</v>
      </c>
      <c r="T344" s="588" t="s">
        <v>90</v>
      </c>
      <c r="U344" s="589">
        <v>30000000</v>
      </c>
      <c r="V344" s="589">
        <v>30000000</v>
      </c>
      <c r="W344" s="588"/>
      <c r="X344" s="588"/>
      <c r="Y344" s="588" t="s">
        <v>55</v>
      </c>
      <c r="Z344" s="588"/>
      <c r="AA344" s="588"/>
      <c r="AB344" s="588"/>
      <c r="AC344" s="588"/>
      <c r="AD344" s="588"/>
      <c r="AE344" s="588"/>
      <c r="AF344" s="589">
        <v>30000000</v>
      </c>
      <c r="AG344" s="580">
        <v>29638871</v>
      </c>
      <c r="AH344" s="162">
        <f t="shared" si="58"/>
        <v>0.9879623666666667</v>
      </c>
      <c r="AI344" s="588"/>
      <c r="AJ344" s="588"/>
      <c r="AK344" s="141"/>
      <c r="AL344" s="574"/>
      <c r="AM344" s="588"/>
    </row>
    <row r="345" spans="1:39" ht="180" x14ac:dyDescent="0.25">
      <c r="A345" s="351"/>
      <c r="B345" s="352"/>
      <c r="C345" s="352"/>
      <c r="D345" s="170"/>
      <c r="E345" s="170"/>
      <c r="F345" s="576"/>
      <c r="G345" s="583" t="s">
        <v>1304</v>
      </c>
      <c r="H345" s="584" t="s">
        <v>1249</v>
      </c>
      <c r="I345" s="584" t="s">
        <v>1250</v>
      </c>
      <c r="J345" s="590"/>
      <c r="K345" s="590"/>
      <c r="L345" s="590"/>
      <c r="M345" s="590"/>
      <c r="N345" s="590"/>
      <c r="O345" s="590"/>
      <c r="P345" s="591"/>
      <c r="Q345" s="583" t="s">
        <v>1253</v>
      </c>
      <c r="R345" s="588" t="s">
        <v>1254</v>
      </c>
      <c r="S345" s="588" t="s">
        <v>548</v>
      </c>
      <c r="T345" s="588" t="s">
        <v>90</v>
      </c>
      <c r="U345" s="589">
        <v>10000000</v>
      </c>
      <c r="V345" s="589">
        <v>10000000</v>
      </c>
      <c r="W345" s="588"/>
      <c r="X345" s="588"/>
      <c r="Y345" s="588" t="s">
        <v>55</v>
      </c>
      <c r="Z345" s="588"/>
      <c r="AA345" s="588"/>
      <c r="AB345" s="588"/>
      <c r="AC345" s="588"/>
      <c r="AD345" s="588"/>
      <c r="AE345" s="588"/>
      <c r="AF345" s="589">
        <v>10000000</v>
      </c>
      <c r="AG345" s="580">
        <v>0</v>
      </c>
      <c r="AH345" s="162">
        <f t="shared" si="58"/>
        <v>0</v>
      </c>
      <c r="AI345" s="588"/>
      <c r="AJ345" s="588"/>
      <c r="AK345" s="141"/>
      <c r="AL345" s="574"/>
      <c r="AM345" s="588"/>
    </row>
    <row r="346" spans="1:39" ht="191.25" x14ac:dyDescent="0.25">
      <c r="A346" s="351"/>
      <c r="B346" s="352"/>
      <c r="C346" s="352"/>
      <c r="D346" s="170"/>
      <c r="E346" s="170"/>
      <c r="F346" s="576"/>
      <c r="G346" s="583" t="s">
        <v>1305</v>
      </c>
      <c r="H346" s="584" t="s">
        <v>1249</v>
      </c>
      <c r="I346" s="584" t="s">
        <v>1250</v>
      </c>
      <c r="J346" s="590"/>
      <c r="K346" s="590"/>
      <c r="L346" s="590"/>
      <c r="M346" s="590"/>
      <c r="N346" s="590"/>
      <c r="O346" s="590"/>
      <c r="P346" s="591"/>
      <c r="Q346" s="583" t="s">
        <v>1253</v>
      </c>
      <c r="R346" s="588" t="s">
        <v>1254</v>
      </c>
      <c r="S346" s="588" t="s">
        <v>548</v>
      </c>
      <c r="T346" s="588" t="s">
        <v>90</v>
      </c>
      <c r="U346" s="589">
        <v>833313198</v>
      </c>
      <c r="V346" s="589">
        <v>833313198</v>
      </c>
      <c r="W346" s="588"/>
      <c r="X346" s="588"/>
      <c r="Y346" s="588" t="s">
        <v>55</v>
      </c>
      <c r="Z346" s="588"/>
      <c r="AA346" s="588"/>
      <c r="AB346" s="588"/>
      <c r="AC346" s="588"/>
      <c r="AD346" s="588"/>
      <c r="AE346" s="588"/>
      <c r="AF346" s="589">
        <v>833313198</v>
      </c>
      <c r="AG346" s="580">
        <v>833313198</v>
      </c>
      <c r="AH346" s="162">
        <f t="shared" si="58"/>
        <v>1</v>
      </c>
      <c r="AI346" s="588"/>
      <c r="AJ346" s="588"/>
      <c r="AK346" s="141"/>
      <c r="AL346" s="574"/>
      <c r="AM346" s="588"/>
    </row>
    <row r="347" spans="1:39" ht="135" x14ac:dyDescent="0.25">
      <c r="A347" s="351"/>
      <c r="B347" s="352"/>
      <c r="C347" s="352"/>
      <c r="D347" s="170"/>
      <c r="E347" s="170"/>
      <c r="F347" s="576"/>
      <c r="G347" s="583" t="s">
        <v>1306</v>
      </c>
      <c r="H347" s="584" t="s">
        <v>1249</v>
      </c>
      <c r="I347" s="584" t="s">
        <v>1250</v>
      </c>
      <c r="J347" s="590"/>
      <c r="K347" s="590"/>
      <c r="L347" s="590"/>
      <c r="M347" s="590"/>
      <c r="N347" s="590"/>
      <c r="O347" s="590"/>
      <c r="P347" s="591"/>
      <c r="Q347" s="583" t="s">
        <v>1253</v>
      </c>
      <c r="R347" s="588" t="s">
        <v>1254</v>
      </c>
      <c r="S347" s="588" t="s">
        <v>548</v>
      </c>
      <c r="T347" s="588" t="s">
        <v>90</v>
      </c>
      <c r="U347" s="589">
        <v>214798106</v>
      </c>
      <c r="V347" s="589">
        <v>214798106</v>
      </c>
      <c r="W347" s="588"/>
      <c r="X347" s="588"/>
      <c r="Y347" s="588" t="s">
        <v>55</v>
      </c>
      <c r="Z347" s="588"/>
      <c r="AA347" s="588"/>
      <c r="AB347" s="588"/>
      <c r="AC347" s="588"/>
      <c r="AD347" s="588"/>
      <c r="AE347" s="588"/>
      <c r="AF347" s="589">
        <v>214798106</v>
      </c>
      <c r="AG347" s="580">
        <v>196866900</v>
      </c>
      <c r="AH347" s="162">
        <f t="shared" si="58"/>
        <v>0.91652065125751159</v>
      </c>
      <c r="AI347" s="588"/>
      <c r="AJ347" s="588"/>
      <c r="AK347" s="141"/>
      <c r="AL347" s="574"/>
      <c r="AM347" s="588"/>
    </row>
    <row r="348" spans="1:39" ht="146.25" x14ac:dyDescent="0.25">
      <c r="A348" s="351"/>
      <c r="B348" s="352"/>
      <c r="C348" s="352"/>
      <c r="D348" s="170"/>
      <c r="E348" s="170"/>
      <c r="F348" s="576"/>
      <c r="G348" s="583" t="s">
        <v>1307</v>
      </c>
      <c r="H348" s="584" t="s">
        <v>1249</v>
      </c>
      <c r="I348" s="584" t="s">
        <v>1250</v>
      </c>
      <c r="J348" s="590"/>
      <c r="K348" s="590"/>
      <c r="L348" s="590"/>
      <c r="M348" s="590"/>
      <c r="N348" s="590"/>
      <c r="O348" s="590"/>
      <c r="P348" s="591"/>
      <c r="Q348" s="583" t="s">
        <v>1253</v>
      </c>
      <c r="R348" s="588" t="s">
        <v>1254</v>
      </c>
      <c r="S348" s="588" t="s">
        <v>548</v>
      </c>
      <c r="T348" s="588" t="s">
        <v>90</v>
      </c>
      <c r="U348" s="589">
        <v>26849763</v>
      </c>
      <c r="V348" s="589">
        <v>26849763</v>
      </c>
      <c r="W348" s="588"/>
      <c r="X348" s="588"/>
      <c r="Y348" s="588" t="s">
        <v>55</v>
      </c>
      <c r="Z348" s="588"/>
      <c r="AA348" s="588"/>
      <c r="AB348" s="588"/>
      <c r="AC348" s="588"/>
      <c r="AD348" s="588"/>
      <c r="AE348" s="588"/>
      <c r="AF348" s="589">
        <v>26849763</v>
      </c>
      <c r="AG348" s="580">
        <v>24619500</v>
      </c>
      <c r="AH348" s="162">
        <f t="shared" si="58"/>
        <v>0.91693546792200731</v>
      </c>
      <c r="AI348" s="588"/>
      <c r="AJ348" s="588"/>
      <c r="AK348" s="141"/>
      <c r="AL348" s="574"/>
      <c r="AM348" s="588"/>
    </row>
    <row r="349" spans="1:39" ht="146.25" x14ac:dyDescent="0.25">
      <c r="A349" s="351"/>
      <c r="B349" s="352"/>
      <c r="C349" s="352"/>
      <c r="D349" s="170"/>
      <c r="E349" s="170"/>
      <c r="F349" s="576"/>
      <c r="G349" s="583" t="s">
        <v>1308</v>
      </c>
      <c r="H349" s="584" t="s">
        <v>1249</v>
      </c>
      <c r="I349" s="584" t="s">
        <v>1250</v>
      </c>
      <c r="J349" s="590"/>
      <c r="K349" s="590"/>
      <c r="L349" s="590"/>
      <c r="M349" s="590"/>
      <c r="N349" s="590"/>
      <c r="O349" s="590"/>
      <c r="P349" s="591"/>
      <c r="Q349" s="583" t="s">
        <v>1253</v>
      </c>
      <c r="R349" s="588" t="s">
        <v>1254</v>
      </c>
      <c r="S349" s="588" t="s">
        <v>548</v>
      </c>
      <c r="T349" s="588" t="s">
        <v>90</v>
      </c>
      <c r="U349" s="589">
        <v>161098580</v>
      </c>
      <c r="V349" s="589">
        <v>161098580</v>
      </c>
      <c r="W349" s="588"/>
      <c r="X349" s="588"/>
      <c r="Y349" s="588" t="s">
        <v>55</v>
      </c>
      <c r="Z349" s="588"/>
      <c r="AA349" s="588"/>
      <c r="AB349" s="588"/>
      <c r="AC349" s="588"/>
      <c r="AD349" s="588"/>
      <c r="AE349" s="588"/>
      <c r="AF349" s="589">
        <v>161098580</v>
      </c>
      <c r="AG349" s="580">
        <v>147639600</v>
      </c>
      <c r="AH349" s="162">
        <f t="shared" si="58"/>
        <v>0.91645500537621127</v>
      </c>
      <c r="AI349" s="588"/>
      <c r="AJ349" s="588"/>
      <c r="AK349" s="141"/>
      <c r="AL349" s="574"/>
      <c r="AM349" s="588"/>
    </row>
    <row r="350" spans="1:39" ht="157.5" x14ac:dyDescent="0.25">
      <c r="A350" s="351"/>
      <c r="B350" s="352"/>
      <c r="C350" s="352"/>
      <c r="D350" s="170"/>
      <c r="E350" s="170"/>
      <c r="F350" s="576"/>
      <c r="G350" s="583" t="s">
        <v>1309</v>
      </c>
      <c r="H350" s="584" t="s">
        <v>1249</v>
      </c>
      <c r="I350" s="584" t="s">
        <v>1250</v>
      </c>
      <c r="J350" s="590"/>
      <c r="K350" s="590"/>
      <c r="L350" s="590"/>
      <c r="M350" s="590"/>
      <c r="N350" s="590"/>
      <c r="O350" s="590"/>
      <c r="P350" s="591"/>
      <c r="Q350" s="583" t="s">
        <v>1253</v>
      </c>
      <c r="R350" s="588" t="s">
        <v>1254</v>
      </c>
      <c r="S350" s="588" t="s">
        <v>548</v>
      </c>
      <c r="T350" s="588" t="s">
        <v>90</v>
      </c>
      <c r="U350" s="589">
        <v>53699527</v>
      </c>
      <c r="V350" s="589">
        <v>53699527</v>
      </c>
      <c r="W350" s="588"/>
      <c r="X350" s="588"/>
      <c r="Y350" s="588" t="s">
        <v>55</v>
      </c>
      <c r="Z350" s="588"/>
      <c r="AA350" s="588"/>
      <c r="AB350" s="588"/>
      <c r="AC350" s="588"/>
      <c r="AD350" s="588"/>
      <c r="AE350" s="588"/>
      <c r="AF350" s="589">
        <v>53699527</v>
      </c>
      <c r="AG350" s="580">
        <v>49201200</v>
      </c>
      <c r="AH350" s="162">
        <f t="shared" si="58"/>
        <v>0.91623153403194779</v>
      </c>
      <c r="AI350" s="588"/>
      <c r="AJ350" s="588"/>
      <c r="AK350" s="141"/>
      <c r="AL350" s="574"/>
      <c r="AM350" s="588"/>
    </row>
    <row r="351" spans="1:39" ht="146.25" x14ac:dyDescent="0.25">
      <c r="A351" s="351"/>
      <c r="B351" s="352"/>
      <c r="C351" s="352"/>
      <c r="D351" s="170"/>
      <c r="E351" s="170"/>
      <c r="F351" s="576"/>
      <c r="G351" s="583" t="s">
        <v>1310</v>
      </c>
      <c r="H351" s="584" t="s">
        <v>1249</v>
      </c>
      <c r="I351" s="584" t="s">
        <v>1250</v>
      </c>
      <c r="J351" s="590"/>
      <c r="K351" s="590"/>
      <c r="L351" s="590"/>
      <c r="M351" s="590"/>
      <c r="N351" s="590"/>
      <c r="O351" s="590"/>
      <c r="P351" s="591"/>
      <c r="Q351" s="583" t="s">
        <v>1253</v>
      </c>
      <c r="R351" s="588" t="s">
        <v>1254</v>
      </c>
      <c r="S351" s="588" t="s">
        <v>548</v>
      </c>
      <c r="T351" s="588" t="s">
        <v>90</v>
      </c>
      <c r="U351" s="589">
        <v>26849763</v>
      </c>
      <c r="V351" s="589">
        <v>26849763</v>
      </c>
      <c r="W351" s="588"/>
      <c r="X351" s="588"/>
      <c r="Y351" s="588" t="s">
        <v>55</v>
      </c>
      <c r="Z351" s="588"/>
      <c r="AA351" s="588"/>
      <c r="AB351" s="588"/>
      <c r="AC351" s="588"/>
      <c r="AD351" s="588"/>
      <c r="AE351" s="588"/>
      <c r="AF351" s="589">
        <v>26849763</v>
      </c>
      <c r="AG351" s="580">
        <v>24619500</v>
      </c>
      <c r="AH351" s="162">
        <f t="shared" si="58"/>
        <v>0.91693546792200731</v>
      </c>
      <c r="AI351" s="588"/>
      <c r="AJ351" s="588"/>
      <c r="AK351" s="141"/>
      <c r="AL351" s="574"/>
      <c r="AM351" s="588"/>
    </row>
    <row r="352" spans="1:39" ht="123.75" x14ac:dyDescent="0.25">
      <c r="A352" s="351"/>
      <c r="B352" s="352"/>
      <c r="C352" s="352"/>
      <c r="D352" s="170"/>
      <c r="E352" s="170"/>
      <c r="F352" s="576"/>
      <c r="G352" s="583" t="s">
        <v>1311</v>
      </c>
      <c r="H352" s="584" t="s">
        <v>1249</v>
      </c>
      <c r="I352" s="584" t="s">
        <v>1250</v>
      </c>
      <c r="J352" s="590"/>
      <c r="K352" s="590"/>
      <c r="L352" s="590"/>
      <c r="M352" s="590"/>
      <c r="N352" s="590"/>
      <c r="O352" s="590"/>
      <c r="P352" s="591"/>
      <c r="Q352" s="583" t="s">
        <v>1253</v>
      </c>
      <c r="R352" s="588" t="s">
        <v>1254</v>
      </c>
      <c r="S352" s="588" t="s">
        <v>548</v>
      </c>
      <c r="T352" s="588" t="s">
        <v>90</v>
      </c>
      <c r="U352" s="589">
        <v>480689009</v>
      </c>
      <c r="V352" s="589">
        <v>480689009</v>
      </c>
      <c r="W352" s="588"/>
      <c r="X352" s="588"/>
      <c r="Y352" s="588" t="s">
        <v>55</v>
      </c>
      <c r="Z352" s="588"/>
      <c r="AA352" s="588"/>
      <c r="AB352" s="588"/>
      <c r="AC352" s="588"/>
      <c r="AD352" s="588"/>
      <c r="AE352" s="588"/>
      <c r="AF352" s="589">
        <v>480689009</v>
      </c>
      <c r="AG352" s="580">
        <v>447472783</v>
      </c>
      <c r="AH352" s="162">
        <f t="shared" si="58"/>
        <v>0.93089871959190151</v>
      </c>
      <c r="AI352" s="588"/>
      <c r="AJ352" s="588"/>
      <c r="AK352" s="141"/>
      <c r="AL352" s="574"/>
      <c r="AM352" s="588"/>
    </row>
    <row r="353" spans="1:39" ht="225" x14ac:dyDescent="0.25">
      <c r="A353" s="351"/>
      <c r="B353" s="352"/>
      <c r="C353" s="352"/>
      <c r="D353" s="170"/>
      <c r="E353" s="170"/>
      <c r="F353" s="576"/>
      <c r="G353" s="583" t="s">
        <v>1312</v>
      </c>
      <c r="H353" s="584" t="s">
        <v>1249</v>
      </c>
      <c r="I353" s="584" t="s">
        <v>1250</v>
      </c>
      <c r="J353" s="590"/>
      <c r="K353" s="590"/>
      <c r="L353" s="590"/>
      <c r="M353" s="590"/>
      <c r="N353" s="590"/>
      <c r="O353" s="590"/>
      <c r="P353" s="591"/>
      <c r="Q353" s="583" t="s">
        <v>1253</v>
      </c>
      <c r="R353" s="588" t="s">
        <v>1254</v>
      </c>
      <c r="S353" s="588" t="s">
        <v>548</v>
      </c>
      <c r="T353" s="588" t="s">
        <v>90</v>
      </c>
      <c r="U353" s="589">
        <v>422740332</v>
      </c>
      <c r="V353" s="589">
        <v>422740332</v>
      </c>
      <c r="W353" s="588"/>
      <c r="X353" s="588"/>
      <c r="Y353" s="588" t="s">
        <v>55</v>
      </c>
      <c r="Z353" s="588"/>
      <c r="AA353" s="588"/>
      <c r="AB353" s="588"/>
      <c r="AC353" s="588"/>
      <c r="AD353" s="588"/>
      <c r="AE353" s="588"/>
      <c r="AF353" s="589">
        <v>422740332</v>
      </c>
      <c r="AG353" s="580">
        <v>388075320</v>
      </c>
      <c r="AH353" s="162">
        <f t="shared" si="58"/>
        <v>0.91799927904678846</v>
      </c>
      <c r="AI353" s="588"/>
      <c r="AJ353" s="588"/>
      <c r="AK353" s="141"/>
      <c r="AL353" s="574"/>
      <c r="AM353" s="588"/>
    </row>
    <row r="354" spans="1:39" ht="157.5" x14ac:dyDescent="0.25">
      <c r="A354" s="351"/>
      <c r="B354" s="352"/>
      <c r="C354" s="352"/>
      <c r="D354" s="170"/>
      <c r="E354" s="170"/>
      <c r="F354" s="576"/>
      <c r="G354" s="583" t="s">
        <v>1313</v>
      </c>
      <c r="H354" s="584" t="s">
        <v>1249</v>
      </c>
      <c r="I354" s="583" t="s">
        <v>1294</v>
      </c>
      <c r="J354" s="590"/>
      <c r="K354" s="590"/>
      <c r="L354" s="590"/>
      <c r="M354" s="590"/>
      <c r="N354" s="590"/>
      <c r="O354" s="590"/>
      <c r="P354" s="591"/>
      <c r="Q354" s="583" t="s">
        <v>1294</v>
      </c>
      <c r="R354" s="588" t="s">
        <v>1314</v>
      </c>
      <c r="S354" s="588" t="s">
        <v>548</v>
      </c>
      <c r="T354" s="588" t="s">
        <v>90</v>
      </c>
      <c r="U354" s="589">
        <v>10122894</v>
      </c>
      <c r="V354" s="589">
        <v>10122894</v>
      </c>
      <c r="W354" s="588"/>
      <c r="X354" s="588"/>
      <c r="Y354" s="588" t="s">
        <v>55</v>
      </c>
      <c r="Z354" s="588"/>
      <c r="AA354" s="588"/>
      <c r="AB354" s="588"/>
      <c r="AC354" s="588"/>
      <c r="AD354" s="588"/>
      <c r="AE354" s="588"/>
      <c r="AF354" s="589">
        <v>10122894</v>
      </c>
      <c r="AG354" s="580">
        <v>3326400</v>
      </c>
      <c r="AH354" s="162">
        <f t="shared" si="58"/>
        <v>0.32860168248328986</v>
      </c>
      <c r="AI354" s="588"/>
      <c r="AJ354" s="588"/>
      <c r="AK354" s="141"/>
      <c r="AL354" s="574"/>
      <c r="AM354" s="588"/>
    </row>
    <row r="355" spans="1:39" ht="112.5" x14ac:dyDescent="0.25">
      <c r="A355" s="351"/>
      <c r="B355" s="352"/>
      <c r="C355" s="352"/>
      <c r="D355" s="170"/>
      <c r="E355" s="170"/>
      <c r="F355" s="576"/>
      <c r="G355" s="583" t="s">
        <v>1315</v>
      </c>
      <c r="H355" s="584" t="s">
        <v>1249</v>
      </c>
      <c r="I355" s="583" t="s">
        <v>1296</v>
      </c>
      <c r="J355" s="590"/>
      <c r="K355" s="590"/>
      <c r="L355" s="590"/>
      <c r="M355" s="590"/>
      <c r="N355" s="590"/>
      <c r="O355" s="590"/>
      <c r="P355" s="591"/>
      <c r="Q355" s="583" t="s">
        <v>1296</v>
      </c>
      <c r="R355" s="588" t="s">
        <v>1274</v>
      </c>
      <c r="S355" s="588" t="s">
        <v>548</v>
      </c>
      <c r="T355" s="588" t="s">
        <v>90</v>
      </c>
      <c r="U355" s="589">
        <v>15000000</v>
      </c>
      <c r="V355" s="589">
        <v>15000000</v>
      </c>
      <c r="W355" s="588"/>
      <c r="X355" s="588"/>
      <c r="Y355" s="588" t="s">
        <v>55</v>
      </c>
      <c r="Z355" s="588"/>
      <c r="AA355" s="588"/>
      <c r="AB355" s="588"/>
      <c r="AC355" s="588"/>
      <c r="AD355" s="588"/>
      <c r="AE355" s="588"/>
      <c r="AF355" s="589">
        <v>15000000</v>
      </c>
      <c r="AG355" s="580">
        <v>13608761.780000001</v>
      </c>
      <c r="AH355" s="162">
        <f t="shared" si="58"/>
        <v>0.90725078533333336</v>
      </c>
      <c r="AI355" s="588"/>
      <c r="AJ355" s="588"/>
      <c r="AK355" s="141"/>
      <c r="AL355" s="574"/>
      <c r="AM355" s="588"/>
    </row>
    <row r="356" spans="1:39" ht="123.75" x14ac:dyDescent="0.25">
      <c r="A356" s="351"/>
      <c r="B356" s="352"/>
      <c r="C356" s="352"/>
      <c r="D356" s="170"/>
      <c r="E356" s="170"/>
      <c r="F356" s="576"/>
      <c r="G356" s="583" t="s">
        <v>1316</v>
      </c>
      <c r="H356" s="584" t="s">
        <v>1249</v>
      </c>
      <c r="I356" s="583" t="s">
        <v>1317</v>
      </c>
      <c r="J356" s="590"/>
      <c r="K356" s="590"/>
      <c r="L356" s="590"/>
      <c r="M356" s="590"/>
      <c r="N356" s="590"/>
      <c r="O356" s="590"/>
      <c r="P356" s="591"/>
      <c r="Q356" s="583" t="s">
        <v>1317</v>
      </c>
      <c r="R356" s="588" t="s">
        <v>1277</v>
      </c>
      <c r="S356" s="588" t="s">
        <v>548</v>
      </c>
      <c r="T356" s="588" t="s">
        <v>90</v>
      </c>
      <c r="U356" s="589">
        <v>15000000</v>
      </c>
      <c r="V356" s="589">
        <v>15000000</v>
      </c>
      <c r="W356" s="588"/>
      <c r="X356" s="588"/>
      <c r="Y356" s="588" t="s">
        <v>55</v>
      </c>
      <c r="Z356" s="588"/>
      <c r="AA356" s="588"/>
      <c r="AB356" s="588"/>
      <c r="AC356" s="588"/>
      <c r="AD356" s="588"/>
      <c r="AE356" s="588"/>
      <c r="AF356" s="589">
        <v>15000000</v>
      </c>
      <c r="AG356" s="589">
        <v>15000000</v>
      </c>
      <c r="AH356" s="162">
        <f t="shared" si="58"/>
        <v>1</v>
      </c>
      <c r="AI356" s="588"/>
      <c r="AJ356" s="588"/>
      <c r="AK356" s="141"/>
      <c r="AL356" s="574"/>
      <c r="AM356" s="588"/>
    </row>
    <row r="357" spans="1:39" ht="146.25" x14ac:dyDescent="0.25">
      <c r="A357" s="351"/>
      <c r="B357" s="352"/>
      <c r="C357" s="352"/>
      <c r="D357" s="170"/>
      <c r="E357" s="170"/>
      <c r="F357" s="576"/>
      <c r="G357" s="583" t="s">
        <v>1318</v>
      </c>
      <c r="H357" s="584" t="s">
        <v>1249</v>
      </c>
      <c r="I357" s="583" t="s">
        <v>1319</v>
      </c>
      <c r="J357" s="590"/>
      <c r="K357" s="590"/>
      <c r="L357" s="590"/>
      <c r="M357" s="590"/>
      <c r="N357" s="590"/>
      <c r="O357" s="590"/>
      <c r="P357" s="591"/>
      <c r="Q357" s="583" t="s">
        <v>1319</v>
      </c>
      <c r="R357" s="588" t="s">
        <v>1270</v>
      </c>
      <c r="S357" s="588" t="s">
        <v>548</v>
      </c>
      <c r="T357" s="588" t="s">
        <v>90</v>
      </c>
      <c r="U357" s="589">
        <v>180326600</v>
      </c>
      <c r="V357" s="589">
        <v>180326600</v>
      </c>
      <c r="W357" s="588"/>
      <c r="X357" s="588"/>
      <c r="Y357" s="588" t="s">
        <v>55</v>
      </c>
      <c r="Z357" s="588"/>
      <c r="AA357" s="588"/>
      <c r="AB357" s="588"/>
      <c r="AC357" s="588"/>
      <c r="AD357" s="588"/>
      <c r="AE357" s="588"/>
      <c r="AF357" s="589">
        <v>180326600</v>
      </c>
      <c r="AG357" s="580">
        <v>0</v>
      </c>
      <c r="AH357" s="162">
        <f t="shared" si="58"/>
        <v>0</v>
      </c>
      <c r="AI357" s="588"/>
      <c r="AJ357" s="588"/>
      <c r="AK357" s="141"/>
      <c r="AL357" s="574"/>
      <c r="AM357" s="588"/>
    </row>
    <row r="358" spans="1:39" ht="180" x14ac:dyDescent="0.25">
      <c r="A358" s="351"/>
      <c r="B358" s="352"/>
      <c r="C358" s="352"/>
      <c r="D358" s="170"/>
      <c r="E358" s="170"/>
      <c r="F358" s="576"/>
      <c r="G358" s="583" t="s">
        <v>1320</v>
      </c>
      <c r="H358" s="584" t="s">
        <v>1249</v>
      </c>
      <c r="I358" s="583" t="s">
        <v>1321</v>
      </c>
      <c r="J358" s="590"/>
      <c r="K358" s="590"/>
      <c r="L358" s="590"/>
      <c r="M358" s="590"/>
      <c r="N358" s="590"/>
      <c r="O358" s="590"/>
      <c r="P358" s="591"/>
      <c r="Q358" s="583" t="s">
        <v>1321</v>
      </c>
      <c r="R358" s="588" t="s">
        <v>1270</v>
      </c>
      <c r="S358" s="588" t="s">
        <v>548</v>
      </c>
      <c r="T358" s="588" t="s">
        <v>90</v>
      </c>
      <c r="U358" s="589">
        <v>1290213706</v>
      </c>
      <c r="V358" s="589">
        <v>1290213706</v>
      </c>
      <c r="W358" s="588"/>
      <c r="X358" s="588"/>
      <c r="Y358" s="588" t="s">
        <v>55</v>
      </c>
      <c r="Z358" s="588"/>
      <c r="AA358" s="588"/>
      <c r="AB358" s="588"/>
      <c r="AC358" s="588"/>
      <c r="AD358" s="588"/>
      <c r="AE358" s="588"/>
      <c r="AF358" s="589">
        <v>1290213706</v>
      </c>
      <c r="AG358" s="580">
        <v>1290058748</v>
      </c>
      <c r="AH358" s="162">
        <f t="shared" si="58"/>
        <v>0.99987989741600214</v>
      </c>
      <c r="AI358" s="588"/>
      <c r="AJ358" s="588"/>
      <c r="AK358" s="141"/>
      <c r="AL358" s="574"/>
      <c r="AM358" s="588"/>
    </row>
    <row r="359" spans="1:39" ht="157.5" x14ac:dyDescent="0.25">
      <c r="A359" s="351"/>
      <c r="B359" s="352"/>
      <c r="C359" s="352"/>
      <c r="D359" s="170"/>
      <c r="E359" s="170"/>
      <c r="F359" s="576"/>
      <c r="G359" s="583" t="s">
        <v>1322</v>
      </c>
      <c r="H359" s="584" t="s">
        <v>1249</v>
      </c>
      <c r="I359" s="583" t="s">
        <v>1323</v>
      </c>
      <c r="J359" s="590"/>
      <c r="K359" s="590"/>
      <c r="L359" s="590"/>
      <c r="M359" s="590"/>
      <c r="N359" s="590"/>
      <c r="O359" s="590"/>
      <c r="P359" s="591"/>
      <c r="Q359" s="583" t="s">
        <v>1323</v>
      </c>
      <c r="R359" s="588" t="s">
        <v>1270</v>
      </c>
      <c r="S359" s="588" t="s">
        <v>548</v>
      </c>
      <c r="T359" s="588" t="s">
        <v>90</v>
      </c>
      <c r="U359" s="589">
        <v>125776000</v>
      </c>
      <c r="V359" s="589">
        <v>125776000</v>
      </c>
      <c r="W359" s="588"/>
      <c r="X359" s="588"/>
      <c r="Y359" s="588" t="s">
        <v>55</v>
      </c>
      <c r="Z359" s="588"/>
      <c r="AA359" s="588"/>
      <c r="AB359" s="588"/>
      <c r="AC359" s="588"/>
      <c r="AD359" s="588"/>
      <c r="AE359" s="588"/>
      <c r="AF359" s="589">
        <v>125776000</v>
      </c>
      <c r="AG359" s="580">
        <v>0</v>
      </c>
      <c r="AH359" s="162">
        <f t="shared" si="58"/>
        <v>0</v>
      </c>
      <c r="AI359" s="588"/>
      <c r="AJ359" s="588"/>
      <c r="AK359" s="141"/>
      <c r="AL359" s="574"/>
      <c r="AM359" s="588"/>
    </row>
    <row r="360" spans="1:39" ht="157.5" x14ac:dyDescent="0.25">
      <c r="A360" s="351"/>
      <c r="B360" s="352"/>
      <c r="C360" s="352"/>
      <c r="D360" s="170"/>
      <c r="E360" s="170"/>
      <c r="F360" s="576"/>
      <c r="G360" s="583" t="s">
        <v>1324</v>
      </c>
      <c r="H360" s="584" t="s">
        <v>1249</v>
      </c>
      <c r="I360" s="583" t="s">
        <v>1325</v>
      </c>
      <c r="J360" s="590"/>
      <c r="K360" s="590"/>
      <c r="L360" s="590"/>
      <c r="M360" s="590"/>
      <c r="N360" s="590"/>
      <c r="O360" s="590"/>
      <c r="P360" s="591"/>
      <c r="Q360" s="583" t="s">
        <v>1325</v>
      </c>
      <c r="R360" s="588" t="s">
        <v>1326</v>
      </c>
      <c r="S360" s="588" t="s">
        <v>548</v>
      </c>
      <c r="T360" s="588" t="s">
        <v>90</v>
      </c>
      <c r="U360" s="589">
        <v>182235317.05000001</v>
      </c>
      <c r="V360" s="589">
        <v>182235317.05000001</v>
      </c>
      <c r="W360" s="588"/>
      <c r="X360" s="588"/>
      <c r="Y360" s="588" t="s">
        <v>55</v>
      </c>
      <c r="Z360" s="588"/>
      <c r="AA360" s="588"/>
      <c r="AB360" s="588"/>
      <c r="AC360" s="588"/>
      <c r="AD360" s="588"/>
      <c r="AE360" s="588"/>
      <c r="AF360" s="589">
        <v>182235317.05000001</v>
      </c>
      <c r="AG360" s="580">
        <v>13391000</v>
      </c>
      <c r="AH360" s="162">
        <f t="shared" si="58"/>
        <v>7.3481914574911419E-2</v>
      </c>
      <c r="AI360" s="588"/>
      <c r="AJ360" s="588"/>
      <c r="AK360" s="141"/>
      <c r="AL360" s="574"/>
      <c r="AM360" s="588"/>
    </row>
    <row r="361" spans="1:39" ht="112.5" x14ac:dyDescent="0.25">
      <c r="A361" s="351"/>
      <c r="B361" s="352"/>
      <c r="C361" s="352"/>
      <c r="D361" s="170"/>
      <c r="E361" s="170"/>
      <c r="F361" s="576"/>
      <c r="G361" s="583" t="s">
        <v>1327</v>
      </c>
      <c r="H361" s="584" t="s">
        <v>1249</v>
      </c>
      <c r="I361" s="583" t="s">
        <v>1328</v>
      </c>
      <c r="J361" s="590"/>
      <c r="K361" s="590"/>
      <c r="L361" s="590"/>
      <c r="M361" s="590"/>
      <c r="N361" s="590"/>
      <c r="O361" s="590"/>
      <c r="P361" s="591"/>
      <c r="Q361" s="583" t="s">
        <v>1328</v>
      </c>
      <c r="R361" s="588" t="s">
        <v>1329</v>
      </c>
      <c r="S361" s="588" t="s">
        <v>548</v>
      </c>
      <c r="T361" s="588" t="s">
        <v>90</v>
      </c>
      <c r="U361" s="589">
        <v>278209263</v>
      </c>
      <c r="V361" s="589">
        <v>278209263</v>
      </c>
      <c r="W361" s="588"/>
      <c r="X361" s="588"/>
      <c r="Y361" s="588" t="s">
        <v>55</v>
      </c>
      <c r="Z361" s="588"/>
      <c r="AA361" s="588"/>
      <c r="AB361" s="588"/>
      <c r="AC361" s="588"/>
      <c r="AD361" s="588"/>
      <c r="AE361" s="588"/>
      <c r="AF361" s="589">
        <v>278209263</v>
      </c>
      <c r="AG361" s="580">
        <v>0</v>
      </c>
      <c r="AH361" s="162">
        <f t="shared" si="58"/>
        <v>0</v>
      </c>
      <c r="AI361" s="588"/>
      <c r="AJ361" s="588"/>
      <c r="AK361" s="141"/>
      <c r="AL361" s="574"/>
      <c r="AM361" s="588"/>
    </row>
    <row r="362" spans="1:39" ht="202.5" x14ac:dyDescent="0.25">
      <c r="A362" s="351"/>
      <c r="B362" s="352"/>
      <c r="C362" s="352"/>
      <c r="D362" s="170"/>
      <c r="E362" s="170"/>
      <c r="F362" s="576"/>
      <c r="G362" s="583" t="s">
        <v>1330</v>
      </c>
      <c r="H362" s="584" t="s">
        <v>1249</v>
      </c>
      <c r="I362" s="584" t="s">
        <v>1250</v>
      </c>
      <c r="J362" s="590"/>
      <c r="K362" s="590"/>
      <c r="L362" s="590"/>
      <c r="M362" s="590"/>
      <c r="N362" s="590"/>
      <c r="O362" s="590"/>
      <c r="P362" s="591"/>
      <c r="Q362" s="583" t="s">
        <v>1253</v>
      </c>
      <c r="R362" s="588" t="s">
        <v>1254</v>
      </c>
      <c r="S362" s="588" t="s">
        <v>548</v>
      </c>
      <c r="T362" s="588" t="s">
        <v>90</v>
      </c>
      <c r="U362" s="594">
        <v>406940901.68000001</v>
      </c>
      <c r="V362" s="594">
        <v>406940901.68000001</v>
      </c>
      <c r="W362" s="588"/>
      <c r="X362" s="588"/>
      <c r="Y362" s="588" t="s">
        <v>55</v>
      </c>
      <c r="Z362" s="588"/>
      <c r="AA362" s="588"/>
      <c r="AB362" s="588"/>
      <c r="AC362" s="588"/>
      <c r="AD362" s="588"/>
      <c r="AE362" s="588"/>
      <c r="AF362" s="594">
        <v>406940901.68000001</v>
      </c>
      <c r="AG362" s="580">
        <v>0</v>
      </c>
      <c r="AH362" s="162">
        <f t="shared" si="58"/>
        <v>0</v>
      </c>
      <c r="AI362" s="588"/>
      <c r="AJ362" s="588"/>
      <c r="AK362" s="141"/>
      <c r="AL362" s="574"/>
      <c r="AM362" s="588"/>
    </row>
    <row r="363" spans="1:39" ht="236.25" x14ac:dyDescent="0.25">
      <c r="A363" s="351"/>
      <c r="B363" s="352"/>
      <c r="C363" s="352"/>
      <c r="D363" s="170"/>
      <c r="E363" s="170"/>
      <c r="F363" s="576"/>
      <c r="G363" s="583" t="s">
        <v>1331</v>
      </c>
      <c r="H363" s="584" t="s">
        <v>1249</v>
      </c>
      <c r="I363" s="584" t="s">
        <v>1250</v>
      </c>
      <c r="J363" s="590"/>
      <c r="K363" s="590"/>
      <c r="L363" s="590"/>
      <c r="M363" s="590"/>
      <c r="N363" s="590"/>
      <c r="O363" s="590"/>
      <c r="P363" s="591"/>
      <c r="Q363" s="583" t="s">
        <v>1332</v>
      </c>
      <c r="R363" s="588" t="s">
        <v>1270</v>
      </c>
      <c r="S363" s="588" t="s">
        <v>548</v>
      </c>
      <c r="T363" s="588" t="s">
        <v>90</v>
      </c>
      <c r="U363" s="589">
        <v>7748569794.7599993</v>
      </c>
      <c r="V363" s="589">
        <v>7748569794.7599993</v>
      </c>
      <c r="W363" s="588"/>
      <c r="X363" s="588"/>
      <c r="Y363" s="588" t="s">
        <v>55</v>
      </c>
      <c r="Z363" s="588"/>
      <c r="AA363" s="588"/>
      <c r="AB363" s="588"/>
      <c r="AC363" s="588"/>
      <c r="AD363" s="588"/>
      <c r="AE363" s="588"/>
      <c r="AF363" s="589">
        <v>7748569794.7599993</v>
      </c>
      <c r="AG363" s="580">
        <v>2140766</v>
      </c>
      <c r="AH363" s="289">
        <f t="shared" si="58"/>
        <v>2.7627885618939659E-4</v>
      </c>
      <c r="AI363" s="588"/>
      <c r="AJ363" s="588"/>
      <c r="AK363" s="141"/>
      <c r="AL363" s="574"/>
      <c r="AM363" s="588"/>
    </row>
    <row r="364" spans="1:39" ht="213.75" x14ac:dyDescent="0.25">
      <c r="A364" s="351"/>
      <c r="B364" s="352"/>
      <c r="C364" s="352"/>
      <c r="D364" s="170"/>
      <c r="E364" s="170"/>
      <c r="F364" s="576"/>
      <c r="G364" s="583" t="s">
        <v>1333</v>
      </c>
      <c r="H364" s="584" t="s">
        <v>1249</v>
      </c>
      <c r="I364" s="584" t="s">
        <v>1250</v>
      </c>
      <c r="J364" s="590"/>
      <c r="K364" s="590"/>
      <c r="L364" s="590"/>
      <c r="M364" s="590"/>
      <c r="N364" s="590"/>
      <c r="O364" s="590"/>
      <c r="P364" s="591"/>
      <c r="Q364" s="583" t="s">
        <v>1334</v>
      </c>
      <c r="R364" s="588" t="s">
        <v>1270</v>
      </c>
      <c r="S364" s="588" t="s">
        <v>548</v>
      </c>
      <c r="T364" s="588" t="s">
        <v>90</v>
      </c>
      <c r="U364" s="589">
        <v>72119355</v>
      </c>
      <c r="V364" s="589">
        <v>72119355</v>
      </c>
      <c r="W364" s="588"/>
      <c r="X364" s="588"/>
      <c r="Y364" s="588" t="s">
        <v>55</v>
      </c>
      <c r="Z364" s="588"/>
      <c r="AA364" s="588"/>
      <c r="AB364" s="588"/>
      <c r="AC364" s="588"/>
      <c r="AD364" s="588"/>
      <c r="AE364" s="588"/>
      <c r="AF364" s="589">
        <v>72119355</v>
      </c>
      <c r="AG364" s="580">
        <v>71955800</v>
      </c>
      <c r="AH364" s="162">
        <f t="shared" si="58"/>
        <v>0.9977321621914117</v>
      </c>
      <c r="AI364" s="588"/>
      <c r="AJ364" s="588"/>
      <c r="AK364" s="141"/>
      <c r="AL364" s="574"/>
      <c r="AM364" s="588"/>
    </row>
    <row r="365" spans="1:39" ht="180" x14ac:dyDescent="0.25">
      <c r="A365" s="351"/>
      <c r="B365" s="352"/>
      <c r="C365" s="352"/>
      <c r="D365" s="170"/>
      <c r="E365" s="170"/>
      <c r="F365" s="576"/>
      <c r="G365" s="583" t="s">
        <v>1335</v>
      </c>
      <c r="H365" s="584" t="s">
        <v>1249</v>
      </c>
      <c r="I365" s="584" t="s">
        <v>1250</v>
      </c>
      <c r="J365" s="590"/>
      <c r="K365" s="590"/>
      <c r="L365" s="590"/>
      <c r="M365" s="590"/>
      <c r="N365" s="590"/>
      <c r="O365" s="590"/>
      <c r="P365" s="591"/>
      <c r="Q365" s="583" t="s">
        <v>1335</v>
      </c>
      <c r="R365" s="588" t="s">
        <v>1270</v>
      </c>
      <c r="S365" s="588" t="s">
        <v>548</v>
      </c>
      <c r="T365" s="588" t="s">
        <v>90</v>
      </c>
      <c r="U365" s="589">
        <v>79336000</v>
      </c>
      <c r="V365" s="589">
        <v>79336000</v>
      </c>
      <c r="W365" s="588"/>
      <c r="X365" s="588"/>
      <c r="Y365" s="588" t="s">
        <v>55</v>
      </c>
      <c r="Z365" s="588"/>
      <c r="AA365" s="588"/>
      <c r="AB365" s="588"/>
      <c r="AC365" s="588"/>
      <c r="AD365" s="588"/>
      <c r="AE365" s="588"/>
      <c r="AF365" s="589">
        <v>79336000</v>
      </c>
      <c r="AG365" s="580">
        <v>79335996</v>
      </c>
      <c r="AH365" s="162">
        <f t="shared" si="58"/>
        <v>0.99999994958152671</v>
      </c>
      <c r="AI365" s="588"/>
      <c r="AJ365" s="588"/>
      <c r="AK365" s="141"/>
      <c r="AL365" s="574"/>
      <c r="AM365" s="588"/>
    </row>
    <row r="366" spans="1:39" ht="247.5" x14ac:dyDescent="0.25">
      <c r="A366" s="351"/>
      <c r="B366" s="352"/>
      <c r="C366" s="352"/>
      <c r="D366" s="170"/>
      <c r="E366" s="170"/>
      <c r="F366" s="576"/>
      <c r="G366" s="584" t="s">
        <v>1336</v>
      </c>
      <c r="H366" s="584" t="s">
        <v>1249</v>
      </c>
      <c r="I366" s="584" t="s">
        <v>1250</v>
      </c>
      <c r="J366" s="590"/>
      <c r="K366" s="590"/>
      <c r="L366" s="590"/>
      <c r="M366" s="590"/>
      <c r="N366" s="590"/>
      <c r="O366" s="590"/>
      <c r="P366" s="591"/>
      <c r="Q366" s="584" t="s">
        <v>1337</v>
      </c>
      <c r="R366" s="588" t="s">
        <v>1338</v>
      </c>
      <c r="S366" s="588" t="s">
        <v>548</v>
      </c>
      <c r="T366" s="588" t="s">
        <v>90</v>
      </c>
      <c r="U366" s="589">
        <v>95000000</v>
      </c>
      <c r="V366" s="589">
        <v>95000000</v>
      </c>
      <c r="W366" s="588"/>
      <c r="X366" s="588"/>
      <c r="Y366" s="588" t="s">
        <v>55</v>
      </c>
      <c r="Z366" s="588"/>
      <c r="AA366" s="588"/>
      <c r="AB366" s="588"/>
      <c r="AC366" s="588"/>
      <c r="AD366" s="588"/>
      <c r="AE366" s="588"/>
      <c r="AF366" s="589">
        <v>95000000</v>
      </c>
      <c r="AG366" s="580">
        <v>94992398</v>
      </c>
      <c r="AH366" s="162">
        <f t="shared" si="58"/>
        <v>0.99991997894736839</v>
      </c>
      <c r="AI366" s="588"/>
      <c r="AJ366" s="588"/>
      <c r="AK366" s="141"/>
      <c r="AL366" s="574"/>
      <c r="AM366" s="588"/>
    </row>
    <row r="367" spans="1:39" ht="123.75" x14ac:dyDescent="0.25">
      <c r="A367" s="351"/>
      <c r="B367" s="352"/>
      <c r="C367" s="352"/>
      <c r="D367" s="170"/>
      <c r="E367" s="170"/>
      <c r="F367" s="576"/>
      <c r="G367" s="595" t="s">
        <v>1339</v>
      </c>
      <c r="H367" s="584" t="s">
        <v>1249</v>
      </c>
      <c r="I367" s="584" t="s">
        <v>1250</v>
      </c>
      <c r="J367" s="590"/>
      <c r="K367" s="590"/>
      <c r="L367" s="590"/>
      <c r="M367" s="590"/>
      <c r="N367" s="590"/>
      <c r="O367" s="590"/>
      <c r="P367" s="591"/>
      <c r="Q367" s="595" t="s">
        <v>1339</v>
      </c>
      <c r="R367" s="588" t="s">
        <v>1338</v>
      </c>
      <c r="S367" s="588" t="s">
        <v>548</v>
      </c>
      <c r="T367" s="588" t="s">
        <v>90</v>
      </c>
      <c r="U367" s="589">
        <v>47500000</v>
      </c>
      <c r="V367" s="589">
        <v>47500000</v>
      </c>
      <c r="W367" s="588"/>
      <c r="X367" s="588"/>
      <c r="Y367" s="588" t="s">
        <v>55</v>
      </c>
      <c r="Z367" s="588"/>
      <c r="AA367" s="588"/>
      <c r="AB367" s="588"/>
      <c r="AC367" s="588"/>
      <c r="AD367" s="588"/>
      <c r="AE367" s="588"/>
      <c r="AF367" s="589">
        <v>47500000</v>
      </c>
      <c r="AG367" s="580">
        <v>47000000</v>
      </c>
      <c r="AH367" s="162">
        <f t="shared" si="58"/>
        <v>0.98947368421052628</v>
      </c>
      <c r="AI367" s="588"/>
      <c r="AJ367" s="588"/>
      <c r="AK367" s="141"/>
      <c r="AL367" s="574"/>
      <c r="AM367" s="588"/>
    </row>
    <row r="368" spans="1:39" ht="112.5" x14ac:dyDescent="0.25">
      <c r="A368" s="351"/>
      <c r="B368" s="352"/>
      <c r="C368" s="352"/>
      <c r="D368" s="170"/>
      <c r="E368" s="170"/>
      <c r="F368" s="576"/>
      <c r="G368" s="596" t="s">
        <v>1340</v>
      </c>
      <c r="H368" s="584" t="s">
        <v>1249</v>
      </c>
      <c r="I368" s="584" t="s">
        <v>1250</v>
      </c>
      <c r="J368" s="590"/>
      <c r="K368" s="590"/>
      <c r="L368" s="590"/>
      <c r="M368" s="590"/>
      <c r="N368" s="590"/>
      <c r="O368" s="590"/>
      <c r="P368" s="591"/>
      <c r="Q368" s="596" t="s">
        <v>1341</v>
      </c>
      <c r="R368" s="588" t="s">
        <v>1342</v>
      </c>
      <c r="S368" s="588" t="s">
        <v>548</v>
      </c>
      <c r="T368" s="588" t="s">
        <v>90</v>
      </c>
      <c r="U368" s="589">
        <v>130000000</v>
      </c>
      <c r="V368" s="589">
        <v>130000000</v>
      </c>
      <c r="W368" s="588"/>
      <c r="X368" s="588"/>
      <c r="Y368" s="588" t="s">
        <v>55</v>
      </c>
      <c r="Z368" s="588"/>
      <c r="AA368" s="588"/>
      <c r="AB368" s="588"/>
      <c r="AC368" s="588"/>
      <c r="AD368" s="588"/>
      <c r="AE368" s="588"/>
      <c r="AF368" s="589">
        <v>130000000</v>
      </c>
      <c r="AG368" s="580">
        <v>130000000</v>
      </c>
      <c r="AH368" s="162">
        <f t="shared" si="58"/>
        <v>1</v>
      </c>
      <c r="AI368" s="588"/>
      <c r="AJ368" s="588"/>
      <c r="AK368" s="141"/>
      <c r="AL368" s="574"/>
      <c r="AM368" s="588"/>
    </row>
    <row r="369" spans="1:39" ht="112.5" x14ac:dyDescent="0.25">
      <c r="A369" s="351"/>
      <c r="B369" s="352"/>
      <c r="C369" s="352"/>
      <c r="D369" s="170"/>
      <c r="E369" s="170"/>
      <c r="F369" s="576"/>
      <c r="G369" s="596" t="s">
        <v>1343</v>
      </c>
      <c r="H369" s="584" t="s">
        <v>1249</v>
      </c>
      <c r="I369" s="584" t="s">
        <v>1250</v>
      </c>
      <c r="J369" s="597"/>
      <c r="K369" s="597"/>
      <c r="L369" s="597"/>
      <c r="M369" s="597"/>
      <c r="N369" s="597"/>
      <c r="O369" s="597"/>
      <c r="P369" s="598"/>
      <c r="Q369" s="596" t="s">
        <v>1343</v>
      </c>
      <c r="R369" s="588" t="s">
        <v>1270</v>
      </c>
      <c r="S369" s="588" t="s">
        <v>548</v>
      </c>
      <c r="T369" s="588" t="s">
        <v>90</v>
      </c>
      <c r="U369" s="589">
        <v>123557335.45999999</v>
      </c>
      <c r="V369" s="589">
        <v>123557335.45999999</v>
      </c>
      <c r="W369" s="588"/>
      <c r="X369" s="588"/>
      <c r="Y369" s="588" t="s">
        <v>55</v>
      </c>
      <c r="Z369" s="588"/>
      <c r="AA369" s="588"/>
      <c r="AB369" s="588"/>
      <c r="AC369" s="588"/>
      <c r="AD369" s="588"/>
      <c r="AE369" s="588"/>
      <c r="AF369" s="589">
        <v>123557335.45999999</v>
      </c>
      <c r="AG369" s="580">
        <v>0</v>
      </c>
      <c r="AH369" s="162">
        <f t="shared" ref="AH369:AH370" si="59">+AG369/AF369</f>
        <v>0</v>
      </c>
      <c r="AI369" s="588"/>
      <c r="AJ369" s="588"/>
      <c r="AK369" s="141"/>
      <c r="AL369" s="574"/>
      <c r="AM369" s="588"/>
    </row>
    <row r="370" spans="1:39" ht="33.75" x14ac:dyDescent="0.25">
      <c r="A370" s="351"/>
      <c r="B370" s="352"/>
      <c r="C370" s="352"/>
      <c r="D370" s="142" t="s">
        <v>1038</v>
      </c>
      <c r="E370" s="142"/>
      <c r="F370" s="110" t="s">
        <v>158</v>
      </c>
      <c r="G370" s="110"/>
      <c r="H370" s="110"/>
      <c r="I370" s="110"/>
      <c r="J370" s="112"/>
      <c r="K370" s="262">
        <f>SUM(K304)</f>
        <v>100</v>
      </c>
      <c r="L370" s="112"/>
      <c r="M370" s="112"/>
      <c r="N370" s="112"/>
      <c r="O370" s="112"/>
      <c r="P370" s="112"/>
      <c r="Q370" s="112"/>
      <c r="R370" s="112"/>
      <c r="S370" s="112"/>
      <c r="T370" s="112"/>
      <c r="U370" s="112"/>
      <c r="V370" s="112"/>
      <c r="W370" s="112"/>
      <c r="X370" s="112"/>
      <c r="Y370" s="112"/>
      <c r="Z370" s="112"/>
      <c r="AA370" s="112"/>
      <c r="AB370" s="112"/>
      <c r="AC370" s="112"/>
      <c r="AD370" s="112"/>
      <c r="AE370" s="112"/>
      <c r="AF370" s="112"/>
      <c r="AG370" s="112"/>
      <c r="AH370" s="112"/>
      <c r="AI370" s="112"/>
      <c r="AJ370" s="112"/>
      <c r="AK370" s="112"/>
      <c r="AL370" s="553"/>
      <c r="AM370" s="112"/>
    </row>
    <row r="371" spans="1:39" ht="22.5" x14ac:dyDescent="0.25">
      <c r="A371" s="351"/>
      <c r="B371" s="352"/>
      <c r="C371" s="352"/>
      <c r="D371" s="279" t="s">
        <v>376</v>
      </c>
      <c r="E371" s="279"/>
      <c r="F371" s="599"/>
      <c r="G371" s="599"/>
      <c r="H371" s="599"/>
      <c r="I371" s="599"/>
      <c r="J371" s="599"/>
      <c r="K371" s="600"/>
      <c r="L371" s="599"/>
      <c r="M371" s="599"/>
      <c r="N371" s="599"/>
      <c r="O371" s="599"/>
      <c r="P371" s="601"/>
      <c r="Q371" s="599"/>
      <c r="R371" s="599"/>
      <c r="S371" s="599"/>
      <c r="T371" s="599"/>
      <c r="U371" s="599"/>
      <c r="V371" s="599"/>
      <c r="W371" s="599"/>
      <c r="X371" s="599"/>
      <c r="Y371" s="599"/>
      <c r="Z371" s="599"/>
      <c r="AA371" s="599"/>
      <c r="AB371" s="599"/>
      <c r="AC371" s="599"/>
      <c r="AD371" s="599"/>
      <c r="AE371" s="599"/>
      <c r="AF371" s="599"/>
      <c r="AG371" s="599"/>
      <c r="AH371" s="601"/>
      <c r="AI371" s="599"/>
      <c r="AJ371" s="599"/>
      <c r="AK371" s="599"/>
      <c r="AL371" s="602"/>
      <c r="AM371" s="599"/>
    </row>
    <row r="372" spans="1:39" ht="101.25" x14ac:dyDescent="0.25">
      <c r="A372" s="351"/>
      <c r="B372" s="352"/>
      <c r="C372" s="352"/>
      <c r="D372" s="603" t="s">
        <v>1344</v>
      </c>
      <c r="E372" s="603"/>
      <c r="F372" s="604" t="s">
        <v>1345</v>
      </c>
      <c r="G372" s="605" t="s">
        <v>1346</v>
      </c>
      <c r="H372" s="605" t="s">
        <v>1347</v>
      </c>
      <c r="I372" s="605" t="s">
        <v>1348</v>
      </c>
      <c r="J372" s="572" t="s">
        <v>1349</v>
      </c>
      <c r="K372" s="573">
        <f>+(0.125*100)/1</f>
        <v>12.5</v>
      </c>
      <c r="L372" s="576" t="s">
        <v>1350</v>
      </c>
      <c r="M372" s="606"/>
      <c r="N372" s="606">
        <v>1</v>
      </c>
      <c r="O372" s="606">
        <v>1</v>
      </c>
      <c r="P372" s="162">
        <f>+O372/N372</f>
        <v>1</v>
      </c>
      <c r="Q372" s="606" t="s">
        <v>1351</v>
      </c>
      <c r="R372" s="606" t="s">
        <v>1352</v>
      </c>
      <c r="S372" s="606" t="s">
        <v>386</v>
      </c>
      <c r="T372" s="607">
        <v>41974</v>
      </c>
      <c r="U372" s="608">
        <v>60000000</v>
      </c>
      <c r="V372" s="609">
        <v>60000000</v>
      </c>
      <c r="W372" s="606" t="s">
        <v>55</v>
      </c>
      <c r="X372" s="606"/>
      <c r="Y372" s="606"/>
      <c r="Z372" s="606"/>
      <c r="AA372" s="606"/>
      <c r="AB372" s="606"/>
      <c r="AC372" s="606"/>
      <c r="AD372" s="606"/>
      <c r="AE372" s="606"/>
      <c r="AF372" s="610">
        <v>60000000</v>
      </c>
      <c r="AG372" s="610">
        <v>60000000</v>
      </c>
      <c r="AH372" s="162">
        <f>+AG372/AF372</f>
        <v>1</v>
      </c>
      <c r="AI372" s="606" t="s">
        <v>1353</v>
      </c>
      <c r="AJ372" s="606"/>
      <c r="AK372" s="606" t="s">
        <v>1354</v>
      </c>
      <c r="AL372" s="611" t="s">
        <v>1355</v>
      </c>
      <c r="AM372" s="576">
        <v>1</v>
      </c>
    </row>
    <row r="373" spans="1:39" ht="157.5" x14ac:dyDescent="0.25">
      <c r="A373" s="351"/>
      <c r="B373" s="352"/>
      <c r="C373" s="352"/>
      <c r="D373" s="603"/>
      <c r="E373" s="603"/>
      <c r="F373" s="612"/>
      <c r="G373" s="604" t="s">
        <v>1356</v>
      </c>
      <c r="H373" s="604" t="s">
        <v>1357</v>
      </c>
      <c r="I373" s="604" t="s">
        <v>1358</v>
      </c>
      <c r="J373" s="572" t="s">
        <v>1359</v>
      </c>
      <c r="K373" s="573">
        <f>+(0.285*100)/1</f>
        <v>28.499999999999996</v>
      </c>
      <c r="L373" s="576" t="s">
        <v>1360</v>
      </c>
      <c r="M373" s="576"/>
      <c r="N373" s="576">
        <v>1250</v>
      </c>
      <c r="O373" s="576">
        <v>1250</v>
      </c>
      <c r="P373" s="162">
        <f>+O373/N373</f>
        <v>1</v>
      </c>
      <c r="Q373" s="604" t="s">
        <v>1361</v>
      </c>
      <c r="R373" s="604" t="s">
        <v>1362</v>
      </c>
      <c r="S373" s="613">
        <v>41760</v>
      </c>
      <c r="T373" s="613">
        <v>41974</v>
      </c>
      <c r="U373" s="614">
        <v>360000000</v>
      </c>
      <c r="V373" s="614">
        <v>360000000</v>
      </c>
      <c r="W373" s="614" t="s">
        <v>55</v>
      </c>
      <c r="X373" s="614"/>
      <c r="Y373" s="614"/>
      <c r="Z373" s="614"/>
      <c r="AA373" s="614"/>
      <c r="AB373" s="614"/>
      <c r="AC373" s="614"/>
      <c r="AD373" s="614"/>
      <c r="AE373" s="614"/>
      <c r="AF373" s="614">
        <v>360000000</v>
      </c>
      <c r="AG373" s="614">
        <v>360000000</v>
      </c>
      <c r="AH373" s="26">
        <f>+AG373/AF373</f>
        <v>1</v>
      </c>
      <c r="AI373" s="614" t="s">
        <v>1353</v>
      </c>
      <c r="AJ373" s="614"/>
      <c r="AK373" s="614" t="s">
        <v>1363</v>
      </c>
      <c r="AL373" s="611" t="s">
        <v>1355</v>
      </c>
      <c r="AM373" s="576">
        <v>1250</v>
      </c>
    </row>
    <row r="374" spans="1:39" ht="56.25" x14ac:dyDescent="0.25">
      <c r="A374" s="351"/>
      <c r="B374" s="352"/>
      <c r="C374" s="352"/>
      <c r="D374" s="603"/>
      <c r="E374" s="603"/>
      <c r="F374" s="605"/>
      <c r="G374" s="605"/>
      <c r="H374" s="605"/>
      <c r="I374" s="605"/>
      <c r="J374" s="572" t="s">
        <v>1364</v>
      </c>
      <c r="K374" s="573">
        <f>+(0.589*100)/1</f>
        <v>58.9</v>
      </c>
      <c r="L374" s="576" t="s">
        <v>1350</v>
      </c>
      <c r="M374" s="576"/>
      <c r="N374" s="576">
        <v>1</v>
      </c>
      <c r="O374" s="576">
        <v>1</v>
      </c>
      <c r="P374" s="162">
        <f>+O374/N374</f>
        <v>1</v>
      </c>
      <c r="Q374" s="605"/>
      <c r="R374" s="605"/>
      <c r="S374" s="615"/>
      <c r="T374" s="615"/>
      <c r="U374" s="616"/>
      <c r="V374" s="616"/>
      <c r="W374" s="616"/>
      <c r="X374" s="616"/>
      <c r="Y374" s="616"/>
      <c r="Z374" s="616"/>
      <c r="AA374" s="616"/>
      <c r="AB374" s="616"/>
      <c r="AC374" s="616"/>
      <c r="AD374" s="616"/>
      <c r="AE374" s="616"/>
      <c r="AF374" s="616"/>
      <c r="AG374" s="616"/>
      <c r="AH374" s="162"/>
      <c r="AI374" s="616"/>
      <c r="AJ374" s="616"/>
      <c r="AK374" s="616"/>
      <c r="AL374" s="611" t="s">
        <v>1355</v>
      </c>
      <c r="AM374" s="576">
        <v>1</v>
      </c>
    </row>
    <row r="375" spans="1:39" ht="33.75" x14ac:dyDescent="0.25">
      <c r="A375" s="351"/>
      <c r="B375" s="352"/>
      <c r="C375" s="352"/>
      <c r="D375" s="603"/>
      <c r="E375" s="603"/>
      <c r="F375" s="110" t="s">
        <v>158</v>
      </c>
      <c r="G375" s="110"/>
      <c r="H375" s="110"/>
      <c r="I375" s="110"/>
      <c r="J375" s="112"/>
      <c r="K375" s="235">
        <f>SUM(K372:K374)</f>
        <v>99.9</v>
      </c>
      <c r="L375" s="112"/>
      <c r="M375" s="112"/>
      <c r="N375" s="112"/>
      <c r="O375" s="112"/>
      <c r="P375" s="112"/>
      <c r="Q375" s="112"/>
      <c r="R375" s="112"/>
      <c r="S375" s="112"/>
      <c r="T375" s="112"/>
      <c r="U375" s="112"/>
      <c r="V375" s="112"/>
      <c r="W375" s="112"/>
      <c r="X375" s="112"/>
      <c r="Y375" s="112"/>
      <c r="Z375" s="112"/>
      <c r="AA375" s="112"/>
      <c r="AB375" s="112"/>
      <c r="AC375" s="112"/>
      <c r="AD375" s="112"/>
      <c r="AE375" s="112"/>
      <c r="AF375" s="112"/>
      <c r="AG375" s="112"/>
      <c r="AH375" s="112"/>
      <c r="AI375" s="112"/>
      <c r="AJ375" s="112"/>
      <c r="AK375" s="112"/>
      <c r="AL375" s="553"/>
      <c r="AM375" s="112"/>
    </row>
    <row r="376" spans="1:39" ht="191.25" x14ac:dyDescent="0.25">
      <c r="A376" s="351"/>
      <c r="B376" s="352"/>
      <c r="C376" s="352"/>
      <c r="D376" s="603"/>
      <c r="E376" s="603"/>
      <c r="F376" s="604" t="s">
        <v>1365</v>
      </c>
      <c r="G376" s="612" t="s">
        <v>1366</v>
      </c>
      <c r="H376" s="612" t="s">
        <v>1367</v>
      </c>
      <c r="I376" s="612" t="s">
        <v>1368</v>
      </c>
      <c r="J376" s="603" t="s">
        <v>1369</v>
      </c>
      <c r="K376" s="617">
        <v>100</v>
      </c>
      <c r="L376" s="603" t="s">
        <v>1370</v>
      </c>
      <c r="M376" s="604"/>
      <c r="N376" s="577">
        <v>11</v>
      </c>
      <c r="O376" s="577">
        <v>3</v>
      </c>
      <c r="P376" s="26">
        <f>+O376/N376</f>
        <v>0.27272727272727271</v>
      </c>
      <c r="Q376" s="603" t="s">
        <v>1371</v>
      </c>
      <c r="R376" s="603" t="s">
        <v>1372</v>
      </c>
      <c r="S376" s="603" t="s">
        <v>286</v>
      </c>
      <c r="T376" s="603" t="s">
        <v>90</v>
      </c>
      <c r="U376" s="618">
        <v>30000000</v>
      </c>
      <c r="V376" s="618">
        <v>30000000</v>
      </c>
      <c r="W376" s="603" t="s">
        <v>55</v>
      </c>
      <c r="X376" s="603"/>
      <c r="Y376" s="603"/>
      <c r="Z376" s="603"/>
      <c r="AA376" s="603"/>
      <c r="AB376" s="603"/>
      <c r="AC376" s="603"/>
      <c r="AD376" s="603"/>
      <c r="AE376" s="603"/>
      <c r="AF376" s="619">
        <v>30000000</v>
      </c>
      <c r="AG376" s="619">
        <v>30000000</v>
      </c>
      <c r="AH376" s="162">
        <f t="shared" ref="AH376:AH378" si="60">+AG376/AF376</f>
        <v>1</v>
      </c>
      <c r="AI376" s="606" t="s">
        <v>1353</v>
      </c>
      <c r="AJ376" s="603"/>
      <c r="AK376" s="577" t="s">
        <v>1363</v>
      </c>
      <c r="AL376" s="620" t="s">
        <v>1355</v>
      </c>
      <c r="AM376" s="603">
        <v>6</v>
      </c>
    </row>
    <row r="377" spans="1:39" ht="123.75" x14ac:dyDescent="0.25">
      <c r="A377" s="351"/>
      <c r="B377" s="352"/>
      <c r="C377" s="352"/>
      <c r="D377" s="603"/>
      <c r="E377" s="603"/>
      <c r="F377" s="604"/>
      <c r="G377" s="572" t="s">
        <v>1373</v>
      </c>
      <c r="H377" s="572" t="s">
        <v>1374</v>
      </c>
      <c r="I377" s="572" t="s">
        <v>1375</v>
      </c>
      <c r="J377" s="603"/>
      <c r="K377" s="617"/>
      <c r="L377" s="603"/>
      <c r="M377" s="605"/>
      <c r="N377" s="605"/>
      <c r="O377" s="605"/>
      <c r="P377" s="26"/>
      <c r="Q377" s="576" t="s">
        <v>1376</v>
      </c>
      <c r="R377" s="576" t="s">
        <v>1377</v>
      </c>
      <c r="S377" s="576" t="s">
        <v>54</v>
      </c>
      <c r="T377" s="576" t="s">
        <v>90</v>
      </c>
      <c r="U377" s="579">
        <f>160680555+2482676</f>
        <v>163163231</v>
      </c>
      <c r="V377" s="579">
        <f>160680555+2482676</f>
        <v>163163231</v>
      </c>
      <c r="W377" s="576" t="s">
        <v>55</v>
      </c>
      <c r="X377" s="576"/>
      <c r="Y377" s="576"/>
      <c r="Z377" s="576" t="s">
        <v>55</v>
      </c>
      <c r="AA377" s="576"/>
      <c r="AB377" s="576"/>
      <c r="AC377" s="576"/>
      <c r="AD377" s="576"/>
      <c r="AE377" s="576"/>
      <c r="AF377" s="579">
        <f>160680555+2482676</f>
        <v>163163231</v>
      </c>
      <c r="AG377" s="580">
        <v>162482676</v>
      </c>
      <c r="AH377" s="162">
        <f t="shared" si="60"/>
        <v>0.99582899286911031</v>
      </c>
      <c r="AI377" s="606" t="s">
        <v>1353</v>
      </c>
      <c r="AJ377" s="603"/>
      <c r="AK377" s="577"/>
      <c r="AL377" s="620"/>
      <c r="AM377" s="603"/>
    </row>
    <row r="378" spans="1:39" ht="157.5" x14ac:dyDescent="0.25">
      <c r="A378" s="351"/>
      <c r="B378" s="352"/>
      <c r="C378" s="352"/>
      <c r="D378" s="603"/>
      <c r="E378" s="603"/>
      <c r="F378" s="604"/>
      <c r="G378" s="612" t="s">
        <v>1378</v>
      </c>
      <c r="H378" s="612" t="s">
        <v>1379</v>
      </c>
      <c r="I378" s="612" t="s">
        <v>1380</v>
      </c>
      <c r="J378" s="603"/>
      <c r="K378" s="617"/>
      <c r="L378" s="603"/>
      <c r="M378" s="603"/>
      <c r="N378" s="603">
        <v>6</v>
      </c>
      <c r="O378" s="603">
        <v>8</v>
      </c>
      <c r="P378" s="162">
        <f>+O378/N378</f>
        <v>1.3333333333333333</v>
      </c>
      <c r="Q378" s="603" t="s">
        <v>1381</v>
      </c>
      <c r="R378" s="603" t="s">
        <v>1382</v>
      </c>
      <c r="S378" s="603" t="s">
        <v>616</v>
      </c>
      <c r="T378" s="603" t="s">
        <v>90</v>
      </c>
      <c r="U378" s="618">
        <f>231000000+121087000</f>
        <v>352087000</v>
      </c>
      <c r="V378" s="618">
        <f>231000000+121087000</f>
        <v>352087000</v>
      </c>
      <c r="W378" s="603" t="s">
        <v>55</v>
      </c>
      <c r="X378" s="603"/>
      <c r="Y378" s="603"/>
      <c r="Z378" s="603" t="s">
        <v>55</v>
      </c>
      <c r="AA378" s="603"/>
      <c r="AB378" s="603"/>
      <c r="AC378" s="603"/>
      <c r="AD378" s="603"/>
      <c r="AE378" s="603"/>
      <c r="AF378" s="618">
        <f>231000000+121087000</f>
        <v>352087000</v>
      </c>
      <c r="AG378" s="619">
        <v>329850000</v>
      </c>
      <c r="AH378" s="162">
        <f t="shared" si="60"/>
        <v>0.9368423145415764</v>
      </c>
      <c r="AI378" s="606" t="s">
        <v>1353</v>
      </c>
      <c r="AJ378" s="603"/>
      <c r="AK378" s="577"/>
      <c r="AL378" s="620"/>
      <c r="AM378" s="603"/>
    </row>
    <row r="379" spans="1:39" ht="33.75" x14ac:dyDescent="0.25">
      <c r="A379" s="351"/>
      <c r="B379" s="352"/>
      <c r="C379" s="352"/>
      <c r="D379" s="603"/>
      <c r="E379" s="603"/>
      <c r="F379" s="333" t="s">
        <v>158</v>
      </c>
      <c r="G379" s="110"/>
      <c r="H379" s="110"/>
      <c r="I379" s="110"/>
      <c r="J379" s="112"/>
      <c r="K379" s="262">
        <f t="shared" ref="K379" si="61">SUM(K376)</f>
        <v>100</v>
      </c>
      <c r="L379" s="112"/>
      <c r="M379" s="112"/>
      <c r="N379" s="112"/>
      <c r="O379" s="112"/>
      <c r="P379" s="112"/>
      <c r="Q379" s="112"/>
      <c r="R379" s="112"/>
      <c r="S379" s="112"/>
      <c r="T379" s="112"/>
      <c r="U379" s="112"/>
      <c r="V379" s="112"/>
      <c r="W379" s="112"/>
      <c r="X379" s="112"/>
      <c r="Y379" s="112"/>
      <c r="Z379" s="112"/>
      <c r="AA379" s="112"/>
      <c r="AB379" s="112"/>
      <c r="AC379" s="112"/>
      <c r="AD379" s="112"/>
      <c r="AE379" s="112"/>
      <c r="AF379" s="112"/>
      <c r="AG379" s="112"/>
      <c r="AH379" s="112"/>
      <c r="AI379" s="112"/>
      <c r="AJ379" s="112"/>
      <c r="AK379" s="112"/>
      <c r="AL379" s="553"/>
      <c r="AM379" s="112"/>
    </row>
    <row r="380" spans="1:39" ht="168.75" x14ac:dyDescent="0.25">
      <c r="A380" s="351"/>
      <c r="B380" s="352"/>
      <c r="C380" s="352"/>
      <c r="D380" s="603"/>
      <c r="E380" s="621"/>
      <c r="F380" s="622" t="s">
        <v>1383</v>
      </c>
      <c r="G380" s="576" t="s">
        <v>1384</v>
      </c>
      <c r="H380" s="576" t="s">
        <v>1385</v>
      </c>
      <c r="I380" s="576" t="s">
        <v>1386</v>
      </c>
      <c r="J380" s="603" t="s">
        <v>1387</v>
      </c>
      <c r="K380" s="617">
        <v>100</v>
      </c>
      <c r="L380" s="603" t="s">
        <v>1388</v>
      </c>
      <c r="M380" s="603"/>
      <c r="N380" s="603">
        <v>3</v>
      </c>
      <c r="O380" s="603">
        <v>6</v>
      </c>
      <c r="P380" s="567">
        <f>+O380/N380</f>
        <v>2</v>
      </c>
      <c r="Q380" s="576" t="s">
        <v>1389</v>
      </c>
      <c r="R380" s="576" t="s">
        <v>1390</v>
      </c>
      <c r="S380" s="576" t="s">
        <v>286</v>
      </c>
      <c r="T380" s="576" t="s">
        <v>90</v>
      </c>
      <c r="U380" s="623">
        <v>50000000</v>
      </c>
      <c r="V380" s="579">
        <v>50000000</v>
      </c>
      <c r="W380" s="576" t="s">
        <v>55</v>
      </c>
      <c r="X380" s="576"/>
      <c r="Y380" s="576"/>
      <c r="Z380" s="576"/>
      <c r="AA380" s="576"/>
      <c r="AB380" s="576"/>
      <c r="AC380" s="576"/>
      <c r="AD380" s="576"/>
      <c r="AE380" s="576"/>
      <c r="AF380" s="579">
        <v>50000000</v>
      </c>
      <c r="AG380" s="579">
        <v>50000000</v>
      </c>
      <c r="AH380" s="162">
        <f t="shared" ref="AH380:AH385" si="62">+AG380/AF380</f>
        <v>1</v>
      </c>
      <c r="AI380" s="606" t="s">
        <v>1353</v>
      </c>
      <c r="AJ380" s="576"/>
      <c r="AK380" s="619" t="s">
        <v>1391</v>
      </c>
      <c r="AL380" s="624" t="s">
        <v>1355</v>
      </c>
      <c r="AM380" s="603">
        <v>3</v>
      </c>
    </row>
    <row r="381" spans="1:39" ht="135" x14ac:dyDescent="0.25">
      <c r="A381" s="351"/>
      <c r="B381" s="352"/>
      <c r="C381" s="352"/>
      <c r="D381" s="603"/>
      <c r="E381" s="621"/>
      <c r="F381" s="622"/>
      <c r="G381" s="576" t="s">
        <v>1392</v>
      </c>
      <c r="H381" s="576" t="s">
        <v>1393</v>
      </c>
      <c r="I381" s="576" t="s">
        <v>1394</v>
      </c>
      <c r="J381" s="603"/>
      <c r="K381" s="617"/>
      <c r="L381" s="603"/>
      <c r="M381" s="603"/>
      <c r="N381" s="603"/>
      <c r="O381" s="603"/>
      <c r="P381" s="625"/>
      <c r="Q381" s="576" t="s">
        <v>1395</v>
      </c>
      <c r="R381" s="576" t="s">
        <v>1396</v>
      </c>
      <c r="S381" s="626">
        <v>41852</v>
      </c>
      <c r="T381" s="626">
        <v>41974</v>
      </c>
      <c r="U381" s="623">
        <v>100000000</v>
      </c>
      <c r="V381" s="579">
        <v>100000000</v>
      </c>
      <c r="W381" s="576"/>
      <c r="X381" s="576"/>
      <c r="Y381" s="576"/>
      <c r="Z381" s="576" t="s">
        <v>55</v>
      </c>
      <c r="AA381" s="576"/>
      <c r="AB381" s="576"/>
      <c r="AC381" s="576"/>
      <c r="AD381" s="576"/>
      <c r="AE381" s="576"/>
      <c r="AF381" s="579">
        <v>100000000</v>
      </c>
      <c r="AG381" s="580">
        <v>100000000</v>
      </c>
      <c r="AH381" s="162">
        <f t="shared" si="62"/>
        <v>1</v>
      </c>
      <c r="AI381" s="606" t="s">
        <v>1353</v>
      </c>
      <c r="AJ381" s="576"/>
      <c r="AK381" s="619"/>
      <c r="AL381" s="627"/>
      <c r="AM381" s="603"/>
    </row>
    <row r="382" spans="1:39" ht="112.5" x14ac:dyDescent="0.25">
      <c r="A382" s="351"/>
      <c r="B382" s="352"/>
      <c r="C382" s="352"/>
      <c r="D382" s="603"/>
      <c r="E382" s="621"/>
      <c r="F382" s="622"/>
      <c r="G382" s="576" t="s">
        <v>1397</v>
      </c>
      <c r="H382" s="576" t="s">
        <v>1398</v>
      </c>
      <c r="I382" s="576" t="s">
        <v>1399</v>
      </c>
      <c r="J382" s="603"/>
      <c r="K382" s="617"/>
      <c r="L382" s="603"/>
      <c r="M382" s="603"/>
      <c r="N382" s="603"/>
      <c r="O382" s="603"/>
      <c r="P382" s="625"/>
      <c r="Q382" s="576" t="s">
        <v>1400</v>
      </c>
      <c r="R382" s="576" t="s">
        <v>1396</v>
      </c>
      <c r="S382" s="576" t="s">
        <v>286</v>
      </c>
      <c r="T382" s="576" t="s">
        <v>90</v>
      </c>
      <c r="U382" s="623">
        <v>50000000</v>
      </c>
      <c r="V382" s="579">
        <v>50000000</v>
      </c>
      <c r="W382" s="576" t="s">
        <v>55</v>
      </c>
      <c r="X382" s="576"/>
      <c r="Y382" s="576"/>
      <c r="Z382" s="576"/>
      <c r="AA382" s="576"/>
      <c r="AB382" s="576"/>
      <c r="AC382" s="576"/>
      <c r="AD382" s="576"/>
      <c r="AE382" s="576"/>
      <c r="AF382" s="579">
        <v>50000000</v>
      </c>
      <c r="AG382" s="579">
        <v>50000000</v>
      </c>
      <c r="AH382" s="162">
        <f t="shared" si="62"/>
        <v>1</v>
      </c>
      <c r="AI382" s="606" t="s">
        <v>1353</v>
      </c>
      <c r="AJ382" s="576"/>
      <c r="AK382" s="619"/>
      <c r="AL382" s="627"/>
      <c r="AM382" s="603"/>
    </row>
    <row r="383" spans="1:39" ht="101.25" x14ac:dyDescent="0.25">
      <c r="A383" s="351"/>
      <c r="B383" s="352"/>
      <c r="C383" s="352"/>
      <c r="D383" s="603"/>
      <c r="E383" s="621"/>
      <c r="F383" s="622"/>
      <c r="G383" s="576" t="s">
        <v>1401</v>
      </c>
      <c r="H383" s="576" t="s">
        <v>1402</v>
      </c>
      <c r="I383" s="576" t="s">
        <v>1403</v>
      </c>
      <c r="J383" s="603"/>
      <c r="K383" s="617"/>
      <c r="L383" s="603"/>
      <c r="M383" s="603"/>
      <c r="N383" s="603"/>
      <c r="O383" s="603"/>
      <c r="P383" s="625"/>
      <c r="Q383" s="576" t="s">
        <v>1404</v>
      </c>
      <c r="R383" s="576" t="s">
        <v>1396</v>
      </c>
      <c r="S383" s="576" t="s">
        <v>286</v>
      </c>
      <c r="T383" s="576" t="s">
        <v>90</v>
      </c>
      <c r="U383" s="623">
        <v>50000000</v>
      </c>
      <c r="V383" s="579">
        <v>50000000</v>
      </c>
      <c r="W383" s="576" t="s">
        <v>55</v>
      </c>
      <c r="X383" s="576"/>
      <c r="Y383" s="576"/>
      <c r="Z383" s="576"/>
      <c r="AA383" s="576"/>
      <c r="AB383" s="576"/>
      <c r="AC383" s="576"/>
      <c r="AD383" s="576"/>
      <c r="AE383" s="576"/>
      <c r="AF383" s="579">
        <v>50000000</v>
      </c>
      <c r="AG383" s="579">
        <v>50000000</v>
      </c>
      <c r="AH383" s="162">
        <f t="shared" si="62"/>
        <v>1</v>
      </c>
      <c r="AI383" s="606" t="s">
        <v>1353</v>
      </c>
      <c r="AJ383" s="576"/>
      <c r="AK383" s="619"/>
      <c r="AL383" s="627"/>
      <c r="AM383" s="603"/>
    </row>
    <row r="384" spans="1:39" ht="101.25" x14ac:dyDescent="0.25">
      <c r="A384" s="351"/>
      <c r="B384" s="352"/>
      <c r="C384" s="352"/>
      <c r="D384" s="603"/>
      <c r="E384" s="621"/>
      <c r="F384" s="622"/>
      <c r="G384" s="576" t="s">
        <v>1405</v>
      </c>
      <c r="H384" s="576" t="s">
        <v>1406</v>
      </c>
      <c r="I384" s="576" t="s">
        <v>1407</v>
      </c>
      <c r="J384" s="603"/>
      <c r="K384" s="617"/>
      <c r="L384" s="603"/>
      <c r="M384" s="603"/>
      <c r="N384" s="603"/>
      <c r="O384" s="603"/>
      <c r="P384" s="625"/>
      <c r="Q384" s="576" t="s">
        <v>1408</v>
      </c>
      <c r="R384" s="576" t="s">
        <v>1409</v>
      </c>
      <c r="S384" s="576" t="s">
        <v>286</v>
      </c>
      <c r="T384" s="576" t="s">
        <v>90</v>
      </c>
      <c r="U384" s="623">
        <v>90000000</v>
      </c>
      <c r="V384" s="579">
        <v>90000000</v>
      </c>
      <c r="W384" s="576" t="s">
        <v>55</v>
      </c>
      <c r="X384" s="576"/>
      <c r="Y384" s="576"/>
      <c r="Z384" s="576"/>
      <c r="AA384" s="576"/>
      <c r="AB384" s="576"/>
      <c r="AC384" s="576"/>
      <c r="AD384" s="576"/>
      <c r="AE384" s="576"/>
      <c r="AF384" s="579">
        <v>90000000</v>
      </c>
      <c r="AG384" s="580">
        <v>90000000</v>
      </c>
      <c r="AH384" s="162">
        <f t="shared" si="62"/>
        <v>1</v>
      </c>
      <c r="AI384" s="606" t="s">
        <v>1353</v>
      </c>
      <c r="AJ384" s="576"/>
      <c r="AK384" s="619"/>
      <c r="AL384" s="627"/>
      <c r="AM384" s="603"/>
    </row>
    <row r="385" spans="1:39" ht="102" thickBot="1" x14ac:dyDescent="0.3">
      <c r="A385" s="351"/>
      <c r="B385" s="352"/>
      <c r="C385" s="352"/>
      <c r="D385" s="603"/>
      <c r="E385" s="621"/>
      <c r="F385" s="622"/>
      <c r="G385" s="576" t="s">
        <v>1410</v>
      </c>
      <c r="H385" s="576" t="s">
        <v>1411</v>
      </c>
      <c r="I385" s="576" t="s">
        <v>1412</v>
      </c>
      <c r="J385" s="603"/>
      <c r="K385" s="617"/>
      <c r="L385" s="603"/>
      <c r="M385" s="603"/>
      <c r="N385" s="603"/>
      <c r="O385" s="603"/>
      <c r="P385" s="625"/>
      <c r="Q385" s="576" t="s">
        <v>1413</v>
      </c>
      <c r="R385" s="576" t="s">
        <v>1414</v>
      </c>
      <c r="S385" s="576" t="s">
        <v>386</v>
      </c>
      <c r="T385" s="576" t="s">
        <v>90</v>
      </c>
      <c r="U385" s="579">
        <v>40000000</v>
      </c>
      <c r="V385" s="579">
        <v>40000000</v>
      </c>
      <c r="W385" s="576" t="s">
        <v>55</v>
      </c>
      <c r="X385" s="576"/>
      <c r="Y385" s="576"/>
      <c r="Z385" s="576"/>
      <c r="AA385" s="576"/>
      <c r="AB385" s="576"/>
      <c r="AC385" s="576"/>
      <c r="AD385" s="576"/>
      <c r="AE385" s="576"/>
      <c r="AF385" s="579">
        <v>40000000</v>
      </c>
      <c r="AG385" s="579">
        <v>40000000</v>
      </c>
      <c r="AH385" s="162">
        <f t="shared" si="62"/>
        <v>1</v>
      </c>
      <c r="AI385" s="606" t="s">
        <v>1353</v>
      </c>
      <c r="AJ385" s="576" t="s">
        <v>1415</v>
      </c>
      <c r="AK385" s="619"/>
      <c r="AL385" s="627"/>
      <c r="AM385" s="603"/>
    </row>
    <row r="386" spans="1:39" ht="90" x14ac:dyDescent="0.25">
      <c r="A386" s="351"/>
      <c r="B386" s="352"/>
      <c r="C386" s="352"/>
      <c r="D386" s="603"/>
      <c r="E386" s="621"/>
      <c r="F386" s="628" t="s">
        <v>1416</v>
      </c>
      <c r="G386" s="211" t="s">
        <v>1417</v>
      </c>
      <c r="H386" s="211" t="s">
        <v>1418</v>
      </c>
      <c r="I386" s="629"/>
      <c r="J386" s="603"/>
      <c r="K386" s="617"/>
      <c r="L386" s="603"/>
      <c r="M386" s="206"/>
      <c r="N386" s="209">
        <v>3</v>
      </c>
      <c r="O386" s="209">
        <v>3</v>
      </c>
      <c r="P386" s="196">
        <f>+O386/N386</f>
        <v>1</v>
      </c>
      <c r="Q386" s="209" t="s">
        <v>1419</v>
      </c>
      <c r="R386" s="209"/>
      <c r="S386" s="209" t="s">
        <v>548</v>
      </c>
      <c r="T386" s="209" t="s">
        <v>90</v>
      </c>
      <c r="U386" s="317">
        <v>360000000</v>
      </c>
      <c r="V386" s="317">
        <v>360000000</v>
      </c>
      <c r="W386" s="209" t="s">
        <v>55</v>
      </c>
      <c r="X386" s="209"/>
      <c r="Y386" s="209"/>
      <c r="Z386" s="209"/>
      <c r="AA386" s="209"/>
      <c r="AB386" s="209"/>
      <c r="AC386" s="209"/>
      <c r="AD386" s="209"/>
      <c r="AE386" s="209"/>
      <c r="AF386" s="318">
        <v>360000000</v>
      </c>
      <c r="AG386" s="318">
        <v>360000000</v>
      </c>
      <c r="AH386" s="196">
        <f>+AG386/AF386</f>
        <v>1</v>
      </c>
      <c r="AI386" s="195" t="s">
        <v>287</v>
      </c>
      <c r="AJ386" s="209"/>
      <c r="AK386" s="207"/>
      <c r="AL386" s="200" t="s">
        <v>288</v>
      </c>
      <c r="AM386" s="603"/>
    </row>
    <row r="387" spans="1:39" ht="33.75" x14ac:dyDescent="0.25">
      <c r="A387" s="351"/>
      <c r="B387" s="352"/>
      <c r="C387" s="352"/>
      <c r="D387" s="603"/>
      <c r="E387" s="603"/>
      <c r="F387" s="201" t="s">
        <v>158</v>
      </c>
      <c r="G387" s="110"/>
      <c r="H387" s="110"/>
      <c r="I387" s="110"/>
      <c r="J387" s="112"/>
      <c r="K387" s="203">
        <f>SUM(K380)</f>
        <v>100</v>
      </c>
      <c r="L387" s="581"/>
      <c r="M387" s="581"/>
      <c r="N387" s="581"/>
      <c r="O387" s="581"/>
      <c r="P387" s="581"/>
      <c r="Q387" s="581"/>
      <c r="R387" s="581"/>
      <c r="S387" s="581"/>
      <c r="T387" s="581"/>
      <c r="U387" s="581"/>
      <c r="V387" s="581"/>
      <c r="W387" s="581"/>
      <c r="X387" s="581"/>
      <c r="Y387" s="581"/>
      <c r="Z387" s="581"/>
      <c r="AA387" s="581"/>
      <c r="AB387" s="581"/>
      <c r="AC387" s="581"/>
      <c r="AD387" s="581"/>
      <c r="AE387" s="581"/>
      <c r="AF387" s="581"/>
      <c r="AG387" s="581"/>
      <c r="AH387" s="581"/>
      <c r="AI387" s="581"/>
      <c r="AJ387" s="581"/>
      <c r="AK387" s="581"/>
      <c r="AL387" s="630"/>
      <c r="AM387" s="581"/>
    </row>
    <row r="388" spans="1:39" ht="78.75" x14ac:dyDescent="0.25">
      <c r="A388" s="351"/>
      <c r="B388" s="352"/>
      <c r="C388" s="352"/>
      <c r="D388" s="603"/>
      <c r="E388" s="603"/>
      <c r="F388" s="577" t="s">
        <v>1420</v>
      </c>
      <c r="G388" s="576" t="s">
        <v>1421</v>
      </c>
      <c r="H388" s="604" t="s">
        <v>1422</v>
      </c>
      <c r="I388" s="604" t="s">
        <v>1423</v>
      </c>
      <c r="J388" s="621" t="s">
        <v>1424</v>
      </c>
      <c r="K388" s="631">
        <v>100</v>
      </c>
      <c r="L388" s="621" t="s">
        <v>1425</v>
      </c>
      <c r="M388" s="604"/>
      <c r="N388" s="577">
        <v>2</v>
      </c>
      <c r="O388" s="577">
        <v>0</v>
      </c>
      <c r="P388" s="26">
        <f>+O388/N388</f>
        <v>0</v>
      </c>
      <c r="Q388" s="604" t="s">
        <v>1426</v>
      </c>
      <c r="R388" s="577" t="s">
        <v>1427</v>
      </c>
      <c r="S388" s="576" t="s">
        <v>89</v>
      </c>
      <c r="T388" s="576" t="s">
        <v>90</v>
      </c>
      <c r="U388" s="632">
        <v>2528405760.9400001</v>
      </c>
      <c r="V388" s="632">
        <v>2528405760.9400001</v>
      </c>
      <c r="W388" s="577"/>
      <c r="X388" s="577" t="s">
        <v>55</v>
      </c>
      <c r="Y388" s="577"/>
      <c r="Z388" s="577" t="s">
        <v>55</v>
      </c>
      <c r="AA388" s="577"/>
      <c r="AB388" s="577"/>
      <c r="AC388" s="577"/>
      <c r="AD388" s="577"/>
      <c r="AE388" s="577"/>
      <c r="AF388" s="632">
        <v>2528405760.9400001</v>
      </c>
      <c r="AG388" s="619">
        <v>2336183639.9000001</v>
      </c>
      <c r="AH388" s="162">
        <f t="shared" ref="AH388:AH389" si="63">+AG388/AF388</f>
        <v>0.92397497110252724</v>
      </c>
      <c r="AI388" s="606" t="s">
        <v>1353</v>
      </c>
      <c r="AJ388" s="603" t="s">
        <v>1415</v>
      </c>
      <c r="AK388" s="577" t="s">
        <v>1391</v>
      </c>
      <c r="AL388" s="577" t="s">
        <v>1391</v>
      </c>
      <c r="AM388" s="577">
        <v>2</v>
      </c>
    </row>
    <row r="389" spans="1:39" ht="90" x14ac:dyDescent="0.25">
      <c r="A389" s="351"/>
      <c r="B389" s="352"/>
      <c r="C389" s="352"/>
      <c r="D389" s="603"/>
      <c r="E389" s="603"/>
      <c r="F389" s="577"/>
      <c r="G389" s="576" t="s">
        <v>1428</v>
      </c>
      <c r="H389" s="605"/>
      <c r="I389" s="605"/>
      <c r="J389" s="621"/>
      <c r="K389" s="633"/>
      <c r="L389" s="621"/>
      <c r="M389" s="605"/>
      <c r="N389" s="605"/>
      <c r="O389" s="605"/>
      <c r="P389" s="432"/>
      <c r="Q389" s="572" t="s">
        <v>1429</v>
      </c>
      <c r="R389" s="576" t="s">
        <v>1427</v>
      </c>
      <c r="S389" s="576" t="s">
        <v>89</v>
      </c>
      <c r="T389" s="576" t="s">
        <v>966</v>
      </c>
      <c r="U389" s="632">
        <v>375000000</v>
      </c>
      <c r="V389" s="632">
        <v>375000000</v>
      </c>
      <c r="W389" s="577"/>
      <c r="X389" s="577"/>
      <c r="Y389" s="577"/>
      <c r="Z389" s="577" t="s">
        <v>55</v>
      </c>
      <c r="AA389" s="577"/>
      <c r="AB389" s="577"/>
      <c r="AC389" s="577"/>
      <c r="AD389" s="577"/>
      <c r="AE389" s="577"/>
      <c r="AF389" s="632">
        <v>375000000</v>
      </c>
      <c r="AG389" s="634">
        <v>375000000</v>
      </c>
      <c r="AH389" s="162">
        <f t="shared" si="63"/>
        <v>1</v>
      </c>
      <c r="AI389" s="606" t="s">
        <v>1353</v>
      </c>
      <c r="AJ389" s="576" t="s">
        <v>1415</v>
      </c>
      <c r="AK389" s="577" t="s">
        <v>1391</v>
      </c>
      <c r="AL389" s="577" t="s">
        <v>1430</v>
      </c>
      <c r="AM389" s="577"/>
    </row>
    <row r="390" spans="1:39" ht="157.5" x14ac:dyDescent="0.25">
      <c r="A390" s="351"/>
      <c r="B390" s="352"/>
      <c r="C390" s="352"/>
      <c r="D390" s="603"/>
      <c r="E390" s="603"/>
      <c r="F390" s="577"/>
      <c r="G390" s="307" t="s">
        <v>1431</v>
      </c>
      <c r="H390" s="293" t="s">
        <v>1432</v>
      </c>
      <c r="I390" s="293" t="s">
        <v>1433</v>
      </c>
      <c r="J390" s="621"/>
      <c r="K390" s="633"/>
      <c r="L390" s="621"/>
      <c r="M390" s="605"/>
      <c r="N390" s="34">
        <v>2</v>
      </c>
      <c r="O390" s="34">
        <v>0</v>
      </c>
      <c r="P390" s="119">
        <f>+O390/N390</f>
        <v>0</v>
      </c>
      <c r="Q390" s="307" t="s">
        <v>1431</v>
      </c>
      <c r="R390" s="293" t="s">
        <v>1434</v>
      </c>
      <c r="S390" s="293" t="s">
        <v>460</v>
      </c>
      <c r="T390" s="293" t="s">
        <v>201</v>
      </c>
      <c r="U390" s="295">
        <v>1111655644.24</v>
      </c>
      <c r="V390" s="295">
        <v>1111655644.24</v>
      </c>
      <c r="W390" s="293"/>
      <c r="X390" s="293"/>
      <c r="Y390" s="293"/>
      <c r="Z390" s="293" t="s">
        <v>55</v>
      </c>
      <c r="AA390" s="293"/>
      <c r="AB390" s="293"/>
      <c r="AC390" s="293"/>
      <c r="AD390" s="293"/>
      <c r="AE390" s="293"/>
      <c r="AF390" s="295">
        <f>+V390</f>
        <v>1111655644.24</v>
      </c>
      <c r="AG390" s="635">
        <v>0</v>
      </c>
      <c r="AH390" s="162">
        <f>+AG390/AF390</f>
        <v>0</v>
      </c>
      <c r="AI390" s="34"/>
      <c r="AJ390" s="34" t="s">
        <v>433</v>
      </c>
      <c r="AK390" s="34"/>
      <c r="AL390" s="34" t="s">
        <v>427</v>
      </c>
      <c r="AM390" s="577"/>
    </row>
    <row r="391" spans="1:39" ht="33.75" x14ac:dyDescent="0.25">
      <c r="A391" s="351"/>
      <c r="B391" s="352"/>
      <c r="C391" s="352"/>
      <c r="D391" s="142" t="s">
        <v>1038</v>
      </c>
      <c r="E391" s="142"/>
      <c r="F391" s="110" t="s">
        <v>158</v>
      </c>
      <c r="G391" s="110"/>
      <c r="H391" s="110"/>
      <c r="I391" s="110"/>
      <c r="J391" s="112"/>
      <c r="K391" s="636">
        <f>SUM(K388)</f>
        <v>100</v>
      </c>
      <c r="L391" s="112"/>
      <c r="M391" s="112"/>
      <c r="N391" s="112"/>
      <c r="O391" s="112"/>
      <c r="P391" s="112"/>
      <c r="Q391" s="112"/>
      <c r="R391" s="112"/>
      <c r="S391" s="112"/>
      <c r="T391" s="112"/>
      <c r="U391" s="112"/>
      <c r="V391" s="112"/>
      <c r="W391" s="112"/>
      <c r="X391" s="112"/>
      <c r="Y391" s="112"/>
      <c r="Z391" s="112"/>
      <c r="AA391" s="112"/>
      <c r="AB391" s="112"/>
      <c r="AC391" s="112"/>
      <c r="AD391" s="112"/>
      <c r="AE391" s="112"/>
      <c r="AF391" s="112"/>
      <c r="AG391" s="112"/>
      <c r="AH391" s="112"/>
      <c r="AI391" s="112"/>
      <c r="AJ391" s="112"/>
      <c r="AK391" s="112"/>
      <c r="AL391" s="553"/>
      <c r="AM391" s="112"/>
    </row>
    <row r="392" spans="1:39" ht="23.25" thickBot="1" x14ac:dyDescent="0.3">
      <c r="A392" s="351"/>
      <c r="B392" s="352"/>
      <c r="C392" s="352"/>
      <c r="D392" s="279" t="s">
        <v>376</v>
      </c>
      <c r="E392" s="279"/>
      <c r="F392" s="279"/>
      <c r="G392" s="279"/>
      <c r="H392" s="279"/>
      <c r="I392" s="279"/>
      <c r="J392" s="637"/>
      <c r="K392" s="638"/>
      <c r="L392" s="279"/>
      <c r="M392" s="279"/>
      <c r="N392" s="279"/>
      <c r="O392" s="279"/>
      <c r="P392" s="142"/>
      <c r="Q392" s="279"/>
      <c r="R392" s="279"/>
      <c r="S392" s="279"/>
      <c r="T392" s="279"/>
      <c r="U392" s="279"/>
      <c r="V392" s="279"/>
      <c r="W392" s="279"/>
      <c r="X392" s="279"/>
      <c r="Y392" s="279"/>
      <c r="Z392" s="279"/>
      <c r="AA392" s="279"/>
      <c r="AB392" s="279"/>
      <c r="AC392" s="279"/>
      <c r="AD392" s="279"/>
      <c r="AE392" s="279"/>
      <c r="AF392" s="279"/>
      <c r="AG392" s="279"/>
      <c r="AH392" s="142"/>
      <c r="AI392" s="279"/>
      <c r="AJ392" s="279"/>
      <c r="AK392" s="279"/>
      <c r="AL392" s="639"/>
      <c r="AM392" s="279"/>
    </row>
    <row r="393" spans="1:39" ht="112.5" x14ac:dyDescent="0.25">
      <c r="A393" s="351"/>
      <c r="B393" s="352"/>
      <c r="C393" s="352"/>
      <c r="D393" s="603" t="s">
        <v>1435</v>
      </c>
      <c r="E393" s="603"/>
      <c r="F393" s="603" t="s">
        <v>1436</v>
      </c>
      <c r="G393" s="640" t="s">
        <v>1437</v>
      </c>
      <c r="H393" s="640" t="s">
        <v>1438</v>
      </c>
      <c r="I393" s="640" t="s">
        <v>1439</v>
      </c>
      <c r="J393" s="641" t="s">
        <v>1440</v>
      </c>
      <c r="K393" s="631">
        <f>+(0.477*100)/0.705</f>
        <v>67.659574468085111</v>
      </c>
      <c r="L393" s="642" t="s">
        <v>1441</v>
      </c>
      <c r="M393" s="643"/>
      <c r="N393" s="643">
        <v>1</v>
      </c>
      <c r="O393" s="643">
        <v>1</v>
      </c>
      <c r="P393" s="644">
        <f>+O393/N393</f>
        <v>1</v>
      </c>
      <c r="Q393" s="606" t="s">
        <v>1442</v>
      </c>
      <c r="R393" s="606"/>
      <c r="S393" s="606" t="s">
        <v>89</v>
      </c>
      <c r="T393" s="606" t="s">
        <v>90</v>
      </c>
      <c r="U393" s="608">
        <v>334167601</v>
      </c>
      <c r="V393" s="645">
        <v>649609935.13000011</v>
      </c>
      <c r="W393" s="645"/>
      <c r="X393" s="645" t="s">
        <v>55</v>
      </c>
      <c r="Y393" s="645"/>
      <c r="Z393" s="645"/>
      <c r="AA393" s="645"/>
      <c r="AB393" s="645"/>
      <c r="AC393" s="645"/>
      <c r="AD393" s="645"/>
      <c r="AE393" s="645"/>
      <c r="AF393" s="645">
        <v>649609935.13000011</v>
      </c>
      <c r="AG393" s="646">
        <v>649609934</v>
      </c>
      <c r="AH393" s="647">
        <f>+AG393/AF393</f>
        <v>0.99999999826049446</v>
      </c>
      <c r="AI393" s="648" t="s">
        <v>1443</v>
      </c>
      <c r="AJ393" s="576"/>
      <c r="AK393" s="576" t="s">
        <v>1354</v>
      </c>
      <c r="AL393" s="611" t="s">
        <v>1444</v>
      </c>
      <c r="AM393" s="576">
        <v>1</v>
      </c>
    </row>
    <row r="394" spans="1:39" ht="67.5" x14ac:dyDescent="0.25">
      <c r="A394" s="351"/>
      <c r="B394" s="352"/>
      <c r="C394" s="352"/>
      <c r="D394" s="603"/>
      <c r="E394" s="603"/>
      <c r="F394" s="603"/>
      <c r="G394" s="603"/>
      <c r="H394" s="603"/>
      <c r="I394" s="621"/>
      <c r="J394" s="621"/>
      <c r="K394" s="617"/>
      <c r="L394" s="649"/>
      <c r="M394" s="612"/>
      <c r="N394" s="612"/>
      <c r="O394" s="612"/>
      <c r="P394" s="439"/>
      <c r="Q394" s="606" t="s">
        <v>1445</v>
      </c>
      <c r="R394" s="606"/>
      <c r="S394" s="606" t="s">
        <v>1446</v>
      </c>
      <c r="T394" s="606" t="s">
        <v>1447</v>
      </c>
      <c r="U394" s="608">
        <v>92500000</v>
      </c>
      <c r="V394" s="650"/>
      <c r="W394" s="650"/>
      <c r="X394" s="650"/>
      <c r="Y394" s="650"/>
      <c r="Z394" s="650"/>
      <c r="AA394" s="650"/>
      <c r="AB394" s="650"/>
      <c r="AC394" s="650"/>
      <c r="AD394" s="650"/>
      <c r="AE394" s="650"/>
      <c r="AF394" s="650"/>
      <c r="AG394" s="651"/>
      <c r="AH394" s="652"/>
      <c r="AI394" s="653"/>
      <c r="AJ394" s="576"/>
      <c r="AK394" s="576"/>
      <c r="AL394" s="611"/>
      <c r="AM394" s="576"/>
    </row>
    <row r="395" spans="1:39" ht="90.75" thickBot="1" x14ac:dyDescent="0.3">
      <c r="A395" s="351"/>
      <c r="B395" s="352"/>
      <c r="C395" s="352"/>
      <c r="D395" s="603"/>
      <c r="E395" s="603"/>
      <c r="F395" s="603"/>
      <c r="G395" s="606"/>
      <c r="H395" s="606"/>
      <c r="I395" s="606"/>
      <c r="J395" s="654"/>
      <c r="K395" s="633"/>
      <c r="L395" s="655"/>
      <c r="M395" s="605"/>
      <c r="N395" s="605"/>
      <c r="O395" s="605"/>
      <c r="P395" s="432"/>
      <c r="Q395" s="606" t="s">
        <v>1448</v>
      </c>
      <c r="R395" s="606" t="s">
        <v>1449</v>
      </c>
      <c r="S395" s="606" t="s">
        <v>1450</v>
      </c>
      <c r="T395" s="606" t="s">
        <v>1451</v>
      </c>
      <c r="U395" s="608">
        <v>222942333</v>
      </c>
      <c r="V395" s="656"/>
      <c r="W395" s="656"/>
      <c r="X395" s="656"/>
      <c r="Y395" s="656"/>
      <c r="Z395" s="656"/>
      <c r="AA395" s="656"/>
      <c r="AB395" s="656"/>
      <c r="AC395" s="656"/>
      <c r="AD395" s="656"/>
      <c r="AE395" s="656"/>
      <c r="AF395" s="656"/>
      <c r="AG395" s="616"/>
      <c r="AH395" s="191"/>
      <c r="AI395" s="657"/>
      <c r="AJ395" s="576"/>
      <c r="AK395" s="576"/>
      <c r="AL395" s="611"/>
      <c r="AM395" s="576"/>
    </row>
    <row r="396" spans="1:39" ht="147" thickBot="1" x14ac:dyDescent="0.3">
      <c r="A396" s="351"/>
      <c r="B396" s="352"/>
      <c r="C396" s="352"/>
      <c r="D396" s="603"/>
      <c r="E396" s="603"/>
      <c r="F396" s="603"/>
      <c r="G396" s="576" t="s">
        <v>1452</v>
      </c>
      <c r="H396" s="576" t="s">
        <v>1453</v>
      </c>
      <c r="I396" s="576" t="s">
        <v>1454</v>
      </c>
      <c r="J396" s="603" t="s">
        <v>1455</v>
      </c>
      <c r="K396" s="633">
        <f>+(0.123*100)/0.705</f>
        <v>17.446808510638299</v>
      </c>
      <c r="L396" s="576" t="s">
        <v>1456</v>
      </c>
      <c r="M396" s="576"/>
      <c r="N396" s="576">
        <v>1</v>
      </c>
      <c r="O396" s="576">
        <v>1</v>
      </c>
      <c r="P396" s="647">
        <f t="shared" ref="P396:P397" si="64">+O396/N396</f>
        <v>1</v>
      </c>
      <c r="Q396" s="576" t="s">
        <v>1457</v>
      </c>
      <c r="R396" s="576" t="s">
        <v>1458</v>
      </c>
      <c r="S396" s="576" t="s">
        <v>1459</v>
      </c>
      <c r="T396" s="576" t="s">
        <v>1460</v>
      </c>
      <c r="U396" s="579">
        <v>170000000</v>
      </c>
      <c r="V396" s="579">
        <v>170000000</v>
      </c>
      <c r="W396" s="576"/>
      <c r="X396" s="576" t="s">
        <v>55</v>
      </c>
      <c r="Y396" s="576"/>
      <c r="Z396" s="576"/>
      <c r="AA396" s="576"/>
      <c r="AB396" s="576"/>
      <c r="AC396" s="576"/>
      <c r="AD396" s="576"/>
      <c r="AE396" s="576"/>
      <c r="AF396" s="579">
        <v>170000000</v>
      </c>
      <c r="AG396" s="579">
        <v>170000000</v>
      </c>
      <c r="AH396" s="647">
        <f>+AG396/AF396</f>
        <v>1</v>
      </c>
      <c r="AI396" s="576" t="s">
        <v>1443</v>
      </c>
      <c r="AJ396" s="576" t="s">
        <v>1461</v>
      </c>
      <c r="AK396" s="576" t="s">
        <v>1363</v>
      </c>
      <c r="AL396" s="611" t="s">
        <v>1444</v>
      </c>
      <c r="AM396" s="576">
        <v>1</v>
      </c>
    </row>
    <row r="397" spans="1:39" ht="157.5" x14ac:dyDescent="0.25">
      <c r="A397" s="351"/>
      <c r="B397" s="352"/>
      <c r="C397" s="352"/>
      <c r="D397" s="603"/>
      <c r="E397" s="603"/>
      <c r="F397" s="603"/>
      <c r="G397" s="572" t="s">
        <v>1462</v>
      </c>
      <c r="H397" s="572" t="s">
        <v>1463</v>
      </c>
      <c r="I397" s="572" t="s">
        <v>1464</v>
      </c>
      <c r="J397" s="576" t="s">
        <v>1465</v>
      </c>
      <c r="K397" s="573">
        <f>+(0.106*100)/0.705</f>
        <v>15.035460992907801</v>
      </c>
      <c r="L397" s="577" t="s">
        <v>1466</v>
      </c>
      <c r="M397" s="577"/>
      <c r="N397" s="577">
        <v>1</v>
      </c>
      <c r="O397" s="604">
        <v>1</v>
      </c>
      <c r="P397" s="647">
        <f t="shared" si="64"/>
        <v>1</v>
      </c>
      <c r="Q397" s="577" t="s">
        <v>1467</v>
      </c>
      <c r="R397" s="577" t="s">
        <v>1468</v>
      </c>
      <c r="S397" s="577" t="s">
        <v>316</v>
      </c>
      <c r="T397" s="577" t="s">
        <v>1469</v>
      </c>
      <c r="U397" s="658">
        <v>20000000</v>
      </c>
      <c r="V397" s="659">
        <v>80000000</v>
      </c>
      <c r="W397" s="659"/>
      <c r="X397" s="659" t="s">
        <v>55</v>
      </c>
      <c r="Y397" s="659"/>
      <c r="Z397" s="659"/>
      <c r="AA397" s="659"/>
      <c r="AB397" s="659"/>
      <c r="AC397" s="659"/>
      <c r="AD397" s="659"/>
      <c r="AE397" s="604"/>
      <c r="AF397" s="659">
        <v>80000000</v>
      </c>
      <c r="AG397" s="659">
        <v>80000000</v>
      </c>
      <c r="AH397" s="647">
        <f>+AG397/AF397</f>
        <v>1</v>
      </c>
      <c r="AI397" s="577" t="s">
        <v>1443</v>
      </c>
      <c r="AJ397" s="577" t="s">
        <v>1470</v>
      </c>
      <c r="AK397" s="577" t="s">
        <v>1354</v>
      </c>
      <c r="AL397" s="620" t="s">
        <v>1444</v>
      </c>
      <c r="AM397" s="576">
        <v>1</v>
      </c>
    </row>
    <row r="398" spans="1:39" ht="34.5" thickBot="1" x14ac:dyDescent="0.3">
      <c r="A398" s="351"/>
      <c r="B398" s="352"/>
      <c r="C398" s="352"/>
      <c r="D398" s="603"/>
      <c r="E398" s="603"/>
      <c r="F398" s="110" t="s">
        <v>158</v>
      </c>
      <c r="G398" s="110"/>
      <c r="H398" s="110"/>
      <c r="I398" s="110"/>
      <c r="J398" s="112"/>
      <c r="K398" s="235">
        <f>SUM(K393:K397)</f>
        <v>100.14184397163122</v>
      </c>
      <c r="L398" s="112"/>
      <c r="M398" s="112"/>
      <c r="N398" s="112"/>
      <c r="O398" s="112"/>
      <c r="P398" s="112"/>
      <c r="Q398" s="112"/>
      <c r="R398" s="112"/>
      <c r="S398" s="112"/>
      <c r="T398" s="112"/>
      <c r="U398" s="112"/>
      <c r="V398" s="112"/>
      <c r="W398" s="112"/>
      <c r="X398" s="112"/>
      <c r="Y398" s="112"/>
      <c r="Z398" s="112"/>
      <c r="AA398" s="112"/>
      <c r="AB398" s="112"/>
      <c r="AC398" s="112"/>
      <c r="AD398" s="112"/>
      <c r="AE398" s="112"/>
      <c r="AF398" s="112"/>
      <c r="AG398" s="112"/>
      <c r="AH398" s="112"/>
      <c r="AI398" s="112"/>
      <c r="AJ398" s="112"/>
      <c r="AK398" s="112"/>
      <c r="AL398" s="553"/>
      <c r="AM398" s="112"/>
    </row>
    <row r="399" spans="1:39" ht="68.25" thickBot="1" x14ac:dyDescent="0.3">
      <c r="A399" s="351"/>
      <c r="B399" s="352"/>
      <c r="C399" s="352"/>
      <c r="D399" s="603"/>
      <c r="E399" s="603"/>
      <c r="F399" s="603" t="s">
        <v>1471</v>
      </c>
      <c r="G399" s="576" t="s">
        <v>1472</v>
      </c>
      <c r="H399" s="576" t="s">
        <v>1473</v>
      </c>
      <c r="I399" s="576"/>
      <c r="J399" s="576" t="s">
        <v>1474</v>
      </c>
      <c r="K399" s="631">
        <f>+(0.004*100)/0.7</f>
        <v>0.57142857142857151</v>
      </c>
      <c r="L399" s="576" t="s">
        <v>1475</v>
      </c>
      <c r="M399" s="576"/>
      <c r="N399" s="576">
        <v>1</v>
      </c>
      <c r="O399" s="576">
        <v>1</v>
      </c>
      <c r="P399" s="644">
        <f t="shared" ref="P399:P400" si="65">+O399/N399</f>
        <v>1</v>
      </c>
      <c r="Q399" s="576" t="s">
        <v>1476</v>
      </c>
      <c r="R399" s="576" t="s">
        <v>1477</v>
      </c>
      <c r="S399" s="576" t="s">
        <v>168</v>
      </c>
      <c r="T399" s="576" t="s">
        <v>1478</v>
      </c>
      <c r="U399" s="579">
        <v>15000000</v>
      </c>
      <c r="V399" s="579">
        <v>15000000</v>
      </c>
      <c r="W399" s="576"/>
      <c r="X399" s="576" t="s">
        <v>55</v>
      </c>
      <c r="Y399" s="576"/>
      <c r="Z399" s="576"/>
      <c r="AA399" s="576"/>
      <c r="AB399" s="576"/>
      <c r="AC399" s="576"/>
      <c r="AD399" s="576"/>
      <c r="AE399" s="576"/>
      <c r="AF399" s="579">
        <v>15000000</v>
      </c>
      <c r="AG399" s="579">
        <v>15000000</v>
      </c>
      <c r="AH399" s="647">
        <f t="shared" ref="AH399:AH400" si="66">+AG399/AF399</f>
        <v>1</v>
      </c>
      <c r="AI399" s="576" t="s">
        <v>1443</v>
      </c>
      <c r="AJ399" s="576" t="s">
        <v>1479</v>
      </c>
      <c r="AK399" s="576" t="s">
        <v>1354</v>
      </c>
      <c r="AL399" s="611" t="s">
        <v>1444</v>
      </c>
      <c r="AM399" s="576">
        <v>1</v>
      </c>
    </row>
    <row r="400" spans="1:39" ht="78.75" x14ac:dyDescent="0.25">
      <c r="A400" s="351"/>
      <c r="B400" s="352"/>
      <c r="C400" s="352"/>
      <c r="D400" s="603"/>
      <c r="E400" s="603"/>
      <c r="F400" s="603"/>
      <c r="G400" s="660" t="s">
        <v>1480</v>
      </c>
      <c r="H400" s="604" t="s">
        <v>1481</v>
      </c>
      <c r="I400" s="604" t="s">
        <v>1482</v>
      </c>
      <c r="J400" s="621" t="s">
        <v>1483</v>
      </c>
      <c r="K400" s="631">
        <f>+(0.176*100)/0.7</f>
        <v>25.142857142857142</v>
      </c>
      <c r="L400" s="649" t="s">
        <v>1484</v>
      </c>
      <c r="M400" s="631"/>
      <c r="N400" s="577">
        <v>1000</v>
      </c>
      <c r="O400" s="577">
        <v>150</v>
      </c>
      <c r="P400" s="644">
        <f t="shared" si="65"/>
        <v>0.15</v>
      </c>
      <c r="Q400" s="572" t="s">
        <v>1485</v>
      </c>
      <c r="R400" s="572" t="s">
        <v>1486</v>
      </c>
      <c r="S400" s="572" t="s">
        <v>1487</v>
      </c>
      <c r="T400" s="572" t="s">
        <v>417</v>
      </c>
      <c r="U400" s="661">
        <v>48000000</v>
      </c>
      <c r="V400" s="659">
        <v>75700000</v>
      </c>
      <c r="W400" s="659"/>
      <c r="X400" s="659" t="s">
        <v>55</v>
      </c>
      <c r="Y400" s="659"/>
      <c r="Z400" s="659"/>
      <c r="AA400" s="659"/>
      <c r="AB400" s="659"/>
      <c r="AC400" s="659"/>
      <c r="AD400" s="659"/>
      <c r="AE400" s="659"/>
      <c r="AF400" s="659">
        <v>75700000</v>
      </c>
      <c r="AG400" s="659">
        <v>75700000</v>
      </c>
      <c r="AH400" s="350">
        <f t="shared" si="66"/>
        <v>1</v>
      </c>
      <c r="AI400" s="659" t="s">
        <v>1443</v>
      </c>
      <c r="AJ400" s="659" t="s">
        <v>1488</v>
      </c>
      <c r="AK400" s="576" t="s">
        <v>1354</v>
      </c>
      <c r="AL400" s="611" t="s">
        <v>1444</v>
      </c>
      <c r="AM400" s="576">
        <v>1000</v>
      </c>
    </row>
    <row r="401" spans="1:39" ht="68.25" thickBot="1" x14ac:dyDescent="0.3">
      <c r="A401" s="351"/>
      <c r="B401" s="352"/>
      <c r="C401" s="352"/>
      <c r="D401" s="603"/>
      <c r="E401" s="603"/>
      <c r="F401" s="603"/>
      <c r="G401" s="432"/>
      <c r="H401" s="605"/>
      <c r="I401" s="605"/>
      <c r="J401" s="621"/>
      <c r="K401" s="621"/>
      <c r="L401" s="603"/>
      <c r="M401" s="621"/>
      <c r="N401" s="612"/>
      <c r="O401" s="612"/>
      <c r="P401" s="652"/>
      <c r="Q401" s="605" t="s">
        <v>1489</v>
      </c>
      <c r="R401" s="605" t="s">
        <v>1490</v>
      </c>
      <c r="S401" s="605" t="s">
        <v>1491</v>
      </c>
      <c r="T401" s="605" t="s">
        <v>317</v>
      </c>
      <c r="U401" s="662">
        <v>27700000</v>
      </c>
      <c r="V401" s="656"/>
      <c r="W401" s="656"/>
      <c r="X401" s="656"/>
      <c r="Y401" s="656"/>
      <c r="Z401" s="656"/>
      <c r="AA401" s="656"/>
      <c r="AB401" s="656"/>
      <c r="AC401" s="656"/>
      <c r="AD401" s="656"/>
      <c r="AE401" s="656"/>
      <c r="AF401" s="656"/>
      <c r="AG401" s="656"/>
      <c r="AH401" s="663"/>
      <c r="AI401" s="656"/>
      <c r="AJ401" s="656" t="s">
        <v>1492</v>
      </c>
      <c r="AK401" s="576"/>
      <c r="AL401" s="611"/>
      <c r="AM401" s="576"/>
    </row>
    <row r="402" spans="1:39" ht="68.25" thickBot="1" x14ac:dyDescent="0.3">
      <c r="A402" s="351"/>
      <c r="B402" s="352"/>
      <c r="C402" s="352"/>
      <c r="D402" s="603"/>
      <c r="E402" s="603"/>
      <c r="F402" s="603"/>
      <c r="G402" s="605" t="s">
        <v>1493</v>
      </c>
      <c r="H402" s="605" t="s">
        <v>1494</v>
      </c>
      <c r="I402" s="605" t="s">
        <v>1495</v>
      </c>
      <c r="J402" s="621"/>
      <c r="K402" s="621"/>
      <c r="L402" s="606"/>
      <c r="M402" s="621"/>
      <c r="N402" s="605"/>
      <c r="O402" s="605"/>
      <c r="P402" s="664"/>
      <c r="Q402" s="605" t="s">
        <v>1496</v>
      </c>
      <c r="R402" s="605" t="s">
        <v>321</v>
      </c>
      <c r="S402" s="605" t="s">
        <v>460</v>
      </c>
      <c r="T402" s="605" t="s">
        <v>89</v>
      </c>
      <c r="U402" s="665">
        <v>38000000</v>
      </c>
      <c r="V402" s="665">
        <v>38000000</v>
      </c>
      <c r="W402" s="576"/>
      <c r="X402" s="576" t="s">
        <v>55</v>
      </c>
      <c r="Y402" s="576"/>
      <c r="Z402" s="576"/>
      <c r="AA402" s="576"/>
      <c r="AB402" s="576"/>
      <c r="AC402" s="576"/>
      <c r="AD402" s="576"/>
      <c r="AE402" s="576"/>
      <c r="AF402" s="665">
        <v>38000000</v>
      </c>
      <c r="AG402" s="665">
        <v>38000000</v>
      </c>
      <c r="AH402" s="647">
        <f>+AG402/AF402</f>
        <v>1</v>
      </c>
      <c r="AI402" s="576" t="s">
        <v>1443</v>
      </c>
      <c r="AJ402" s="576" t="s">
        <v>1497</v>
      </c>
      <c r="AK402" s="576"/>
      <c r="AL402" s="611"/>
      <c r="AM402" s="576"/>
    </row>
    <row r="403" spans="1:39" ht="101.25" x14ac:dyDescent="0.25">
      <c r="A403" s="351"/>
      <c r="B403" s="352"/>
      <c r="C403" s="352"/>
      <c r="D403" s="603"/>
      <c r="E403" s="603"/>
      <c r="F403" s="603"/>
      <c r="G403" s="604" t="s">
        <v>1498</v>
      </c>
      <c r="H403" s="604" t="s">
        <v>1499</v>
      </c>
      <c r="I403" s="604"/>
      <c r="J403" s="641" t="s">
        <v>1500</v>
      </c>
      <c r="K403" s="631">
        <f>+(0.033*100)/0.7</f>
        <v>4.7142857142857153</v>
      </c>
      <c r="L403" s="642" t="s">
        <v>1475</v>
      </c>
      <c r="M403" s="604"/>
      <c r="N403" s="577">
        <v>2</v>
      </c>
      <c r="O403" s="577">
        <v>2</v>
      </c>
      <c r="P403" s="644">
        <f>+O403/N403</f>
        <v>1</v>
      </c>
      <c r="Q403" s="572" t="s">
        <v>1501</v>
      </c>
      <c r="R403" s="604"/>
      <c r="S403" s="604" t="s">
        <v>1502</v>
      </c>
      <c r="T403" s="604" t="s">
        <v>317</v>
      </c>
      <c r="U403" s="614">
        <v>300000000</v>
      </c>
      <c r="V403" s="614">
        <v>300000000</v>
      </c>
      <c r="W403" s="604"/>
      <c r="X403" s="604" t="s">
        <v>55</v>
      </c>
      <c r="Y403" s="604"/>
      <c r="Z403" s="604"/>
      <c r="AA403" s="604"/>
      <c r="AB403" s="604"/>
      <c r="AC403" s="604"/>
      <c r="AD403" s="604"/>
      <c r="AE403" s="604"/>
      <c r="AF403" s="614">
        <v>300000000</v>
      </c>
      <c r="AG403" s="614">
        <v>300000000</v>
      </c>
      <c r="AH403" s="350">
        <f>+AG403/AF403</f>
        <v>1</v>
      </c>
      <c r="AI403" s="604" t="s">
        <v>1443</v>
      </c>
      <c r="AJ403" s="604" t="s">
        <v>1503</v>
      </c>
      <c r="AK403" s="604" t="s">
        <v>1354</v>
      </c>
      <c r="AL403" s="611" t="s">
        <v>1444</v>
      </c>
      <c r="AM403" s="576">
        <v>2</v>
      </c>
    </row>
    <row r="404" spans="1:39" ht="45.75" thickBot="1" x14ac:dyDescent="0.3">
      <c r="A404" s="351"/>
      <c r="B404" s="352"/>
      <c r="C404" s="352"/>
      <c r="D404" s="603"/>
      <c r="E404" s="603"/>
      <c r="F404" s="603"/>
      <c r="G404" s="612"/>
      <c r="H404" s="612"/>
      <c r="I404" s="612"/>
      <c r="J404" s="654"/>
      <c r="K404" s="633"/>
      <c r="L404" s="655"/>
      <c r="M404" s="605"/>
      <c r="N404" s="605"/>
      <c r="O404" s="605"/>
      <c r="P404" s="666"/>
      <c r="Q404" s="605" t="s">
        <v>1504</v>
      </c>
      <c r="R404" s="612"/>
      <c r="S404" s="612"/>
      <c r="T404" s="612"/>
      <c r="U404" s="651"/>
      <c r="V404" s="651"/>
      <c r="W404" s="612"/>
      <c r="X404" s="612"/>
      <c r="Y404" s="612"/>
      <c r="Z404" s="612"/>
      <c r="AA404" s="612"/>
      <c r="AB404" s="612"/>
      <c r="AC404" s="612"/>
      <c r="AD404" s="612"/>
      <c r="AE404" s="612"/>
      <c r="AF404" s="612"/>
      <c r="AG404" s="612"/>
      <c r="AH404" s="439"/>
      <c r="AI404" s="612"/>
      <c r="AJ404" s="612"/>
      <c r="AK404" s="612"/>
      <c r="AL404" s="611"/>
      <c r="AM404" s="576"/>
    </row>
    <row r="405" spans="1:39" ht="102" thickBot="1" x14ac:dyDescent="0.3">
      <c r="A405" s="351"/>
      <c r="B405" s="352"/>
      <c r="C405" s="352"/>
      <c r="D405" s="603"/>
      <c r="E405" s="603"/>
      <c r="F405" s="603"/>
      <c r="G405" s="605"/>
      <c r="H405" s="605"/>
      <c r="I405" s="605"/>
      <c r="J405" s="606" t="s">
        <v>1505</v>
      </c>
      <c r="K405" s="633">
        <f>+(0.031*100)/0.7</f>
        <v>4.4285714285714288</v>
      </c>
      <c r="L405" s="576" t="s">
        <v>1506</v>
      </c>
      <c r="M405" s="576"/>
      <c r="N405" s="576">
        <v>2</v>
      </c>
      <c r="O405" s="576">
        <v>2</v>
      </c>
      <c r="P405" s="647">
        <f>+O405/N405</f>
        <v>1</v>
      </c>
      <c r="Q405" s="605" t="s">
        <v>1507</v>
      </c>
      <c r="R405" s="605"/>
      <c r="S405" s="605"/>
      <c r="T405" s="605"/>
      <c r="U405" s="605"/>
      <c r="V405" s="605"/>
      <c r="W405" s="605"/>
      <c r="X405" s="605"/>
      <c r="Y405" s="605"/>
      <c r="Z405" s="605"/>
      <c r="AA405" s="605"/>
      <c r="AB405" s="605"/>
      <c r="AC405" s="605"/>
      <c r="AD405" s="605"/>
      <c r="AE405" s="605"/>
      <c r="AF405" s="605"/>
      <c r="AG405" s="605"/>
      <c r="AH405" s="432"/>
      <c r="AI405" s="605"/>
      <c r="AJ405" s="605"/>
      <c r="AK405" s="605"/>
      <c r="AL405" s="611" t="s">
        <v>1444</v>
      </c>
      <c r="AM405" s="576">
        <v>2</v>
      </c>
    </row>
    <row r="406" spans="1:39" ht="90.75" thickBot="1" x14ac:dyDescent="0.3">
      <c r="A406" s="351"/>
      <c r="B406" s="352"/>
      <c r="C406" s="352"/>
      <c r="D406" s="603"/>
      <c r="E406" s="603"/>
      <c r="F406" s="603"/>
      <c r="G406" s="576" t="s">
        <v>1508</v>
      </c>
      <c r="H406" s="576" t="s">
        <v>1509</v>
      </c>
      <c r="I406" s="576"/>
      <c r="J406" s="576" t="s">
        <v>1510</v>
      </c>
      <c r="K406" s="631">
        <f>+(0.154*100)/0.7</f>
        <v>22.000000000000004</v>
      </c>
      <c r="L406" s="576" t="s">
        <v>1511</v>
      </c>
      <c r="M406" s="576"/>
      <c r="N406" s="576">
        <v>8</v>
      </c>
      <c r="O406" s="576">
        <v>18</v>
      </c>
      <c r="P406" s="647">
        <f>+O406/N406</f>
        <v>2.25</v>
      </c>
      <c r="Q406" s="576" t="s">
        <v>1512</v>
      </c>
      <c r="R406" s="576"/>
      <c r="S406" s="576" t="s">
        <v>732</v>
      </c>
      <c r="T406" s="576" t="s">
        <v>74</v>
      </c>
      <c r="U406" s="579">
        <v>200000000</v>
      </c>
      <c r="V406" s="579">
        <v>200000000</v>
      </c>
      <c r="W406" s="576"/>
      <c r="X406" s="576" t="s">
        <v>55</v>
      </c>
      <c r="Y406" s="576"/>
      <c r="Z406" s="576"/>
      <c r="AA406" s="576"/>
      <c r="AB406" s="576"/>
      <c r="AC406" s="576"/>
      <c r="AD406" s="576"/>
      <c r="AE406" s="576"/>
      <c r="AF406" s="579">
        <v>200000000</v>
      </c>
      <c r="AG406" s="579">
        <v>200000000</v>
      </c>
      <c r="AH406" s="647">
        <f>+AG406/AF406</f>
        <v>1</v>
      </c>
      <c r="AI406" s="576" t="s">
        <v>1513</v>
      </c>
      <c r="AJ406" s="576" t="s">
        <v>1514</v>
      </c>
      <c r="AK406" s="576" t="s">
        <v>1354</v>
      </c>
      <c r="AL406" s="576" t="s">
        <v>1444</v>
      </c>
      <c r="AM406" s="576">
        <v>8</v>
      </c>
    </row>
    <row r="407" spans="1:39" ht="102" thickBot="1" x14ac:dyDescent="0.3">
      <c r="A407" s="351"/>
      <c r="B407" s="352"/>
      <c r="C407" s="352"/>
      <c r="D407" s="603"/>
      <c r="E407" s="603"/>
      <c r="F407" s="603"/>
      <c r="G407" s="576" t="s">
        <v>1515</v>
      </c>
      <c r="H407" s="576" t="s">
        <v>1516</v>
      </c>
      <c r="I407" s="576"/>
      <c r="J407" s="641" t="s">
        <v>1517</v>
      </c>
      <c r="K407" s="631">
        <f>+(0.068*100)/0.7</f>
        <v>9.7142857142857153</v>
      </c>
      <c r="L407" s="641" t="s">
        <v>1518</v>
      </c>
      <c r="M407" s="604"/>
      <c r="N407" s="577">
        <v>7000</v>
      </c>
      <c r="O407" s="577">
        <v>7000</v>
      </c>
      <c r="P407" s="644">
        <f>+O407/N407</f>
        <v>1</v>
      </c>
      <c r="Q407" s="576" t="s">
        <v>1519</v>
      </c>
      <c r="R407" s="576"/>
      <c r="S407" s="576" t="s">
        <v>316</v>
      </c>
      <c r="T407" s="576" t="s">
        <v>417</v>
      </c>
      <c r="U407" s="579">
        <v>40000000</v>
      </c>
      <c r="V407" s="579">
        <v>40000000</v>
      </c>
      <c r="W407" s="576"/>
      <c r="X407" s="576" t="s">
        <v>55</v>
      </c>
      <c r="Y407" s="576"/>
      <c r="Z407" s="576"/>
      <c r="AA407" s="576"/>
      <c r="AB407" s="576"/>
      <c r="AC407" s="576"/>
      <c r="AD407" s="576"/>
      <c r="AE407" s="576"/>
      <c r="AF407" s="579">
        <v>40000000</v>
      </c>
      <c r="AG407" s="579">
        <v>40000000</v>
      </c>
      <c r="AH407" s="647">
        <f t="shared" ref="AH407:AH411" si="67">+AG407/AF407</f>
        <v>1</v>
      </c>
      <c r="AI407" s="576" t="s">
        <v>1513</v>
      </c>
      <c r="AJ407" s="576" t="s">
        <v>1520</v>
      </c>
      <c r="AK407" s="576" t="s">
        <v>1363</v>
      </c>
      <c r="AL407" s="576" t="s">
        <v>1444</v>
      </c>
      <c r="AM407" s="576">
        <v>7000</v>
      </c>
    </row>
    <row r="408" spans="1:39" ht="90.75" thickBot="1" x14ac:dyDescent="0.3">
      <c r="A408" s="351"/>
      <c r="B408" s="352"/>
      <c r="C408" s="352"/>
      <c r="D408" s="603"/>
      <c r="E408" s="603"/>
      <c r="F408" s="603"/>
      <c r="G408" s="576" t="s">
        <v>1521</v>
      </c>
      <c r="H408" s="576" t="s">
        <v>1522</v>
      </c>
      <c r="I408" s="576" t="s">
        <v>1523</v>
      </c>
      <c r="J408" s="621"/>
      <c r="K408" s="617"/>
      <c r="L408" s="621"/>
      <c r="M408" s="612"/>
      <c r="N408" s="612"/>
      <c r="O408" s="612"/>
      <c r="P408" s="567"/>
      <c r="Q408" s="576" t="s">
        <v>1524</v>
      </c>
      <c r="R408" s="576"/>
      <c r="S408" s="576" t="s">
        <v>1525</v>
      </c>
      <c r="T408" s="576" t="s">
        <v>1526</v>
      </c>
      <c r="U408" s="579">
        <v>30000000</v>
      </c>
      <c r="V408" s="579">
        <v>30000000</v>
      </c>
      <c r="W408" s="576"/>
      <c r="X408" s="576" t="s">
        <v>55</v>
      </c>
      <c r="Y408" s="576"/>
      <c r="Z408" s="576"/>
      <c r="AA408" s="576"/>
      <c r="AB408" s="576"/>
      <c r="AC408" s="576"/>
      <c r="AD408" s="576"/>
      <c r="AE408" s="576"/>
      <c r="AF408" s="579">
        <v>30000000</v>
      </c>
      <c r="AG408" s="623">
        <v>27700000</v>
      </c>
      <c r="AH408" s="647">
        <f t="shared" si="67"/>
        <v>0.92333333333333334</v>
      </c>
      <c r="AI408" s="576" t="s">
        <v>1513</v>
      </c>
      <c r="AJ408" s="576" t="s">
        <v>1527</v>
      </c>
      <c r="AK408" s="576"/>
      <c r="AL408" s="576" t="s">
        <v>1444</v>
      </c>
      <c r="AM408" s="576"/>
    </row>
    <row r="409" spans="1:39" ht="90.75" thickBot="1" x14ac:dyDescent="0.3">
      <c r="A409" s="351"/>
      <c r="B409" s="352"/>
      <c r="C409" s="352"/>
      <c r="D409" s="603"/>
      <c r="E409" s="603"/>
      <c r="F409" s="603"/>
      <c r="G409" s="576" t="s">
        <v>1528</v>
      </c>
      <c r="H409" s="576" t="s">
        <v>1529</v>
      </c>
      <c r="I409" s="576" t="s">
        <v>1530</v>
      </c>
      <c r="J409" s="621"/>
      <c r="K409" s="617"/>
      <c r="L409" s="621"/>
      <c r="M409" s="612"/>
      <c r="N409" s="612"/>
      <c r="O409" s="612"/>
      <c r="P409" s="567"/>
      <c r="Q409" s="576" t="s">
        <v>1531</v>
      </c>
      <c r="R409" s="576"/>
      <c r="S409" s="576" t="s">
        <v>1459</v>
      </c>
      <c r="T409" s="576" t="s">
        <v>1532</v>
      </c>
      <c r="U409" s="579">
        <v>70000000</v>
      </c>
      <c r="V409" s="579">
        <v>70000000</v>
      </c>
      <c r="W409" s="576"/>
      <c r="X409" s="576" t="s">
        <v>55</v>
      </c>
      <c r="Y409" s="576"/>
      <c r="Z409" s="576"/>
      <c r="AA409" s="576"/>
      <c r="AB409" s="576"/>
      <c r="AC409" s="576"/>
      <c r="AD409" s="576"/>
      <c r="AE409" s="576"/>
      <c r="AF409" s="579">
        <v>70000000</v>
      </c>
      <c r="AG409" s="580">
        <v>40000000</v>
      </c>
      <c r="AH409" s="647">
        <f t="shared" si="67"/>
        <v>0.5714285714285714</v>
      </c>
      <c r="AI409" s="576" t="s">
        <v>1513</v>
      </c>
      <c r="AJ409" s="576" t="s">
        <v>1533</v>
      </c>
      <c r="AK409" s="576"/>
      <c r="AL409" s="576" t="s">
        <v>1444</v>
      </c>
      <c r="AM409" s="576"/>
    </row>
    <row r="410" spans="1:39" ht="68.25" thickBot="1" x14ac:dyDescent="0.3">
      <c r="A410" s="351"/>
      <c r="B410" s="352"/>
      <c r="C410" s="352"/>
      <c r="D410" s="603"/>
      <c r="E410" s="603"/>
      <c r="F410" s="603"/>
      <c r="G410" s="576" t="s">
        <v>1534</v>
      </c>
      <c r="H410" s="576" t="s">
        <v>1494</v>
      </c>
      <c r="I410" s="576" t="s">
        <v>1495</v>
      </c>
      <c r="J410" s="654"/>
      <c r="K410" s="633"/>
      <c r="L410" s="654"/>
      <c r="M410" s="605"/>
      <c r="N410" s="605"/>
      <c r="O410" s="605"/>
      <c r="P410" s="666"/>
      <c r="Q410" s="605" t="s">
        <v>1535</v>
      </c>
      <c r="R410" s="605"/>
      <c r="S410" s="605" t="s">
        <v>1536</v>
      </c>
      <c r="T410" s="605" t="s">
        <v>417</v>
      </c>
      <c r="U410" s="579">
        <v>30000000</v>
      </c>
      <c r="V410" s="579">
        <v>30000000</v>
      </c>
      <c r="W410" s="576"/>
      <c r="X410" s="576" t="s">
        <v>55</v>
      </c>
      <c r="Y410" s="576"/>
      <c r="Z410" s="576"/>
      <c r="AA410" s="576"/>
      <c r="AB410" s="576"/>
      <c r="AC410" s="576"/>
      <c r="AD410" s="576"/>
      <c r="AE410" s="576"/>
      <c r="AF410" s="579">
        <v>30000000</v>
      </c>
      <c r="AG410" s="579">
        <v>30000000</v>
      </c>
      <c r="AH410" s="647">
        <f t="shared" si="67"/>
        <v>1</v>
      </c>
      <c r="AI410" s="576" t="s">
        <v>1513</v>
      </c>
      <c r="AJ410" s="576" t="s">
        <v>1537</v>
      </c>
      <c r="AK410" s="576"/>
      <c r="AL410" s="576" t="s">
        <v>1444</v>
      </c>
      <c r="AM410" s="576"/>
    </row>
    <row r="411" spans="1:39" ht="101.25" x14ac:dyDescent="0.25">
      <c r="A411" s="351"/>
      <c r="B411" s="352"/>
      <c r="C411" s="352"/>
      <c r="D411" s="603"/>
      <c r="E411" s="603"/>
      <c r="F411" s="603"/>
      <c r="G411" s="604" t="s">
        <v>1538</v>
      </c>
      <c r="H411" s="667" t="s">
        <v>1539</v>
      </c>
      <c r="I411" s="612" t="s">
        <v>1540</v>
      </c>
      <c r="J411" s="668" t="s">
        <v>1541</v>
      </c>
      <c r="K411" s="631">
        <v>0.86</v>
      </c>
      <c r="L411" s="604" t="s">
        <v>1542</v>
      </c>
      <c r="M411" s="604"/>
      <c r="N411" s="577">
        <v>1</v>
      </c>
      <c r="O411" s="604">
        <v>1</v>
      </c>
      <c r="P411" s="647">
        <f>+O411/N411</f>
        <v>1</v>
      </c>
      <c r="Q411" s="576" t="s">
        <v>1543</v>
      </c>
      <c r="R411" s="576"/>
      <c r="S411" s="576" t="s">
        <v>1544</v>
      </c>
      <c r="T411" s="576" t="s">
        <v>1545</v>
      </c>
      <c r="U411" s="623">
        <v>400000000</v>
      </c>
      <c r="V411" s="614">
        <v>798509433</v>
      </c>
      <c r="W411" s="604"/>
      <c r="X411" s="604" t="s">
        <v>55</v>
      </c>
      <c r="Y411" s="604"/>
      <c r="Z411" s="604"/>
      <c r="AA411" s="604"/>
      <c r="AB411" s="604"/>
      <c r="AC411" s="604"/>
      <c r="AD411" s="604"/>
      <c r="AE411" s="604"/>
      <c r="AF411" s="614">
        <v>798509433</v>
      </c>
      <c r="AG411" s="614">
        <v>798509433</v>
      </c>
      <c r="AH411" s="350">
        <f t="shared" si="67"/>
        <v>1</v>
      </c>
      <c r="AI411" s="614" t="s">
        <v>1513</v>
      </c>
      <c r="AJ411" s="614" t="s">
        <v>1546</v>
      </c>
      <c r="AK411" s="604" t="s">
        <v>1354</v>
      </c>
      <c r="AL411" s="604" t="s">
        <v>1444</v>
      </c>
      <c r="AM411" s="576">
        <v>0</v>
      </c>
    </row>
    <row r="412" spans="1:39" ht="78.75" x14ac:dyDescent="0.25">
      <c r="A412" s="351"/>
      <c r="B412" s="352"/>
      <c r="C412" s="352"/>
      <c r="D412" s="603"/>
      <c r="E412" s="603"/>
      <c r="F412" s="603"/>
      <c r="G412" s="612"/>
      <c r="H412" s="612"/>
      <c r="I412" s="612"/>
      <c r="J412" s="612"/>
      <c r="K412" s="603"/>
      <c r="L412" s="612"/>
      <c r="M412" s="612"/>
      <c r="N412" s="603"/>
      <c r="O412" s="612"/>
      <c r="P412" s="439"/>
      <c r="Q412" s="577" t="s">
        <v>1547</v>
      </c>
      <c r="R412" s="577"/>
      <c r="S412" s="577" t="s">
        <v>1548</v>
      </c>
      <c r="T412" s="577" t="s">
        <v>1549</v>
      </c>
      <c r="U412" s="658">
        <v>100000000</v>
      </c>
      <c r="V412" s="650"/>
      <c r="W412" s="612"/>
      <c r="X412" s="612"/>
      <c r="Y412" s="612"/>
      <c r="Z412" s="612"/>
      <c r="AA412" s="612"/>
      <c r="AB412" s="612"/>
      <c r="AC412" s="612"/>
      <c r="AD412" s="612"/>
      <c r="AE412" s="612"/>
      <c r="AF412" s="651"/>
      <c r="AG412" s="651"/>
      <c r="AH412" s="669"/>
      <c r="AI412" s="651"/>
      <c r="AJ412" s="651" t="s">
        <v>1550</v>
      </c>
      <c r="AK412" s="612"/>
      <c r="AL412" s="612"/>
      <c r="AM412" s="576"/>
    </row>
    <row r="413" spans="1:39" ht="90" x14ac:dyDescent="0.25">
      <c r="A413" s="351"/>
      <c r="B413" s="352"/>
      <c r="C413" s="352"/>
      <c r="D413" s="603"/>
      <c r="E413" s="603"/>
      <c r="F413" s="603"/>
      <c r="G413" s="612"/>
      <c r="H413" s="612"/>
      <c r="I413" s="612"/>
      <c r="J413" s="612"/>
      <c r="K413" s="603"/>
      <c r="L413" s="612"/>
      <c r="M413" s="612"/>
      <c r="N413" s="603"/>
      <c r="O413" s="612"/>
      <c r="P413" s="439"/>
      <c r="Q413" s="577" t="s">
        <v>1551</v>
      </c>
      <c r="R413" s="577"/>
      <c r="S413" s="577" t="s">
        <v>1552</v>
      </c>
      <c r="T413" s="577" t="s">
        <v>1553</v>
      </c>
      <c r="U413" s="658">
        <v>201509433</v>
      </c>
      <c r="V413" s="650"/>
      <c r="W413" s="612"/>
      <c r="X413" s="612"/>
      <c r="Y413" s="612"/>
      <c r="Z413" s="612"/>
      <c r="AA413" s="612"/>
      <c r="AB413" s="612"/>
      <c r="AC413" s="612"/>
      <c r="AD413" s="612"/>
      <c r="AE413" s="612"/>
      <c r="AF413" s="651"/>
      <c r="AG413" s="651"/>
      <c r="AH413" s="669"/>
      <c r="AI413" s="651"/>
      <c r="AJ413" s="651" t="s">
        <v>1554</v>
      </c>
      <c r="AK413" s="612"/>
      <c r="AL413" s="612"/>
      <c r="AM413" s="576"/>
    </row>
    <row r="414" spans="1:39" ht="56.25" x14ac:dyDescent="0.25">
      <c r="A414" s="351"/>
      <c r="B414" s="352"/>
      <c r="C414" s="352"/>
      <c r="D414" s="603"/>
      <c r="E414" s="603"/>
      <c r="F414" s="603"/>
      <c r="G414" s="612"/>
      <c r="H414" s="612"/>
      <c r="I414" s="612"/>
      <c r="J414" s="612"/>
      <c r="K414" s="603"/>
      <c r="L414" s="612"/>
      <c r="M414" s="612"/>
      <c r="N414" s="603"/>
      <c r="O414" s="612"/>
      <c r="P414" s="439"/>
      <c r="Q414" s="577" t="s">
        <v>1555</v>
      </c>
      <c r="R414" s="577"/>
      <c r="S414" s="577" t="s">
        <v>1556</v>
      </c>
      <c r="T414" s="577" t="s">
        <v>1557</v>
      </c>
      <c r="U414" s="658">
        <v>27000000</v>
      </c>
      <c r="V414" s="650"/>
      <c r="W414" s="612"/>
      <c r="X414" s="612"/>
      <c r="Y414" s="612"/>
      <c r="Z414" s="612"/>
      <c r="AA414" s="612"/>
      <c r="AB414" s="612"/>
      <c r="AC414" s="612"/>
      <c r="AD414" s="612"/>
      <c r="AE414" s="612"/>
      <c r="AF414" s="651"/>
      <c r="AG414" s="651"/>
      <c r="AH414" s="669"/>
      <c r="AI414" s="651"/>
      <c r="AJ414" s="651" t="s">
        <v>1558</v>
      </c>
      <c r="AK414" s="612"/>
      <c r="AL414" s="612"/>
      <c r="AM414" s="576"/>
    </row>
    <row r="415" spans="1:39" ht="56.25" x14ac:dyDescent="0.25">
      <c r="A415" s="351"/>
      <c r="B415" s="352"/>
      <c r="C415" s="352"/>
      <c r="D415" s="603"/>
      <c r="E415" s="603"/>
      <c r="F415" s="603"/>
      <c r="G415" s="612"/>
      <c r="H415" s="612"/>
      <c r="I415" s="612"/>
      <c r="J415" s="612"/>
      <c r="K415" s="603"/>
      <c r="L415" s="612"/>
      <c r="M415" s="612"/>
      <c r="N415" s="603"/>
      <c r="O415" s="612"/>
      <c r="P415" s="439"/>
      <c r="Q415" s="577" t="s">
        <v>1559</v>
      </c>
      <c r="R415" s="577"/>
      <c r="S415" s="577" t="s">
        <v>1548</v>
      </c>
      <c r="T415" s="577" t="s">
        <v>1560</v>
      </c>
      <c r="U415" s="658">
        <v>20000000</v>
      </c>
      <c r="V415" s="650"/>
      <c r="W415" s="612"/>
      <c r="X415" s="612"/>
      <c r="Y415" s="612"/>
      <c r="Z415" s="612"/>
      <c r="AA415" s="612"/>
      <c r="AB415" s="612"/>
      <c r="AC415" s="612"/>
      <c r="AD415" s="612"/>
      <c r="AE415" s="612"/>
      <c r="AF415" s="651"/>
      <c r="AG415" s="651"/>
      <c r="AH415" s="669"/>
      <c r="AI415" s="651"/>
      <c r="AJ415" s="651" t="s">
        <v>1561</v>
      </c>
      <c r="AK415" s="612"/>
      <c r="AL415" s="612"/>
      <c r="AM415" s="576"/>
    </row>
    <row r="416" spans="1:39" ht="79.5" thickBot="1" x14ac:dyDescent="0.3">
      <c r="A416" s="351"/>
      <c r="B416" s="352"/>
      <c r="C416" s="352"/>
      <c r="D416" s="603"/>
      <c r="E416" s="603"/>
      <c r="F416" s="603"/>
      <c r="G416" s="605"/>
      <c r="H416" s="605"/>
      <c r="I416" s="605"/>
      <c r="J416" s="612"/>
      <c r="K416" s="612"/>
      <c r="L416" s="605"/>
      <c r="M416" s="605"/>
      <c r="N416" s="605"/>
      <c r="O416" s="605"/>
      <c r="P416" s="432"/>
      <c r="Q416" s="577" t="s">
        <v>1562</v>
      </c>
      <c r="R416" s="577"/>
      <c r="S416" s="577" t="s">
        <v>1563</v>
      </c>
      <c r="T416" s="577" t="s">
        <v>168</v>
      </c>
      <c r="U416" s="658">
        <v>50000000</v>
      </c>
      <c r="V416" s="656"/>
      <c r="W416" s="605"/>
      <c r="X416" s="605"/>
      <c r="Y416" s="605"/>
      <c r="Z416" s="605"/>
      <c r="AA416" s="605"/>
      <c r="AB416" s="605"/>
      <c r="AC416" s="605"/>
      <c r="AD416" s="605"/>
      <c r="AE416" s="605"/>
      <c r="AF416" s="616"/>
      <c r="AG416" s="616"/>
      <c r="AH416" s="670"/>
      <c r="AI416" s="616"/>
      <c r="AJ416" s="616" t="s">
        <v>1564</v>
      </c>
      <c r="AK416" s="605"/>
      <c r="AL416" s="605"/>
      <c r="AM416" s="576"/>
    </row>
    <row r="417" spans="1:39" ht="394.5" thickBot="1" x14ac:dyDescent="0.3">
      <c r="A417" s="351"/>
      <c r="B417" s="352"/>
      <c r="C417" s="352"/>
      <c r="D417" s="603"/>
      <c r="E417" s="603"/>
      <c r="F417" s="603"/>
      <c r="G417" s="576" t="s">
        <v>1565</v>
      </c>
      <c r="H417" s="576" t="s">
        <v>1566</v>
      </c>
      <c r="I417" s="576" t="s">
        <v>1567</v>
      </c>
      <c r="J417" s="641" t="s">
        <v>1568</v>
      </c>
      <c r="K417" s="631">
        <f>+(0.228*100)/0.7</f>
        <v>32.571428571428577</v>
      </c>
      <c r="L417" s="642" t="s">
        <v>1569</v>
      </c>
      <c r="M417" s="604"/>
      <c r="N417" s="577">
        <v>1</v>
      </c>
      <c r="O417" s="604">
        <v>1</v>
      </c>
      <c r="P417" s="647">
        <f>+O417/N417</f>
        <v>1</v>
      </c>
      <c r="Q417" s="572" t="s">
        <v>1570</v>
      </c>
      <c r="R417" s="572" t="s">
        <v>1571</v>
      </c>
      <c r="S417" s="572" t="s">
        <v>386</v>
      </c>
      <c r="T417" s="572" t="s">
        <v>549</v>
      </c>
      <c r="U417" s="632">
        <v>2112781006.1600001</v>
      </c>
      <c r="V417" s="632">
        <v>2112781006.1600001</v>
      </c>
      <c r="W417" s="577"/>
      <c r="X417" s="577" t="s">
        <v>55</v>
      </c>
      <c r="Y417" s="577"/>
      <c r="Z417" s="577"/>
      <c r="AA417" s="577"/>
      <c r="AB417" s="577"/>
      <c r="AC417" s="577"/>
      <c r="AD417" s="577"/>
      <c r="AE417" s="577"/>
      <c r="AF417" s="632">
        <v>2112781006.1600001</v>
      </c>
      <c r="AG417" s="634">
        <v>2012630000</v>
      </c>
      <c r="AH417" s="647">
        <f t="shared" ref="AH417" si="68">+AG417/AF417</f>
        <v>0.95259754519375128</v>
      </c>
      <c r="AI417" s="576" t="s">
        <v>1513</v>
      </c>
      <c r="AJ417" s="577" t="s">
        <v>1572</v>
      </c>
      <c r="AK417" s="577" t="s">
        <v>1354</v>
      </c>
      <c r="AL417" s="577" t="s">
        <v>1444</v>
      </c>
      <c r="AM417" s="576">
        <v>1</v>
      </c>
    </row>
    <row r="418" spans="1:39" ht="90" x14ac:dyDescent="0.25">
      <c r="A418" s="351"/>
      <c r="B418" s="352"/>
      <c r="C418" s="352"/>
      <c r="D418" s="603"/>
      <c r="E418" s="603"/>
      <c r="F418" s="603"/>
      <c r="G418" s="576" t="s">
        <v>1573</v>
      </c>
      <c r="H418" s="576" t="s">
        <v>1574</v>
      </c>
      <c r="I418" s="576" t="s">
        <v>1575</v>
      </c>
      <c r="J418" s="671"/>
      <c r="K418" s="612"/>
      <c r="L418" s="672"/>
      <c r="M418" s="612"/>
      <c r="N418" s="612"/>
      <c r="O418" s="612"/>
      <c r="P418" s="439"/>
      <c r="Q418" s="612" t="s">
        <v>1576</v>
      </c>
      <c r="R418" s="612"/>
      <c r="S418" s="612" t="s">
        <v>474</v>
      </c>
      <c r="T418" s="612" t="s">
        <v>1577</v>
      </c>
      <c r="U418" s="632">
        <v>90000000</v>
      </c>
      <c r="V418" s="632">
        <v>90000000</v>
      </c>
      <c r="W418" s="577"/>
      <c r="X418" s="577" t="s">
        <v>55</v>
      </c>
      <c r="Y418" s="577"/>
      <c r="Z418" s="577"/>
      <c r="AA418" s="577"/>
      <c r="AB418" s="577"/>
      <c r="AC418" s="577"/>
      <c r="AD418" s="577"/>
      <c r="AE418" s="577"/>
      <c r="AF418" s="632">
        <v>90000000</v>
      </c>
      <c r="AG418" s="632">
        <v>90000000</v>
      </c>
      <c r="AH418" s="647">
        <f>+AG418/AF418</f>
        <v>1</v>
      </c>
      <c r="AI418" s="577" t="s">
        <v>1513</v>
      </c>
      <c r="AJ418" s="577" t="s">
        <v>1578</v>
      </c>
      <c r="AK418" s="577" t="s">
        <v>1354</v>
      </c>
      <c r="AL418" s="577" t="s">
        <v>1444</v>
      </c>
      <c r="AM418" s="576"/>
    </row>
    <row r="419" spans="1:39" ht="67.5" x14ac:dyDescent="0.25">
      <c r="A419" s="351"/>
      <c r="B419" s="352"/>
      <c r="C419" s="352"/>
      <c r="D419" s="603"/>
      <c r="E419" s="603"/>
      <c r="F419" s="603"/>
      <c r="G419" s="576" t="s">
        <v>1579</v>
      </c>
      <c r="H419" s="576" t="s">
        <v>1580</v>
      </c>
      <c r="I419" s="576"/>
      <c r="J419" s="673"/>
      <c r="K419" s="674"/>
      <c r="L419" s="675"/>
      <c r="M419" s="576"/>
      <c r="N419" s="576"/>
      <c r="O419" s="576"/>
      <c r="P419" s="112"/>
      <c r="Q419" s="576" t="s">
        <v>1581</v>
      </c>
      <c r="R419" s="576"/>
      <c r="S419" s="576" t="s">
        <v>1582</v>
      </c>
      <c r="T419" s="576" t="s">
        <v>1583</v>
      </c>
      <c r="U419" s="623">
        <v>75000000</v>
      </c>
      <c r="V419" s="623">
        <v>75000000</v>
      </c>
      <c r="W419" s="576"/>
      <c r="X419" s="576" t="s">
        <v>55</v>
      </c>
      <c r="Y419" s="576"/>
      <c r="Z419" s="576"/>
      <c r="AA419" s="576"/>
      <c r="AB419" s="576"/>
      <c r="AC419" s="576"/>
      <c r="AD419" s="576"/>
      <c r="AE419" s="576"/>
      <c r="AF419" s="623">
        <v>75000000</v>
      </c>
      <c r="AG419" s="623">
        <v>75000000</v>
      </c>
      <c r="AH419" s="676">
        <f>+AG419/AF419</f>
        <v>1</v>
      </c>
      <c r="AI419" s="576" t="s">
        <v>1513</v>
      </c>
      <c r="AJ419" s="576" t="s">
        <v>1584</v>
      </c>
      <c r="AK419" s="576" t="s">
        <v>1354</v>
      </c>
      <c r="AL419" s="576" t="s">
        <v>1444</v>
      </c>
      <c r="AM419" s="606"/>
    </row>
    <row r="420" spans="1:39" ht="34.5" thickBot="1" x14ac:dyDescent="0.3">
      <c r="A420" s="351"/>
      <c r="B420" s="352"/>
      <c r="C420" s="352"/>
      <c r="D420" s="603"/>
      <c r="E420" s="603"/>
      <c r="F420" s="110" t="s">
        <v>158</v>
      </c>
      <c r="G420" s="110"/>
      <c r="H420" s="110"/>
      <c r="I420" s="110"/>
      <c r="J420" s="677"/>
      <c r="K420" s="636">
        <f>SUM(K399:K418)</f>
        <v>100.00285714285715</v>
      </c>
      <c r="L420" s="112"/>
      <c r="M420" s="112"/>
      <c r="N420" s="112"/>
      <c r="O420" s="112"/>
      <c r="P420" s="112"/>
      <c r="Q420" s="112"/>
      <c r="R420" s="112"/>
      <c r="S420" s="112"/>
      <c r="T420" s="112"/>
      <c r="U420" s="112"/>
      <c r="V420" s="112"/>
      <c r="W420" s="112"/>
      <c r="X420" s="112"/>
      <c r="Y420" s="112"/>
      <c r="Z420" s="112"/>
      <c r="AA420" s="112"/>
      <c r="AB420" s="112"/>
      <c r="AC420" s="112"/>
      <c r="AD420" s="112"/>
      <c r="AE420" s="112"/>
      <c r="AF420" s="112"/>
      <c r="AG420" s="112"/>
      <c r="AH420" s="112"/>
      <c r="AI420" s="112"/>
      <c r="AJ420" s="112"/>
      <c r="AK420" s="112"/>
      <c r="AL420" s="553"/>
      <c r="AM420" s="112"/>
    </row>
    <row r="421" spans="1:39" ht="78.75" x14ac:dyDescent="0.25">
      <c r="A421" s="351"/>
      <c r="B421" s="352"/>
      <c r="C421" s="352"/>
      <c r="D421" s="603"/>
      <c r="E421" s="603"/>
      <c r="F421" s="603" t="s">
        <v>1585</v>
      </c>
      <c r="G421" s="606" t="s">
        <v>1586</v>
      </c>
      <c r="H421" s="606" t="s">
        <v>1587</v>
      </c>
      <c r="I421" s="606" t="s">
        <v>1588</v>
      </c>
      <c r="J421" s="576" t="s">
        <v>1589</v>
      </c>
      <c r="K421" s="573">
        <v>100</v>
      </c>
      <c r="L421" s="606" t="s">
        <v>1590</v>
      </c>
      <c r="M421" s="606"/>
      <c r="N421" s="606">
        <v>1</v>
      </c>
      <c r="O421" s="606">
        <v>0</v>
      </c>
      <c r="P421" s="678">
        <f>+O421/N421</f>
        <v>0</v>
      </c>
      <c r="Q421" s="606" t="s">
        <v>1588</v>
      </c>
      <c r="R421" s="606"/>
      <c r="S421" s="606" t="s">
        <v>331</v>
      </c>
      <c r="T421" s="606" t="s">
        <v>1591</v>
      </c>
      <c r="U421" s="609">
        <v>322482676</v>
      </c>
      <c r="V421" s="609">
        <v>322482676</v>
      </c>
      <c r="W421" s="606"/>
      <c r="X421" s="606" t="s">
        <v>55</v>
      </c>
      <c r="Y421" s="606"/>
      <c r="Z421" s="606"/>
      <c r="AA421" s="606"/>
      <c r="AB421" s="606"/>
      <c r="AC421" s="606"/>
      <c r="AD421" s="606"/>
      <c r="AE421" s="606"/>
      <c r="AF421" s="609">
        <v>322482676</v>
      </c>
      <c r="AG421" s="610">
        <v>0</v>
      </c>
      <c r="AH421" s="678">
        <f>+AG421/AF421</f>
        <v>0</v>
      </c>
      <c r="AI421" s="576" t="s">
        <v>1513</v>
      </c>
      <c r="AJ421" s="606" t="s">
        <v>1592</v>
      </c>
      <c r="AK421" s="606" t="s">
        <v>1354</v>
      </c>
      <c r="AL421" s="679" t="s">
        <v>1444</v>
      </c>
      <c r="AM421" s="606">
        <v>1</v>
      </c>
    </row>
    <row r="422" spans="1:39" ht="34.5" thickBot="1" x14ac:dyDescent="0.3">
      <c r="A422" s="351"/>
      <c r="B422" s="352"/>
      <c r="C422" s="352"/>
      <c r="D422" s="603"/>
      <c r="E422" s="603"/>
      <c r="F422" s="110" t="s">
        <v>158</v>
      </c>
      <c r="G422" s="110"/>
      <c r="H422" s="110"/>
      <c r="I422" s="110"/>
      <c r="J422" s="112"/>
      <c r="K422" s="262">
        <f>SUM(K421)</f>
        <v>100</v>
      </c>
      <c r="L422" s="112"/>
      <c r="M422" s="112"/>
      <c r="N422" s="112"/>
      <c r="O422" s="112"/>
      <c r="P422" s="112"/>
      <c r="Q422" s="112"/>
      <c r="R422" s="112"/>
      <c r="S422" s="112"/>
      <c r="T422" s="112"/>
      <c r="U422" s="112"/>
      <c r="V422" s="112"/>
      <c r="W422" s="112"/>
      <c r="X422" s="112"/>
      <c r="Y422" s="112"/>
      <c r="Z422" s="112"/>
      <c r="AA422" s="112"/>
      <c r="AB422" s="112"/>
      <c r="AC422" s="112"/>
      <c r="AD422" s="112"/>
      <c r="AE422" s="112"/>
      <c r="AF422" s="112"/>
      <c r="AG422" s="112"/>
      <c r="AH422" s="112"/>
      <c r="AI422" s="112"/>
      <c r="AJ422" s="112"/>
      <c r="AK422" s="112"/>
      <c r="AL422" s="553"/>
      <c r="AM422" s="112"/>
    </row>
    <row r="423" spans="1:39" ht="90" x14ac:dyDescent="0.25">
      <c r="A423" s="351"/>
      <c r="B423" s="352"/>
      <c r="C423" s="352"/>
      <c r="D423" s="603"/>
      <c r="E423" s="603"/>
      <c r="F423" s="603" t="s">
        <v>1593</v>
      </c>
      <c r="G423" s="603" t="s">
        <v>1594</v>
      </c>
      <c r="H423" s="603" t="s">
        <v>1595</v>
      </c>
      <c r="I423" s="603" t="s">
        <v>1596</v>
      </c>
      <c r="J423" s="603" t="s">
        <v>1597</v>
      </c>
      <c r="K423" s="573">
        <v>100</v>
      </c>
      <c r="L423" s="603" t="s">
        <v>1598</v>
      </c>
      <c r="M423" s="603"/>
      <c r="N423" s="603">
        <v>1</v>
      </c>
      <c r="O423" s="603">
        <v>0</v>
      </c>
      <c r="P423" s="647">
        <f>+O423/N423</f>
        <v>0</v>
      </c>
      <c r="Q423" s="603" t="s">
        <v>1596</v>
      </c>
      <c r="R423" s="603"/>
      <c r="S423" s="680">
        <v>42064</v>
      </c>
      <c r="T423" s="603" t="s">
        <v>687</v>
      </c>
      <c r="U423" s="618">
        <v>600000000</v>
      </c>
      <c r="V423" s="618">
        <v>600000000</v>
      </c>
      <c r="W423" s="603"/>
      <c r="X423" s="603" t="s">
        <v>55</v>
      </c>
      <c r="Y423" s="603"/>
      <c r="Z423" s="603"/>
      <c r="AA423" s="603"/>
      <c r="AB423" s="603"/>
      <c r="AC423" s="603"/>
      <c r="AD423" s="603"/>
      <c r="AE423" s="603"/>
      <c r="AF423" s="618">
        <v>600000000</v>
      </c>
      <c r="AG423" s="619">
        <v>571428570.60000002</v>
      </c>
      <c r="AH423" s="647">
        <f>+AG423/AF423</f>
        <v>0.95238095100000009</v>
      </c>
      <c r="AI423" s="576" t="s">
        <v>1513</v>
      </c>
      <c r="AJ423" s="603" t="s">
        <v>1599</v>
      </c>
      <c r="AK423" s="603" t="s">
        <v>1354</v>
      </c>
      <c r="AL423" s="603" t="s">
        <v>1444</v>
      </c>
      <c r="AM423" s="603">
        <v>0</v>
      </c>
    </row>
    <row r="424" spans="1:39" ht="33.75" x14ac:dyDescent="0.25">
      <c r="A424" s="351"/>
      <c r="B424" s="352"/>
      <c r="C424" s="352"/>
      <c r="D424" s="142" t="s">
        <v>1038</v>
      </c>
      <c r="E424" s="142"/>
      <c r="F424" s="110" t="s">
        <v>158</v>
      </c>
      <c r="G424" s="110"/>
      <c r="H424" s="110"/>
      <c r="I424" s="110"/>
      <c r="J424" s="112"/>
      <c r="K424" s="262">
        <f>SUM(K423)</f>
        <v>100</v>
      </c>
      <c r="L424" s="112"/>
      <c r="M424" s="112"/>
      <c r="N424" s="112"/>
      <c r="O424" s="112"/>
      <c r="P424" s="112"/>
      <c r="Q424" s="112"/>
      <c r="R424" s="112"/>
      <c r="S424" s="112"/>
      <c r="T424" s="112"/>
      <c r="U424" s="112"/>
      <c r="V424" s="112"/>
      <c r="W424" s="112"/>
      <c r="X424" s="112"/>
      <c r="Y424" s="112"/>
      <c r="Z424" s="112"/>
      <c r="AA424" s="112"/>
      <c r="AB424" s="112"/>
      <c r="AC424" s="112"/>
      <c r="AD424" s="112"/>
      <c r="AE424" s="112"/>
      <c r="AF424" s="112"/>
      <c r="AG424" s="112"/>
      <c r="AH424" s="112"/>
      <c r="AI424" s="112"/>
      <c r="AJ424" s="112"/>
      <c r="AK424" s="112"/>
      <c r="AL424" s="553"/>
      <c r="AM424" s="112"/>
    </row>
    <row r="425" spans="1:39" ht="22.5" x14ac:dyDescent="0.25">
      <c r="A425" s="351"/>
      <c r="B425" s="352"/>
      <c r="C425" s="352"/>
      <c r="D425" s="279" t="s">
        <v>376</v>
      </c>
      <c r="E425" s="279"/>
      <c r="F425" s="279"/>
      <c r="G425" s="279"/>
      <c r="H425" s="279"/>
      <c r="I425" s="279"/>
      <c r="J425" s="279"/>
      <c r="K425" s="681"/>
      <c r="L425" s="279"/>
      <c r="M425" s="279"/>
      <c r="N425" s="279"/>
      <c r="O425" s="279"/>
      <c r="P425" s="142"/>
      <c r="Q425" s="279"/>
      <c r="R425" s="279"/>
      <c r="S425" s="279"/>
      <c r="T425" s="279"/>
      <c r="U425" s="279"/>
      <c r="V425" s="279"/>
      <c r="W425" s="279"/>
      <c r="X425" s="279"/>
      <c r="Y425" s="279"/>
      <c r="Z425" s="279"/>
      <c r="AA425" s="279"/>
      <c r="AB425" s="279"/>
      <c r="AC425" s="279"/>
      <c r="AD425" s="279"/>
      <c r="AE425" s="279"/>
      <c r="AF425" s="279"/>
      <c r="AG425" s="279"/>
      <c r="AH425" s="142"/>
      <c r="AI425" s="279"/>
      <c r="AJ425" s="279"/>
      <c r="AK425" s="279"/>
      <c r="AL425" s="639"/>
      <c r="AM425" s="279"/>
    </row>
    <row r="426" spans="1:39" ht="124.5" thickBot="1" x14ac:dyDescent="0.3">
      <c r="A426" s="351"/>
      <c r="B426" s="352"/>
      <c r="C426" s="352"/>
      <c r="D426" s="682" t="s">
        <v>1600</v>
      </c>
      <c r="E426" s="682"/>
      <c r="F426" s="683" t="s">
        <v>1601</v>
      </c>
      <c r="G426" s="684" t="s">
        <v>1602</v>
      </c>
      <c r="H426" s="684" t="s">
        <v>1603</v>
      </c>
      <c r="I426" s="684" t="s">
        <v>1604</v>
      </c>
      <c r="J426" s="685" t="s">
        <v>1605</v>
      </c>
      <c r="K426" s="686">
        <f>+(0.048*100)/5</f>
        <v>0.96</v>
      </c>
      <c r="L426" s="686" t="s">
        <v>1606</v>
      </c>
      <c r="M426" s="686"/>
      <c r="N426" s="687">
        <v>1</v>
      </c>
      <c r="O426" s="687">
        <v>0</v>
      </c>
      <c r="P426" s="119">
        <f>+O426/N426</f>
        <v>0</v>
      </c>
      <c r="Q426" s="684" t="s">
        <v>1607</v>
      </c>
      <c r="R426" s="684" t="s">
        <v>1608</v>
      </c>
      <c r="S426" s="684" t="s">
        <v>732</v>
      </c>
      <c r="T426" s="684" t="s">
        <v>130</v>
      </c>
      <c r="U426" s="688">
        <v>8327310456</v>
      </c>
      <c r="V426" s="689">
        <v>8327310456</v>
      </c>
      <c r="W426" s="690"/>
      <c r="X426" s="690"/>
      <c r="Y426" s="690"/>
      <c r="Z426" s="690" t="s">
        <v>55</v>
      </c>
      <c r="AA426" s="690"/>
      <c r="AB426" s="690"/>
      <c r="AC426" s="690"/>
      <c r="AD426" s="689"/>
      <c r="AE426" s="689"/>
      <c r="AF426" s="691">
        <f>+V426</f>
        <v>8327310456</v>
      </c>
      <c r="AG426" s="692">
        <v>0</v>
      </c>
      <c r="AH426" s="26">
        <f>+AG426/AF426</f>
        <v>0</v>
      </c>
      <c r="AI426" s="684" t="s">
        <v>1609</v>
      </c>
      <c r="AJ426" s="684" t="s">
        <v>1610</v>
      </c>
      <c r="AK426" s="684"/>
      <c r="AL426" s="684" t="s">
        <v>1611</v>
      </c>
      <c r="AM426" s="693">
        <v>0</v>
      </c>
    </row>
    <row r="427" spans="1:39" ht="112.5" x14ac:dyDescent="0.25">
      <c r="A427" s="351"/>
      <c r="B427" s="352"/>
      <c r="C427" s="352"/>
      <c r="D427" s="694"/>
      <c r="E427" s="694"/>
      <c r="F427" s="695"/>
      <c r="G427" s="696" t="s">
        <v>1612</v>
      </c>
      <c r="H427" s="696" t="s">
        <v>1613</v>
      </c>
      <c r="I427" s="696" t="s">
        <v>1614</v>
      </c>
      <c r="J427" s="697"/>
      <c r="K427" s="698"/>
      <c r="L427" s="699"/>
      <c r="M427" s="699"/>
      <c r="N427" s="700"/>
      <c r="O427" s="700"/>
      <c r="P427" s="26"/>
      <c r="Q427" s="701" t="s">
        <v>1615</v>
      </c>
      <c r="R427" s="701" t="s">
        <v>1616</v>
      </c>
      <c r="S427" s="701" t="s">
        <v>286</v>
      </c>
      <c r="T427" s="701" t="s">
        <v>130</v>
      </c>
      <c r="U427" s="702">
        <v>52520160000</v>
      </c>
      <c r="V427" s="702">
        <v>22344951168</v>
      </c>
      <c r="W427" s="701"/>
      <c r="X427" s="701"/>
      <c r="Y427" s="701"/>
      <c r="Z427" s="701" t="s">
        <v>55</v>
      </c>
      <c r="AA427" s="701"/>
      <c r="AB427" s="701"/>
      <c r="AC427" s="701"/>
      <c r="AD427" s="701"/>
      <c r="AE427" s="701"/>
      <c r="AF427" s="703">
        <f>+V427</f>
        <v>22344951168</v>
      </c>
      <c r="AG427" s="703">
        <v>22344951168</v>
      </c>
      <c r="AH427" s="644">
        <f>+AG427/AF427</f>
        <v>1</v>
      </c>
      <c r="AI427" s="701" t="s">
        <v>1609</v>
      </c>
      <c r="AJ427" s="701" t="s">
        <v>1617</v>
      </c>
      <c r="AK427" s="701"/>
      <c r="AL427" s="701" t="s">
        <v>1611</v>
      </c>
      <c r="AM427" s="693"/>
    </row>
    <row r="428" spans="1:39" ht="90" x14ac:dyDescent="0.25">
      <c r="A428" s="351"/>
      <c r="B428" s="352"/>
      <c r="C428" s="352"/>
      <c r="D428" s="694"/>
      <c r="E428" s="694"/>
      <c r="F428" s="695"/>
      <c r="G428" s="704" t="s">
        <v>1618</v>
      </c>
      <c r="H428" s="704" t="s">
        <v>1619</v>
      </c>
      <c r="I428" s="704" t="s">
        <v>1620</v>
      </c>
      <c r="J428" s="705" t="s">
        <v>1621</v>
      </c>
      <c r="K428" s="695">
        <f>+(0.988*100)/5</f>
        <v>19.759999999999998</v>
      </c>
      <c r="L428" s="699" t="s">
        <v>1622</v>
      </c>
      <c r="M428" s="706"/>
      <c r="N428" s="707">
        <v>320</v>
      </c>
      <c r="O428" s="708">
        <v>0</v>
      </c>
      <c r="P428" s="350">
        <f>+O428/N428</f>
        <v>0</v>
      </c>
      <c r="Q428" s="709" t="s">
        <v>1623</v>
      </c>
      <c r="R428" s="709" t="s">
        <v>1131</v>
      </c>
      <c r="S428" s="709" t="s">
        <v>386</v>
      </c>
      <c r="T428" s="709" t="s">
        <v>1624</v>
      </c>
      <c r="U428" s="710">
        <v>300000000</v>
      </c>
      <c r="V428" s="710">
        <v>300000000</v>
      </c>
      <c r="W428" s="693"/>
      <c r="X428" s="693"/>
      <c r="Y428" s="693"/>
      <c r="Z428" s="693" t="s">
        <v>55</v>
      </c>
      <c r="AA428" s="693"/>
      <c r="AB428" s="693"/>
      <c r="AC428" s="693"/>
      <c r="AD428" s="693"/>
      <c r="AE428" s="693"/>
      <c r="AF428" s="710">
        <v>300000000</v>
      </c>
      <c r="AG428" s="693">
        <v>0</v>
      </c>
      <c r="AH428" s="119">
        <f>+AG428/AF428</f>
        <v>0</v>
      </c>
      <c r="AI428" s="693" t="s">
        <v>1609</v>
      </c>
      <c r="AJ428" s="693"/>
      <c r="AK428" s="711" t="s">
        <v>1625</v>
      </c>
      <c r="AL428" s="711" t="s">
        <v>293</v>
      </c>
      <c r="AM428" s="693" t="s">
        <v>1626</v>
      </c>
    </row>
    <row r="429" spans="1:39" ht="78.75" x14ac:dyDescent="0.25">
      <c r="A429" s="351"/>
      <c r="B429" s="352"/>
      <c r="C429" s="352"/>
      <c r="D429" s="694"/>
      <c r="E429" s="694"/>
      <c r="F429" s="695"/>
      <c r="G429" s="704" t="s">
        <v>1627</v>
      </c>
      <c r="H429" s="704" t="s">
        <v>1628</v>
      </c>
      <c r="I429" s="704" t="s">
        <v>1629</v>
      </c>
      <c r="J429" s="705"/>
      <c r="K429" s="705"/>
      <c r="L429" s="712"/>
      <c r="M429" s="713"/>
      <c r="N429" s="714"/>
      <c r="O429" s="714"/>
      <c r="P429" s="547"/>
      <c r="Q429" s="715" t="s">
        <v>1630</v>
      </c>
      <c r="R429" s="715" t="s">
        <v>1631</v>
      </c>
      <c r="S429" s="715" t="s">
        <v>670</v>
      </c>
      <c r="T429" s="715" t="s">
        <v>90</v>
      </c>
      <c r="U429" s="710">
        <v>10571040497</v>
      </c>
      <c r="V429" s="710">
        <v>10571040497</v>
      </c>
      <c r="W429" s="693"/>
      <c r="X429" s="693"/>
      <c r="Y429" s="693"/>
      <c r="Z429" s="693" t="s">
        <v>55</v>
      </c>
      <c r="AA429" s="693"/>
      <c r="AB429" s="693"/>
      <c r="AC429" s="693"/>
      <c r="AD429" s="693"/>
      <c r="AE429" s="693"/>
      <c r="AF429" s="710">
        <v>10571040497</v>
      </c>
      <c r="AG429" s="693">
        <v>0</v>
      </c>
      <c r="AH429" s="119">
        <f t="shared" ref="AH429:AH432" si="69">+AG429/AF429</f>
        <v>0</v>
      </c>
      <c r="AI429" s="693" t="s">
        <v>1609</v>
      </c>
      <c r="AJ429" s="693" t="s">
        <v>1632</v>
      </c>
      <c r="AK429" s="711" t="s">
        <v>1625</v>
      </c>
      <c r="AL429" s="711" t="s">
        <v>293</v>
      </c>
      <c r="AM429" s="693"/>
    </row>
    <row r="430" spans="1:39" ht="157.5" x14ac:dyDescent="0.25">
      <c r="A430" s="351"/>
      <c r="B430" s="352"/>
      <c r="C430" s="352"/>
      <c r="D430" s="694"/>
      <c r="E430" s="694"/>
      <c r="F430" s="695"/>
      <c r="G430" s="704" t="s">
        <v>1633</v>
      </c>
      <c r="H430" s="704" t="s">
        <v>1634</v>
      </c>
      <c r="I430" s="704" t="s">
        <v>1635</v>
      </c>
      <c r="J430" s="685" t="s">
        <v>1636</v>
      </c>
      <c r="K430" s="686">
        <f>+(0.327*100)/5</f>
        <v>6.5400000000000009</v>
      </c>
      <c r="L430" s="686" t="s">
        <v>1637</v>
      </c>
      <c r="M430" s="686"/>
      <c r="N430" s="693">
        <v>924</v>
      </c>
      <c r="O430" s="693">
        <v>0</v>
      </c>
      <c r="P430" s="350">
        <f t="shared" ref="P430:P432" si="70">+O430/N430</f>
        <v>0</v>
      </c>
      <c r="Q430" s="704" t="s">
        <v>1638</v>
      </c>
      <c r="R430" s="693" t="s">
        <v>1639</v>
      </c>
      <c r="S430" s="693" t="s">
        <v>732</v>
      </c>
      <c r="T430" s="693" t="s">
        <v>1640</v>
      </c>
      <c r="U430" s="710">
        <v>787794098.6099999</v>
      </c>
      <c r="V430" s="710">
        <v>787794098.6099999</v>
      </c>
      <c r="W430" s="693" t="s">
        <v>55</v>
      </c>
      <c r="X430" s="693"/>
      <c r="Y430" s="693"/>
      <c r="Z430" s="693" t="s">
        <v>55</v>
      </c>
      <c r="AA430" s="693"/>
      <c r="AB430" s="693"/>
      <c r="AC430" s="693"/>
      <c r="AD430" s="693"/>
      <c r="AE430" s="693"/>
      <c r="AF430" s="710">
        <v>787794098.6099999</v>
      </c>
      <c r="AG430" s="716">
        <v>787794098.61000001</v>
      </c>
      <c r="AH430" s="119">
        <f t="shared" si="69"/>
        <v>1.0000000000000002</v>
      </c>
      <c r="AI430" s="693" t="s">
        <v>1609</v>
      </c>
      <c r="AJ430" s="693" t="s">
        <v>479</v>
      </c>
      <c r="AK430" s="711" t="s">
        <v>1625</v>
      </c>
      <c r="AL430" s="711" t="s">
        <v>293</v>
      </c>
      <c r="AM430" s="693">
        <v>924</v>
      </c>
    </row>
    <row r="431" spans="1:39" ht="112.5" x14ac:dyDescent="0.25">
      <c r="A431" s="351"/>
      <c r="B431" s="352"/>
      <c r="C431" s="352"/>
      <c r="D431" s="694"/>
      <c r="E431" s="694"/>
      <c r="F431" s="695"/>
      <c r="G431" s="704" t="s">
        <v>1641</v>
      </c>
      <c r="H431" s="704" t="s">
        <v>1642</v>
      </c>
      <c r="I431" s="695" t="s">
        <v>1643</v>
      </c>
      <c r="J431" s="685" t="s">
        <v>1644</v>
      </c>
      <c r="K431" s="686">
        <f>+(1.675*100)/5</f>
        <v>33.5</v>
      </c>
      <c r="L431" s="686" t="s">
        <v>1645</v>
      </c>
      <c r="M431" s="686"/>
      <c r="N431" s="693">
        <v>200</v>
      </c>
      <c r="O431" s="693">
        <v>0</v>
      </c>
      <c r="P431" s="350">
        <f t="shared" si="70"/>
        <v>0</v>
      </c>
      <c r="Q431" s="693" t="s">
        <v>1646</v>
      </c>
      <c r="R431" s="693" t="s">
        <v>1631</v>
      </c>
      <c r="S431" s="693" t="s">
        <v>1647</v>
      </c>
      <c r="T431" s="693" t="s">
        <v>201</v>
      </c>
      <c r="U431" s="717">
        <v>4252443794.79</v>
      </c>
      <c r="V431" s="717">
        <v>4252443794.79</v>
      </c>
      <c r="W431" s="693"/>
      <c r="X431" s="693"/>
      <c r="Y431" s="693"/>
      <c r="Z431" s="693" t="s">
        <v>55</v>
      </c>
      <c r="AA431" s="693"/>
      <c r="AB431" s="693"/>
      <c r="AC431" s="693"/>
      <c r="AD431" s="693"/>
      <c r="AE431" s="693"/>
      <c r="AF431" s="717">
        <v>4252443794.79</v>
      </c>
      <c r="AG431" s="716">
        <v>4252443794.79</v>
      </c>
      <c r="AH431" s="119">
        <f t="shared" si="69"/>
        <v>1</v>
      </c>
      <c r="AI431" s="693" t="s">
        <v>1609</v>
      </c>
      <c r="AJ431" s="693" t="s">
        <v>1648</v>
      </c>
      <c r="AK431" s="711" t="s">
        <v>1625</v>
      </c>
      <c r="AL431" s="711" t="s">
        <v>293</v>
      </c>
      <c r="AM431" s="693" t="s">
        <v>1649</v>
      </c>
    </row>
    <row r="432" spans="1:39" ht="112.5" x14ac:dyDescent="0.25">
      <c r="A432" s="351"/>
      <c r="B432" s="352"/>
      <c r="C432" s="352"/>
      <c r="D432" s="694"/>
      <c r="E432" s="694"/>
      <c r="F432" s="695"/>
      <c r="G432" s="704" t="s">
        <v>1650</v>
      </c>
      <c r="H432" s="704" t="s">
        <v>1642</v>
      </c>
      <c r="I432" s="683" t="s">
        <v>1651</v>
      </c>
      <c r="J432" s="685" t="s">
        <v>1652</v>
      </c>
      <c r="K432" s="686">
        <f>+(0.577*100)/5</f>
        <v>11.54</v>
      </c>
      <c r="L432" s="686" t="s">
        <v>1653</v>
      </c>
      <c r="M432" s="686"/>
      <c r="N432" s="693">
        <v>389</v>
      </c>
      <c r="O432" s="693">
        <v>0</v>
      </c>
      <c r="P432" s="350">
        <f t="shared" si="70"/>
        <v>0</v>
      </c>
      <c r="Q432" s="693" t="s">
        <v>1654</v>
      </c>
      <c r="R432" s="693" t="s">
        <v>1631</v>
      </c>
      <c r="S432" s="693" t="s">
        <v>1655</v>
      </c>
      <c r="T432" s="693" t="s">
        <v>90</v>
      </c>
      <c r="U432" s="718">
        <v>5174000000</v>
      </c>
      <c r="V432" s="718">
        <v>5174000000</v>
      </c>
      <c r="W432" s="693"/>
      <c r="X432" s="693"/>
      <c r="Y432" s="693"/>
      <c r="Z432" s="693" t="s">
        <v>55</v>
      </c>
      <c r="AA432" s="693"/>
      <c r="AB432" s="693"/>
      <c r="AC432" s="693"/>
      <c r="AD432" s="693"/>
      <c r="AE432" s="693"/>
      <c r="AF432" s="718">
        <v>5174000000</v>
      </c>
      <c r="AG432" s="716">
        <v>5138350000</v>
      </c>
      <c r="AH432" s="119">
        <f t="shared" si="69"/>
        <v>0.99310977966756864</v>
      </c>
      <c r="AI432" s="693" t="s">
        <v>1609</v>
      </c>
      <c r="AJ432" s="693" t="s">
        <v>1656</v>
      </c>
      <c r="AK432" s="711" t="s">
        <v>1625</v>
      </c>
      <c r="AL432" s="711" t="s">
        <v>293</v>
      </c>
      <c r="AM432" s="693">
        <v>389</v>
      </c>
    </row>
    <row r="433" spans="1:39" ht="45" x14ac:dyDescent="0.25">
      <c r="A433" s="351"/>
      <c r="B433" s="352"/>
      <c r="C433" s="352"/>
      <c r="D433" s="694"/>
      <c r="E433" s="694"/>
      <c r="F433" s="695"/>
      <c r="G433" s="695"/>
      <c r="H433" s="695"/>
      <c r="I433" s="695"/>
      <c r="J433" s="685" t="s">
        <v>1657</v>
      </c>
      <c r="K433" s="686">
        <f>+(0.532*100)/5</f>
        <v>10.64</v>
      </c>
      <c r="L433" s="686" t="s">
        <v>1658</v>
      </c>
      <c r="M433" s="686"/>
      <c r="N433" s="686"/>
      <c r="O433" s="686"/>
      <c r="P433" s="719"/>
      <c r="Q433" s="686"/>
      <c r="R433" s="686"/>
      <c r="S433" s="686"/>
      <c r="T433" s="686"/>
      <c r="U433" s="686"/>
      <c r="V433" s="686"/>
      <c r="W433" s="686"/>
      <c r="X433" s="686"/>
      <c r="Y433" s="686"/>
      <c r="Z433" s="686"/>
      <c r="AA433" s="686"/>
      <c r="AB433" s="686"/>
      <c r="AC433" s="686"/>
      <c r="AD433" s="686"/>
      <c r="AE433" s="686"/>
      <c r="AF433" s="686"/>
      <c r="AG433" s="686"/>
      <c r="AH433" s="719"/>
      <c r="AI433" s="686"/>
      <c r="AJ433" s="686"/>
      <c r="AK433" s="720" t="s">
        <v>1625</v>
      </c>
      <c r="AL433" s="721" t="s">
        <v>293</v>
      </c>
      <c r="AM433" s="693">
        <v>22</v>
      </c>
    </row>
    <row r="434" spans="1:39" ht="45" x14ac:dyDescent="0.25">
      <c r="A434" s="351"/>
      <c r="B434" s="352"/>
      <c r="C434" s="352"/>
      <c r="D434" s="694"/>
      <c r="E434" s="694"/>
      <c r="F434" s="695"/>
      <c r="G434" s="695"/>
      <c r="H434" s="695"/>
      <c r="I434" s="695"/>
      <c r="J434" s="685" t="s">
        <v>1659</v>
      </c>
      <c r="K434" s="686">
        <f>+(0.853*100)/5</f>
        <v>17.059999999999999</v>
      </c>
      <c r="L434" s="686" t="s">
        <v>1660</v>
      </c>
      <c r="M434" s="686"/>
      <c r="N434" s="686"/>
      <c r="O434" s="686"/>
      <c r="P434" s="719"/>
      <c r="Q434" s="686"/>
      <c r="R434" s="686"/>
      <c r="S434" s="686"/>
      <c r="T434" s="686"/>
      <c r="U434" s="686"/>
      <c r="V434" s="686"/>
      <c r="W434" s="686"/>
      <c r="X434" s="686"/>
      <c r="Y434" s="686"/>
      <c r="Z434" s="686"/>
      <c r="AA434" s="686"/>
      <c r="AB434" s="686"/>
      <c r="AC434" s="686"/>
      <c r="AD434" s="686"/>
      <c r="AE434" s="686"/>
      <c r="AF434" s="686"/>
      <c r="AG434" s="686"/>
      <c r="AH434" s="719"/>
      <c r="AI434" s="686"/>
      <c r="AJ434" s="686"/>
      <c r="AK434" s="720" t="s">
        <v>1625</v>
      </c>
      <c r="AL434" s="721" t="s">
        <v>293</v>
      </c>
      <c r="AM434" s="693">
        <v>13</v>
      </c>
    </row>
    <row r="435" spans="1:39" ht="33.75" x14ac:dyDescent="0.25">
      <c r="A435" s="351"/>
      <c r="B435" s="352"/>
      <c r="C435" s="352"/>
      <c r="D435" s="694"/>
      <c r="E435" s="694"/>
      <c r="F435" s="110" t="s">
        <v>158</v>
      </c>
      <c r="G435" s="110"/>
      <c r="H435" s="110"/>
      <c r="I435" s="110"/>
      <c r="J435" s="722"/>
      <c r="K435" s="723">
        <f>SUM(K426:K434)</f>
        <v>100</v>
      </c>
      <c r="L435" s="722"/>
      <c r="M435" s="722"/>
      <c r="N435" s="722"/>
      <c r="O435" s="722"/>
      <c r="P435" s="722"/>
      <c r="Q435" s="722"/>
      <c r="R435" s="722"/>
      <c r="S435" s="722"/>
      <c r="T435" s="722"/>
      <c r="U435" s="722"/>
      <c r="V435" s="722"/>
      <c r="W435" s="722"/>
      <c r="X435" s="722"/>
      <c r="Y435" s="722"/>
      <c r="Z435" s="722"/>
      <c r="AA435" s="722"/>
      <c r="AB435" s="722"/>
      <c r="AC435" s="722"/>
      <c r="AD435" s="722"/>
      <c r="AE435" s="722"/>
      <c r="AF435" s="722"/>
      <c r="AG435" s="722"/>
      <c r="AH435" s="722"/>
      <c r="AI435" s="722"/>
      <c r="AJ435" s="722"/>
      <c r="AK435" s="143"/>
      <c r="AL435" s="146"/>
      <c r="AM435" s="237"/>
    </row>
    <row r="436" spans="1:39" ht="202.5" x14ac:dyDescent="0.25">
      <c r="A436" s="351"/>
      <c r="B436" s="352"/>
      <c r="C436" s="352"/>
      <c r="D436" s="694"/>
      <c r="E436" s="694"/>
      <c r="F436" s="683" t="s">
        <v>1661</v>
      </c>
      <c r="G436" s="724" t="s">
        <v>1662</v>
      </c>
      <c r="H436" s="683" t="s">
        <v>1663</v>
      </c>
      <c r="I436" s="683" t="s">
        <v>1664</v>
      </c>
      <c r="J436" s="685" t="s">
        <v>1665</v>
      </c>
      <c r="K436" s="686">
        <f>+(1.485*100)/1.5</f>
        <v>99</v>
      </c>
      <c r="L436" s="725" t="s">
        <v>1666</v>
      </c>
      <c r="M436" s="725"/>
      <c r="N436" s="726">
        <v>2</v>
      </c>
      <c r="O436" s="726">
        <v>0</v>
      </c>
      <c r="P436" s="162">
        <f t="shared" ref="P436:P437" si="71">+O436/N436</f>
        <v>0</v>
      </c>
      <c r="Q436" s="709" t="s">
        <v>1667</v>
      </c>
      <c r="R436" s="709" t="s">
        <v>1668</v>
      </c>
      <c r="S436" s="717" t="s">
        <v>331</v>
      </c>
      <c r="T436" s="717" t="s">
        <v>355</v>
      </c>
      <c r="U436" s="717">
        <v>1564591509</v>
      </c>
      <c r="V436" s="717">
        <v>1564591509</v>
      </c>
      <c r="W436" s="709"/>
      <c r="X436" s="709" t="s">
        <v>55</v>
      </c>
      <c r="Y436" s="709" t="s">
        <v>55</v>
      </c>
      <c r="Z436" s="709"/>
      <c r="AA436" s="709"/>
      <c r="AB436" s="709"/>
      <c r="AC436" s="709"/>
      <c r="AD436" s="709"/>
      <c r="AE436" s="709"/>
      <c r="AF436" s="727">
        <v>1564591509</v>
      </c>
      <c r="AG436" s="727">
        <v>1564591509</v>
      </c>
      <c r="AH436" s="350">
        <f t="shared" ref="AH436" si="72">+AG436/AF436</f>
        <v>1</v>
      </c>
      <c r="AI436" s="709"/>
      <c r="AJ436" s="709" t="s">
        <v>1669</v>
      </c>
      <c r="AK436" s="709" t="s">
        <v>1670</v>
      </c>
      <c r="AL436" s="682" t="s">
        <v>390</v>
      </c>
      <c r="AM436" s="726">
        <v>2</v>
      </c>
    </row>
    <row r="437" spans="1:39" ht="67.5" x14ac:dyDescent="0.25">
      <c r="A437" s="351"/>
      <c r="B437" s="352"/>
      <c r="C437" s="352"/>
      <c r="D437" s="694"/>
      <c r="E437" s="694"/>
      <c r="F437" s="728"/>
      <c r="G437" s="695"/>
      <c r="H437" s="695"/>
      <c r="I437" s="695"/>
      <c r="J437" s="685" t="s">
        <v>1671</v>
      </c>
      <c r="K437" s="686">
        <f>+(0.015*100)/1.5</f>
        <v>1</v>
      </c>
      <c r="L437" s="685" t="s">
        <v>1672</v>
      </c>
      <c r="M437" s="685"/>
      <c r="N437" s="726">
        <v>1</v>
      </c>
      <c r="O437" s="726">
        <v>1</v>
      </c>
      <c r="P437" s="162">
        <f t="shared" si="71"/>
        <v>1</v>
      </c>
      <c r="Q437" s="714"/>
      <c r="R437" s="714"/>
      <c r="S437" s="729"/>
      <c r="T437" s="729"/>
      <c r="U437" s="729"/>
      <c r="V437" s="729"/>
      <c r="W437" s="714"/>
      <c r="X437" s="714"/>
      <c r="Y437" s="714"/>
      <c r="Z437" s="714"/>
      <c r="AA437" s="714"/>
      <c r="AB437" s="714"/>
      <c r="AC437" s="714"/>
      <c r="AD437" s="714"/>
      <c r="AE437" s="714"/>
      <c r="AF437" s="714"/>
      <c r="AG437" s="714"/>
      <c r="AH437" s="547"/>
      <c r="AI437" s="714"/>
      <c r="AJ437" s="714"/>
      <c r="AK437" s="714"/>
      <c r="AL437" s="730"/>
      <c r="AM437" s="726">
        <v>1</v>
      </c>
    </row>
    <row r="438" spans="1:39" ht="33.75" x14ac:dyDescent="0.25">
      <c r="A438" s="351"/>
      <c r="B438" s="352"/>
      <c r="C438" s="352"/>
      <c r="D438" s="694"/>
      <c r="E438" s="694"/>
      <c r="F438" s="110" t="s">
        <v>158</v>
      </c>
      <c r="G438" s="110"/>
      <c r="H438" s="110"/>
      <c r="I438" s="110"/>
      <c r="J438" s="144"/>
      <c r="K438" s="262">
        <f>SUM(K436:K437)</f>
        <v>100</v>
      </c>
      <c r="L438" s="144"/>
      <c r="M438" s="144"/>
      <c r="N438" s="144"/>
      <c r="O438" s="144"/>
      <c r="P438" s="144"/>
      <c r="Q438" s="144"/>
      <c r="R438" s="144"/>
      <c r="S438" s="144"/>
      <c r="T438" s="144"/>
      <c r="U438" s="144"/>
      <c r="V438" s="144"/>
      <c r="W438" s="144"/>
      <c r="X438" s="144"/>
      <c r="Y438" s="144"/>
      <c r="Z438" s="144"/>
      <c r="AA438" s="144"/>
      <c r="AB438" s="144"/>
      <c r="AC438" s="144"/>
      <c r="AD438" s="144"/>
      <c r="AE438" s="144"/>
      <c r="AF438" s="144"/>
      <c r="AG438" s="144"/>
      <c r="AH438" s="144"/>
      <c r="AI438" s="144"/>
      <c r="AJ438" s="144"/>
      <c r="AK438" s="144"/>
      <c r="AL438" s="113"/>
      <c r="AM438" s="144"/>
    </row>
    <row r="439" spans="1:39" ht="123.75" x14ac:dyDescent="0.25">
      <c r="A439" s="351"/>
      <c r="B439" s="352"/>
      <c r="C439" s="352"/>
      <c r="D439" s="694"/>
      <c r="E439" s="694"/>
      <c r="F439" s="682" t="s">
        <v>1673</v>
      </c>
      <c r="G439" s="720" t="s">
        <v>1674</v>
      </c>
      <c r="H439" s="720" t="s">
        <v>1675</v>
      </c>
      <c r="I439" s="720" t="s">
        <v>1676</v>
      </c>
      <c r="J439" s="682" t="s">
        <v>1677</v>
      </c>
      <c r="K439" s="686">
        <f>+(1.225*100)/1.5</f>
        <v>81.666666666666671</v>
      </c>
      <c r="L439" s="682" t="s">
        <v>1678</v>
      </c>
      <c r="M439" s="682"/>
      <c r="N439" s="682">
        <v>7</v>
      </c>
      <c r="O439" s="682">
        <v>7</v>
      </c>
      <c r="P439" s="126">
        <f>+O439/N439</f>
        <v>1</v>
      </c>
      <c r="Q439" s="682" t="s">
        <v>1679</v>
      </c>
      <c r="R439" s="682" t="s">
        <v>1680</v>
      </c>
      <c r="S439" s="682" t="s">
        <v>1681</v>
      </c>
      <c r="T439" s="682" t="s">
        <v>1682</v>
      </c>
      <c r="U439" s="682">
        <v>247607537.78</v>
      </c>
      <c r="V439" s="682">
        <v>247607537.78</v>
      </c>
      <c r="W439" s="682"/>
      <c r="X439" s="682"/>
      <c r="Y439" s="682"/>
      <c r="Z439" s="682" t="s">
        <v>55</v>
      </c>
      <c r="AA439" s="731"/>
      <c r="AB439" s="731"/>
      <c r="AC439" s="731"/>
      <c r="AD439" s="731"/>
      <c r="AE439" s="731"/>
      <c r="AF439" s="732">
        <v>247607537.78</v>
      </c>
      <c r="AG439" s="733">
        <v>247431364.70000002</v>
      </c>
      <c r="AH439" s="289">
        <f t="shared" ref="AH439:AH442" si="73">+AG439/AF439</f>
        <v>0.99928849872027514</v>
      </c>
      <c r="AI439" s="731"/>
      <c r="AJ439" s="731" t="s">
        <v>1683</v>
      </c>
      <c r="AK439" s="730" t="s">
        <v>1670</v>
      </c>
      <c r="AL439" s="730" t="s">
        <v>390</v>
      </c>
      <c r="AM439" s="731">
        <v>7</v>
      </c>
    </row>
    <row r="440" spans="1:39" ht="213.75" x14ac:dyDescent="0.25">
      <c r="A440" s="351"/>
      <c r="B440" s="352"/>
      <c r="C440" s="352"/>
      <c r="D440" s="694"/>
      <c r="E440" s="694"/>
      <c r="F440" s="694"/>
      <c r="G440" s="694" t="s">
        <v>1684</v>
      </c>
      <c r="H440" s="683" t="s">
        <v>1663</v>
      </c>
      <c r="I440" s="683" t="s">
        <v>1685</v>
      </c>
      <c r="J440" s="730"/>
      <c r="K440" s="686"/>
      <c r="L440" s="730"/>
      <c r="M440" s="730"/>
      <c r="N440" s="730"/>
      <c r="O440" s="730"/>
      <c r="P440" s="292"/>
      <c r="Q440" s="730" t="s">
        <v>1686</v>
      </c>
      <c r="R440" s="730" t="s">
        <v>1687</v>
      </c>
      <c r="S440" s="730" t="s">
        <v>459</v>
      </c>
      <c r="T440" s="730" t="s">
        <v>90</v>
      </c>
      <c r="U440" s="730">
        <v>1132569056.77</v>
      </c>
      <c r="V440" s="730">
        <v>1132569056.77</v>
      </c>
      <c r="W440" s="730" t="s">
        <v>55</v>
      </c>
      <c r="X440" s="730"/>
      <c r="Y440" s="730" t="s">
        <v>55</v>
      </c>
      <c r="Z440" s="730"/>
      <c r="AA440" s="731"/>
      <c r="AB440" s="731"/>
      <c r="AC440" s="731"/>
      <c r="AD440" s="731"/>
      <c r="AE440" s="731"/>
      <c r="AF440" s="732">
        <v>1132569056.77</v>
      </c>
      <c r="AG440" s="732">
        <v>1132569056.77</v>
      </c>
      <c r="AH440" s="289">
        <f t="shared" si="73"/>
        <v>1</v>
      </c>
      <c r="AI440" s="731"/>
      <c r="AJ440" s="731" t="s">
        <v>1688</v>
      </c>
      <c r="AK440" s="730" t="s">
        <v>1670</v>
      </c>
      <c r="AL440" s="730" t="s">
        <v>390</v>
      </c>
      <c r="AM440" s="731"/>
    </row>
    <row r="441" spans="1:39" ht="168.75" x14ac:dyDescent="0.25">
      <c r="A441" s="351"/>
      <c r="B441" s="352"/>
      <c r="C441" s="352"/>
      <c r="D441" s="694"/>
      <c r="E441" s="694"/>
      <c r="F441" s="694"/>
      <c r="G441" s="682" t="s">
        <v>1689</v>
      </c>
      <c r="H441" s="720" t="s">
        <v>1690</v>
      </c>
      <c r="I441" s="720" t="s">
        <v>1691</v>
      </c>
      <c r="J441" s="682" t="s">
        <v>1692</v>
      </c>
      <c r="K441" s="686">
        <f>+(0.275*100)/1.5</f>
        <v>18.333333333333336</v>
      </c>
      <c r="L441" s="682" t="s">
        <v>1693</v>
      </c>
      <c r="M441" s="682"/>
      <c r="N441" s="682">
        <v>7500</v>
      </c>
      <c r="O441" s="682">
        <v>1200</v>
      </c>
      <c r="P441" s="126">
        <f>+O441/N441</f>
        <v>0.16</v>
      </c>
      <c r="Q441" s="682" t="s">
        <v>1694</v>
      </c>
      <c r="R441" s="682" t="s">
        <v>1695</v>
      </c>
      <c r="S441" s="682" t="s">
        <v>90</v>
      </c>
      <c r="T441" s="682" t="s">
        <v>1696</v>
      </c>
      <c r="U441" s="682">
        <v>518075069.98000002</v>
      </c>
      <c r="V441" s="682">
        <v>518075069.98000002</v>
      </c>
      <c r="W441" s="682" t="s">
        <v>55</v>
      </c>
      <c r="X441" s="682"/>
      <c r="Y441" s="682"/>
      <c r="Z441" s="682" t="s">
        <v>55</v>
      </c>
      <c r="AA441" s="731"/>
      <c r="AB441" s="731"/>
      <c r="AC441" s="731"/>
      <c r="AD441" s="731"/>
      <c r="AE441" s="731"/>
      <c r="AF441" s="734">
        <v>518075069.98000002</v>
      </c>
      <c r="AG441" s="733">
        <v>300000000</v>
      </c>
      <c r="AH441" s="289">
        <f t="shared" si="73"/>
        <v>0.57906665922292178</v>
      </c>
      <c r="AI441" s="731" t="s">
        <v>1697</v>
      </c>
      <c r="AJ441" s="731" t="s">
        <v>1698</v>
      </c>
      <c r="AK441" s="730" t="s">
        <v>1670</v>
      </c>
      <c r="AL441" s="730" t="s">
        <v>390</v>
      </c>
      <c r="AM441" s="731">
        <v>7500</v>
      </c>
    </row>
    <row r="442" spans="1:39" ht="101.25" x14ac:dyDescent="0.25">
      <c r="A442" s="351"/>
      <c r="B442" s="352"/>
      <c r="C442" s="352"/>
      <c r="D442" s="694"/>
      <c r="E442" s="694"/>
      <c r="F442" s="730"/>
      <c r="G442" s="720" t="s">
        <v>1699</v>
      </c>
      <c r="H442" s="720" t="s">
        <v>1690</v>
      </c>
      <c r="I442" s="730" t="s">
        <v>1700</v>
      </c>
      <c r="J442" s="730"/>
      <c r="K442" s="686"/>
      <c r="L442" s="730"/>
      <c r="M442" s="730"/>
      <c r="N442" s="730"/>
      <c r="O442" s="730"/>
      <c r="P442" s="292"/>
      <c r="Q442" s="730" t="s">
        <v>1701</v>
      </c>
      <c r="R442" s="730" t="s">
        <v>1702</v>
      </c>
      <c r="S442" s="730" t="s">
        <v>411</v>
      </c>
      <c r="T442" s="730" t="s">
        <v>90</v>
      </c>
      <c r="U442" s="730">
        <v>424000000</v>
      </c>
      <c r="V442" s="730">
        <v>424000000</v>
      </c>
      <c r="W442" s="730"/>
      <c r="X442" s="730"/>
      <c r="Y442" s="730"/>
      <c r="Z442" s="730" t="s">
        <v>55</v>
      </c>
      <c r="AA442" s="731"/>
      <c r="AB442" s="731"/>
      <c r="AC442" s="731"/>
      <c r="AD442" s="731"/>
      <c r="AE442" s="731"/>
      <c r="AF442" s="732">
        <v>424000000</v>
      </c>
      <c r="AG442" s="733">
        <v>423999999.99000001</v>
      </c>
      <c r="AH442" s="289">
        <f t="shared" si="73"/>
        <v>0.99999999997641509</v>
      </c>
      <c r="AI442" s="731"/>
      <c r="AJ442" s="731" t="s">
        <v>1703</v>
      </c>
      <c r="AK442" s="730"/>
      <c r="AL442" s="730"/>
      <c r="AM442" s="731"/>
    </row>
    <row r="443" spans="1:39" ht="33.75" x14ac:dyDescent="0.25">
      <c r="A443" s="351"/>
      <c r="B443" s="352"/>
      <c r="C443" s="352"/>
      <c r="D443" s="694"/>
      <c r="E443" s="694"/>
      <c r="F443" s="110" t="s">
        <v>158</v>
      </c>
      <c r="G443" s="110"/>
      <c r="H443" s="110"/>
      <c r="I443" s="110"/>
      <c r="J443" s="143"/>
      <c r="K443" s="262">
        <f>SUM(K439:K442)</f>
        <v>100</v>
      </c>
      <c r="L443" s="143"/>
      <c r="M443" s="143"/>
      <c r="N443" s="143"/>
      <c r="O443" s="143"/>
      <c r="P443" s="292"/>
      <c r="Q443" s="143"/>
      <c r="R443" s="143"/>
      <c r="S443" s="143"/>
      <c r="T443" s="143"/>
      <c r="U443" s="143"/>
      <c r="V443" s="143"/>
      <c r="W443" s="143"/>
      <c r="X443" s="143"/>
      <c r="Y443" s="143"/>
      <c r="Z443" s="143"/>
      <c r="AA443" s="143"/>
      <c r="AB443" s="143"/>
      <c r="AC443" s="143"/>
      <c r="AD443" s="143"/>
      <c r="AE443" s="143"/>
      <c r="AF443" s="143"/>
      <c r="AG443" s="143"/>
      <c r="AH443" s="143"/>
      <c r="AI443" s="143"/>
      <c r="AJ443" s="143"/>
      <c r="AK443" s="143"/>
      <c r="AL443" s="146"/>
      <c r="AM443" s="143"/>
    </row>
    <row r="444" spans="1:39" ht="202.5" x14ac:dyDescent="0.25">
      <c r="A444" s="351"/>
      <c r="B444" s="352"/>
      <c r="C444" s="352"/>
      <c r="D444" s="694"/>
      <c r="E444" s="694"/>
      <c r="F444" s="682" t="s">
        <v>1704</v>
      </c>
      <c r="G444" s="720" t="s">
        <v>1705</v>
      </c>
      <c r="H444" s="720"/>
      <c r="I444" s="720"/>
      <c r="J444" s="730" t="s">
        <v>1706</v>
      </c>
      <c r="K444" s="712">
        <v>64.61</v>
      </c>
      <c r="L444" s="730" t="s">
        <v>1707</v>
      </c>
      <c r="M444" s="730"/>
      <c r="N444" s="731">
        <v>1</v>
      </c>
      <c r="O444" s="731">
        <v>0</v>
      </c>
      <c r="P444" s="162">
        <f>+O444/N444</f>
        <v>0</v>
      </c>
      <c r="Q444" s="731" t="s">
        <v>1708</v>
      </c>
      <c r="R444" s="731" t="s">
        <v>1709</v>
      </c>
      <c r="S444" s="731" t="s">
        <v>1710</v>
      </c>
      <c r="T444" s="731" t="s">
        <v>90</v>
      </c>
      <c r="U444" s="733">
        <v>2499999633.48</v>
      </c>
      <c r="V444" s="732">
        <v>2499999633.48</v>
      </c>
      <c r="W444" s="731"/>
      <c r="X444" s="731"/>
      <c r="Y444" s="731"/>
      <c r="Z444" s="731" t="s">
        <v>55</v>
      </c>
      <c r="AA444" s="731"/>
      <c r="AB444" s="731"/>
      <c r="AC444" s="731"/>
      <c r="AD444" s="731"/>
      <c r="AE444" s="731"/>
      <c r="AF444" s="733">
        <v>2499999633.48</v>
      </c>
      <c r="AG444" s="733">
        <v>2499999633.48</v>
      </c>
      <c r="AH444" s="289">
        <f t="shared" ref="AH444" si="74">+AG444/AF444</f>
        <v>1</v>
      </c>
      <c r="AI444" s="731"/>
      <c r="AJ444" s="731" t="s">
        <v>1711</v>
      </c>
      <c r="AK444" s="730" t="s">
        <v>1670</v>
      </c>
      <c r="AL444" s="730" t="s">
        <v>390</v>
      </c>
      <c r="AM444" s="731">
        <v>1</v>
      </c>
    </row>
    <row r="445" spans="1:39" ht="56.25" x14ac:dyDescent="0.25">
      <c r="A445" s="351"/>
      <c r="B445" s="352"/>
      <c r="C445" s="352"/>
      <c r="D445" s="694"/>
      <c r="E445" s="694"/>
      <c r="F445" s="694"/>
      <c r="G445" s="694"/>
      <c r="H445" s="694"/>
      <c r="I445" s="694"/>
      <c r="J445" s="730" t="s">
        <v>1712</v>
      </c>
      <c r="K445" s="698">
        <v>35.49</v>
      </c>
      <c r="L445" s="694" t="s">
        <v>1713</v>
      </c>
      <c r="M445" s="694"/>
      <c r="N445" s="694"/>
      <c r="O445" s="694"/>
      <c r="P445" s="290"/>
      <c r="Q445" s="694"/>
      <c r="R445" s="694"/>
      <c r="S445" s="694"/>
      <c r="T445" s="694"/>
      <c r="U445" s="694"/>
      <c r="V445" s="694"/>
      <c r="W445" s="694"/>
      <c r="X445" s="694"/>
      <c r="Y445" s="694"/>
      <c r="Z445" s="694"/>
      <c r="AA445" s="694"/>
      <c r="AB445" s="694"/>
      <c r="AC445" s="694"/>
      <c r="AD445" s="694"/>
      <c r="AE445" s="694"/>
      <c r="AF445" s="694"/>
      <c r="AG445" s="694"/>
      <c r="AH445" s="290"/>
      <c r="AI445" s="694"/>
      <c r="AJ445" s="694"/>
      <c r="AK445" s="730" t="s">
        <v>1670</v>
      </c>
      <c r="AL445" s="735" t="s">
        <v>390</v>
      </c>
      <c r="AM445" s="731">
        <v>1</v>
      </c>
    </row>
    <row r="446" spans="1:39" ht="34.5" thickBot="1" x14ac:dyDescent="0.3">
      <c r="A446" s="351"/>
      <c r="B446" s="352"/>
      <c r="C446" s="352"/>
      <c r="D446" s="694"/>
      <c r="E446" s="694"/>
      <c r="F446" s="110" t="s">
        <v>158</v>
      </c>
      <c r="G446" s="110"/>
      <c r="H446" s="110"/>
      <c r="I446" s="110"/>
      <c r="J446" s="143"/>
      <c r="K446" s="235">
        <f>SUM(K444:K445)</f>
        <v>100.1</v>
      </c>
      <c r="L446" s="143"/>
      <c r="M446" s="292"/>
      <c r="N446" s="292"/>
      <c r="O446" s="292"/>
      <c r="P446" s="292"/>
      <c r="Q446" s="292"/>
      <c r="R446" s="292"/>
      <c r="S446" s="292"/>
      <c r="T446" s="292"/>
      <c r="U446" s="292"/>
      <c r="V446" s="292"/>
      <c r="W446" s="292"/>
      <c r="X446" s="292"/>
      <c r="Y446" s="292"/>
      <c r="Z446" s="292"/>
      <c r="AA446" s="292"/>
      <c r="AB446" s="292"/>
      <c r="AC446" s="292"/>
      <c r="AD446" s="292"/>
      <c r="AE446" s="292"/>
      <c r="AF446" s="292"/>
      <c r="AG446" s="292"/>
      <c r="AH446" s="292"/>
      <c r="AI446" s="292"/>
      <c r="AJ446" s="292"/>
      <c r="AK446" s="292"/>
      <c r="AL446" s="736"/>
      <c r="AM446" s="522"/>
    </row>
    <row r="447" spans="1:39" ht="409.5" x14ac:dyDescent="0.25">
      <c r="A447" s="351"/>
      <c r="B447" s="352"/>
      <c r="C447" s="352"/>
      <c r="D447" s="694"/>
      <c r="E447" s="694"/>
      <c r="F447" s="682" t="s">
        <v>1714</v>
      </c>
      <c r="G447" s="737" t="s">
        <v>1715</v>
      </c>
      <c r="H447" s="730" t="s">
        <v>1716</v>
      </c>
      <c r="I447" s="730" t="s">
        <v>1717</v>
      </c>
      <c r="J447" s="730" t="s">
        <v>1718</v>
      </c>
      <c r="K447" s="712">
        <f>+(0.18*100)/0.5</f>
        <v>36</v>
      </c>
      <c r="L447" s="730" t="s">
        <v>1719</v>
      </c>
      <c r="M447" s="730"/>
      <c r="N447" s="731">
        <v>7</v>
      </c>
      <c r="O447" s="731">
        <v>30</v>
      </c>
      <c r="P447" s="162">
        <f t="shared" ref="P447" si="75">+O447/N447</f>
        <v>4.2857142857142856</v>
      </c>
      <c r="Q447" s="731" t="s">
        <v>1720</v>
      </c>
      <c r="R447" s="731" t="s">
        <v>1721</v>
      </c>
      <c r="S447" s="731" t="s">
        <v>460</v>
      </c>
      <c r="T447" s="731" t="s">
        <v>89</v>
      </c>
      <c r="U447" s="732">
        <v>400000000</v>
      </c>
      <c r="V447" s="738">
        <v>500000000</v>
      </c>
      <c r="W447" s="737"/>
      <c r="X447" s="737"/>
      <c r="Y447" s="737"/>
      <c r="Z447" s="737" t="s">
        <v>55</v>
      </c>
      <c r="AA447" s="737"/>
      <c r="AB447" s="737"/>
      <c r="AC447" s="737"/>
      <c r="AD447" s="737"/>
      <c r="AE447" s="737"/>
      <c r="AF447" s="739">
        <v>500000000</v>
      </c>
      <c r="AG447" s="739">
        <v>500000000</v>
      </c>
      <c r="AH447" s="647">
        <f>+AG447/AF447</f>
        <v>1</v>
      </c>
      <c r="AI447" s="737" t="s">
        <v>1722</v>
      </c>
      <c r="AJ447" s="737" t="s">
        <v>1723</v>
      </c>
      <c r="AK447" s="737" t="s">
        <v>389</v>
      </c>
      <c r="AL447" s="737" t="s">
        <v>1724</v>
      </c>
      <c r="AM447" s="731" t="s">
        <v>1725</v>
      </c>
    </row>
    <row r="448" spans="1:39" ht="258.75" x14ac:dyDescent="0.25">
      <c r="A448" s="351"/>
      <c r="B448" s="352"/>
      <c r="C448" s="352"/>
      <c r="D448" s="694"/>
      <c r="E448" s="694"/>
      <c r="F448" s="694"/>
      <c r="G448" s="694"/>
      <c r="H448" s="730" t="s">
        <v>1716</v>
      </c>
      <c r="I448" s="730" t="s">
        <v>1726</v>
      </c>
      <c r="J448" s="730" t="s">
        <v>1727</v>
      </c>
      <c r="K448" s="712">
        <f>+(0.13*100)/0.5</f>
        <v>26</v>
      </c>
      <c r="L448" s="730" t="s">
        <v>1728</v>
      </c>
      <c r="M448" s="730"/>
      <c r="N448" s="731">
        <v>2</v>
      </c>
      <c r="O448" s="731">
        <v>2</v>
      </c>
      <c r="P448" s="162">
        <f>+O448/N448</f>
        <v>1</v>
      </c>
      <c r="Q448" s="731" t="s">
        <v>1729</v>
      </c>
      <c r="R448" s="731" t="s">
        <v>1730</v>
      </c>
      <c r="S448" s="731" t="s">
        <v>1731</v>
      </c>
      <c r="T448" s="731" t="s">
        <v>1732</v>
      </c>
      <c r="U448" s="740">
        <v>10000000</v>
      </c>
      <c r="V448" s="741"/>
      <c r="W448" s="694"/>
      <c r="X448" s="694"/>
      <c r="Y448" s="694"/>
      <c r="Z448" s="694"/>
      <c r="AA448" s="694"/>
      <c r="AB448" s="694"/>
      <c r="AC448" s="694"/>
      <c r="AD448" s="694"/>
      <c r="AE448" s="694"/>
      <c r="AF448" s="694"/>
      <c r="AG448" s="694"/>
      <c r="AH448" s="290"/>
      <c r="AI448" s="694"/>
      <c r="AJ448" s="694"/>
      <c r="AK448" s="694"/>
      <c r="AL448" s="694"/>
      <c r="AM448" s="731">
        <v>2</v>
      </c>
    </row>
    <row r="449" spans="1:39" ht="409.5" x14ac:dyDescent="0.25">
      <c r="A449" s="351"/>
      <c r="B449" s="352"/>
      <c r="C449" s="352"/>
      <c r="D449" s="694"/>
      <c r="E449" s="694"/>
      <c r="F449" s="694"/>
      <c r="G449" s="730"/>
      <c r="H449" s="730" t="s">
        <v>1716</v>
      </c>
      <c r="I449" s="730"/>
      <c r="J449" s="730" t="s">
        <v>1733</v>
      </c>
      <c r="K449" s="712">
        <f>+(0.19*100)/0.5</f>
        <v>38</v>
      </c>
      <c r="L449" s="694" t="s">
        <v>1734</v>
      </c>
      <c r="M449" s="694"/>
      <c r="N449" s="742">
        <v>0.7</v>
      </c>
      <c r="O449" s="742">
        <v>0.7</v>
      </c>
      <c r="P449" s="162">
        <f t="shared" ref="P449" si="76">+O449/N449</f>
        <v>1</v>
      </c>
      <c r="Q449" s="742" t="s">
        <v>1720</v>
      </c>
      <c r="R449" s="742" t="s">
        <v>1721</v>
      </c>
      <c r="S449" s="742" t="s">
        <v>460</v>
      </c>
      <c r="T449" s="742" t="s">
        <v>966</v>
      </c>
      <c r="U449" s="743">
        <v>90000000</v>
      </c>
      <c r="V449" s="729"/>
      <c r="W449" s="730"/>
      <c r="X449" s="730"/>
      <c r="Y449" s="730"/>
      <c r="Z449" s="730"/>
      <c r="AA449" s="730"/>
      <c r="AB449" s="730"/>
      <c r="AC449" s="730"/>
      <c r="AD449" s="730"/>
      <c r="AE449" s="730"/>
      <c r="AF449" s="730"/>
      <c r="AG449" s="730"/>
      <c r="AH449" s="292"/>
      <c r="AI449" s="730"/>
      <c r="AJ449" s="730"/>
      <c r="AK449" s="730"/>
      <c r="AL449" s="730"/>
      <c r="AM449" s="742">
        <v>0.7</v>
      </c>
    </row>
    <row r="450" spans="1:39" ht="33.75" x14ac:dyDescent="0.25">
      <c r="A450" s="351"/>
      <c r="B450" s="352"/>
      <c r="C450" s="352"/>
      <c r="D450" s="694"/>
      <c r="E450" s="694"/>
      <c r="F450" s="110" t="s">
        <v>158</v>
      </c>
      <c r="G450" s="110"/>
      <c r="H450" s="110"/>
      <c r="I450" s="110"/>
      <c r="J450" s="143"/>
      <c r="K450" s="262">
        <f>SUM(K447:K449)</f>
        <v>100</v>
      </c>
      <c r="L450" s="143"/>
      <c r="M450" s="143"/>
      <c r="N450" s="143"/>
      <c r="O450" s="143"/>
      <c r="P450" s="143"/>
      <c r="Q450" s="143"/>
      <c r="R450" s="143"/>
      <c r="S450" s="143"/>
      <c r="T450" s="143"/>
      <c r="U450" s="143"/>
      <c r="V450" s="143"/>
      <c r="W450" s="143"/>
      <c r="X450" s="143"/>
      <c r="Y450" s="143"/>
      <c r="Z450" s="143"/>
      <c r="AA450" s="143"/>
      <c r="AB450" s="143"/>
      <c r="AC450" s="143"/>
      <c r="AD450" s="143"/>
      <c r="AE450" s="143"/>
      <c r="AF450" s="143"/>
      <c r="AG450" s="143"/>
      <c r="AH450" s="143"/>
      <c r="AI450" s="143"/>
      <c r="AJ450" s="143"/>
      <c r="AK450" s="143"/>
      <c r="AL450" s="736"/>
      <c r="AM450" s="144"/>
    </row>
    <row r="451" spans="1:39" ht="258.75" x14ac:dyDescent="0.25">
      <c r="A451" s="351"/>
      <c r="B451" s="352"/>
      <c r="C451" s="352"/>
      <c r="D451" s="694"/>
      <c r="E451" s="694"/>
      <c r="F451" s="682" t="s">
        <v>1735</v>
      </c>
      <c r="G451" s="720" t="s">
        <v>1736</v>
      </c>
      <c r="H451" s="720" t="s">
        <v>1737</v>
      </c>
      <c r="I451" s="720" t="s">
        <v>1738</v>
      </c>
      <c r="J451" s="720" t="s">
        <v>1739</v>
      </c>
      <c r="K451" s="712">
        <v>33</v>
      </c>
      <c r="L451" s="730" t="s">
        <v>1740</v>
      </c>
      <c r="M451" s="730"/>
      <c r="N451" s="731">
        <v>1</v>
      </c>
      <c r="O451" s="731">
        <v>0</v>
      </c>
      <c r="P451" s="162">
        <f>+O451/N451</f>
        <v>0</v>
      </c>
      <c r="Q451" s="731" t="s">
        <v>1741</v>
      </c>
      <c r="R451" s="731" t="s">
        <v>1742</v>
      </c>
      <c r="S451" s="731" t="s">
        <v>90</v>
      </c>
      <c r="T451" s="731" t="s">
        <v>516</v>
      </c>
      <c r="U451" s="732">
        <v>300000000</v>
      </c>
      <c r="V451" s="732">
        <v>300000000</v>
      </c>
      <c r="W451" s="731"/>
      <c r="X451" s="731"/>
      <c r="Y451" s="731"/>
      <c r="Z451" s="731" t="s">
        <v>55</v>
      </c>
      <c r="AA451" s="731"/>
      <c r="AB451" s="731"/>
      <c r="AC451" s="731"/>
      <c r="AD451" s="731"/>
      <c r="AE451" s="731"/>
      <c r="AF451" s="732">
        <v>300000000</v>
      </c>
      <c r="AG451" s="733">
        <v>0</v>
      </c>
      <c r="AH451" s="289">
        <f t="shared" ref="AH451:AH456" si="77">+AG451/AF451</f>
        <v>0</v>
      </c>
      <c r="AI451" s="731" t="s">
        <v>1743</v>
      </c>
      <c r="AJ451" s="731" t="s">
        <v>1744</v>
      </c>
      <c r="AK451" s="730" t="s">
        <v>1745</v>
      </c>
      <c r="AL451" s="730" t="s">
        <v>390</v>
      </c>
      <c r="AM451" s="731">
        <v>1</v>
      </c>
    </row>
    <row r="452" spans="1:39" ht="112.5" x14ac:dyDescent="0.25">
      <c r="A452" s="351"/>
      <c r="B452" s="352"/>
      <c r="C452" s="352"/>
      <c r="D452" s="694"/>
      <c r="E452" s="694"/>
      <c r="F452" s="694"/>
      <c r="G452" s="720" t="s">
        <v>1746</v>
      </c>
      <c r="H452" s="720" t="s">
        <v>1747</v>
      </c>
      <c r="I452" s="720" t="s">
        <v>1746</v>
      </c>
      <c r="J452" s="720"/>
      <c r="K452" s="712"/>
      <c r="L452" s="730"/>
      <c r="M452" s="730"/>
      <c r="N452" s="731">
        <v>1</v>
      </c>
      <c r="O452" s="731">
        <v>0</v>
      </c>
      <c r="P452" s="162">
        <f>+O452/N452</f>
        <v>0</v>
      </c>
      <c r="Q452" s="731" t="s">
        <v>1746</v>
      </c>
      <c r="R452" s="731" t="s">
        <v>1748</v>
      </c>
      <c r="S452" s="731" t="s">
        <v>90</v>
      </c>
      <c r="T452" s="731" t="s">
        <v>90</v>
      </c>
      <c r="U452" s="732">
        <v>100000000</v>
      </c>
      <c r="V452" s="732">
        <v>100000000</v>
      </c>
      <c r="W452" s="731"/>
      <c r="X452" s="731"/>
      <c r="Y452" s="731"/>
      <c r="Z452" s="731" t="s">
        <v>55</v>
      </c>
      <c r="AA452" s="731"/>
      <c r="AB452" s="731"/>
      <c r="AC452" s="731"/>
      <c r="AD452" s="731"/>
      <c r="AE452" s="731"/>
      <c r="AF452" s="732">
        <v>100000000</v>
      </c>
      <c r="AG452" s="733">
        <v>0</v>
      </c>
      <c r="AH452" s="289">
        <f t="shared" si="77"/>
        <v>0</v>
      </c>
      <c r="AI452" s="731"/>
      <c r="AJ452" s="731"/>
      <c r="AK452" s="730"/>
      <c r="AL452" s="730"/>
      <c r="AM452" s="731">
        <v>0</v>
      </c>
    </row>
    <row r="453" spans="1:39" ht="270" x14ac:dyDescent="0.25">
      <c r="A453" s="351"/>
      <c r="B453" s="352"/>
      <c r="C453" s="352"/>
      <c r="D453" s="694"/>
      <c r="E453" s="694"/>
      <c r="F453" s="694"/>
      <c r="G453" s="720" t="s">
        <v>1749</v>
      </c>
      <c r="H453" s="720" t="s">
        <v>1750</v>
      </c>
      <c r="I453" s="720" t="s">
        <v>1751</v>
      </c>
      <c r="J453" s="694" t="s">
        <v>1752</v>
      </c>
      <c r="K453" s="712">
        <v>51</v>
      </c>
      <c r="L453" s="694" t="s">
        <v>1753</v>
      </c>
      <c r="M453" s="682"/>
      <c r="N453" s="744">
        <v>1</v>
      </c>
      <c r="O453" s="744">
        <v>1</v>
      </c>
      <c r="P453" s="26">
        <f>+O453/N453</f>
        <v>1</v>
      </c>
      <c r="Q453" s="720" t="s">
        <v>1754</v>
      </c>
      <c r="R453" s="720" t="s">
        <v>1755</v>
      </c>
      <c r="S453" s="720" t="s">
        <v>90</v>
      </c>
      <c r="T453" s="720" t="s">
        <v>1756</v>
      </c>
      <c r="U453" s="732">
        <v>2256949877.29</v>
      </c>
      <c r="V453" s="732">
        <v>2256949877.29</v>
      </c>
      <c r="W453" s="731"/>
      <c r="X453" s="731"/>
      <c r="Y453" s="731"/>
      <c r="Z453" s="731" t="s">
        <v>55</v>
      </c>
      <c r="AA453" s="731"/>
      <c r="AB453" s="731"/>
      <c r="AC453" s="731"/>
      <c r="AD453" s="731"/>
      <c r="AE453" s="731"/>
      <c r="AF453" s="732">
        <v>2256949877.29</v>
      </c>
      <c r="AG453" s="733">
        <v>2256949876.6900001</v>
      </c>
      <c r="AH453" s="289">
        <f t="shared" si="77"/>
        <v>0.99999999973415454</v>
      </c>
      <c r="AI453" s="731" t="s">
        <v>1743</v>
      </c>
      <c r="AJ453" s="731" t="s">
        <v>1757</v>
      </c>
      <c r="AK453" s="730" t="s">
        <v>1745</v>
      </c>
      <c r="AL453" s="730" t="s">
        <v>390</v>
      </c>
      <c r="AM453" s="731"/>
    </row>
    <row r="454" spans="1:39" ht="202.5" x14ac:dyDescent="0.25">
      <c r="A454" s="351"/>
      <c r="B454" s="352"/>
      <c r="C454" s="352"/>
      <c r="D454" s="694"/>
      <c r="E454" s="694"/>
      <c r="F454" s="694"/>
      <c r="G454" s="720" t="s">
        <v>1758</v>
      </c>
      <c r="H454" s="720" t="s">
        <v>1759</v>
      </c>
      <c r="I454" s="720" t="s">
        <v>1760</v>
      </c>
      <c r="J454" s="694"/>
      <c r="K454" s="698"/>
      <c r="L454" s="694"/>
      <c r="M454" s="694"/>
      <c r="N454" s="694"/>
      <c r="O454" s="694"/>
      <c r="P454" s="290"/>
      <c r="Q454" s="720" t="s">
        <v>1761</v>
      </c>
      <c r="R454" s="720" t="s">
        <v>1762</v>
      </c>
      <c r="S454" s="720" t="s">
        <v>1556</v>
      </c>
      <c r="T454" s="720" t="s">
        <v>1763</v>
      </c>
      <c r="U454" s="710">
        <v>999987137.25</v>
      </c>
      <c r="V454" s="710">
        <v>999987137.25</v>
      </c>
      <c r="W454" s="745"/>
      <c r="X454" s="745"/>
      <c r="Y454" s="745"/>
      <c r="Z454" s="745" t="s">
        <v>55</v>
      </c>
      <c r="AA454" s="745"/>
      <c r="AB454" s="745"/>
      <c r="AC454" s="745"/>
      <c r="AD454" s="745"/>
      <c r="AE454" s="745"/>
      <c r="AF454" s="710">
        <v>999987137.25</v>
      </c>
      <c r="AG454" s="716">
        <v>999816332.80000007</v>
      </c>
      <c r="AH454" s="289">
        <f t="shared" si="77"/>
        <v>0.99982919335295684</v>
      </c>
      <c r="AI454" s="745" t="s">
        <v>1743</v>
      </c>
      <c r="AJ454" s="745" t="s">
        <v>1764</v>
      </c>
      <c r="AK454" s="720"/>
      <c r="AL454" s="720"/>
      <c r="AM454" s="731"/>
    </row>
    <row r="455" spans="1:39" ht="101.25" x14ac:dyDescent="0.25">
      <c r="A455" s="351"/>
      <c r="B455" s="352"/>
      <c r="C455" s="352"/>
      <c r="D455" s="694"/>
      <c r="E455" s="694"/>
      <c r="F455" s="694"/>
      <c r="G455" s="720" t="s">
        <v>1765</v>
      </c>
      <c r="H455" s="720" t="s">
        <v>1766</v>
      </c>
      <c r="I455" s="720" t="s">
        <v>1767</v>
      </c>
      <c r="J455" s="694"/>
      <c r="K455" s="698"/>
      <c r="L455" s="694"/>
      <c r="M455" s="694"/>
      <c r="N455" s="694"/>
      <c r="O455" s="694"/>
      <c r="P455" s="290"/>
      <c r="Q455" s="720" t="s">
        <v>1768</v>
      </c>
      <c r="R455" s="720" t="s">
        <v>1769</v>
      </c>
      <c r="S455" s="720" t="s">
        <v>1770</v>
      </c>
      <c r="T455" s="720" t="s">
        <v>460</v>
      </c>
      <c r="U455" s="710">
        <v>237522053.38</v>
      </c>
      <c r="V455" s="710">
        <v>237522053.38</v>
      </c>
      <c r="W455" s="746"/>
      <c r="X455" s="746"/>
      <c r="Y455" s="746"/>
      <c r="Z455" s="746" t="s">
        <v>55</v>
      </c>
      <c r="AA455" s="746"/>
      <c r="AB455" s="746"/>
      <c r="AC455" s="746"/>
      <c r="AD455" s="746"/>
      <c r="AE455" s="746"/>
      <c r="AF455" s="747">
        <v>237522053.38</v>
      </c>
      <c r="AG455" s="748">
        <v>237522053.38</v>
      </c>
      <c r="AH455" s="289">
        <f t="shared" si="77"/>
        <v>1</v>
      </c>
      <c r="AI455" s="744" t="s">
        <v>1743</v>
      </c>
      <c r="AJ455" s="746" t="s">
        <v>1771</v>
      </c>
      <c r="AK455" s="694" t="s">
        <v>1772</v>
      </c>
      <c r="AL455" s="694"/>
      <c r="AM455" s="731"/>
    </row>
    <row r="456" spans="1:39" ht="168.75" x14ac:dyDescent="0.25">
      <c r="A456" s="351"/>
      <c r="B456" s="352"/>
      <c r="C456" s="352"/>
      <c r="D456" s="694"/>
      <c r="E456" s="694"/>
      <c r="F456" s="694"/>
      <c r="G456" s="720" t="s">
        <v>1773</v>
      </c>
      <c r="H456" s="720" t="s">
        <v>1750</v>
      </c>
      <c r="I456" s="720" t="s">
        <v>1751</v>
      </c>
      <c r="J456" s="694"/>
      <c r="K456" s="698"/>
      <c r="L456" s="694"/>
      <c r="M456" s="730"/>
      <c r="N456" s="730"/>
      <c r="O456" s="730"/>
      <c r="P456" s="522"/>
      <c r="Q456" s="720" t="s">
        <v>1774</v>
      </c>
      <c r="R456" s="720" t="s">
        <v>1775</v>
      </c>
      <c r="S456" s="720" t="s">
        <v>90</v>
      </c>
      <c r="T456" s="720" t="s">
        <v>90</v>
      </c>
      <c r="U456" s="710">
        <v>150000000</v>
      </c>
      <c r="V456" s="710">
        <v>150000000</v>
      </c>
      <c r="W456" s="745"/>
      <c r="X456" s="745"/>
      <c r="Y456" s="745"/>
      <c r="Z456" s="745" t="s">
        <v>55</v>
      </c>
      <c r="AA456" s="745"/>
      <c r="AB456" s="745"/>
      <c r="AC456" s="745"/>
      <c r="AD456" s="745"/>
      <c r="AE456" s="745"/>
      <c r="AF456" s="710">
        <v>150000000</v>
      </c>
      <c r="AG456" s="716">
        <v>150000000</v>
      </c>
      <c r="AH456" s="289">
        <f t="shared" si="77"/>
        <v>1</v>
      </c>
      <c r="AI456" s="745" t="s">
        <v>1743</v>
      </c>
      <c r="AJ456" s="745" t="s">
        <v>1776</v>
      </c>
      <c r="AK456" s="720"/>
      <c r="AL456" s="720"/>
      <c r="AM456" s="731"/>
    </row>
    <row r="457" spans="1:39" ht="191.25" x14ac:dyDescent="0.25">
      <c r="A457" s="351"/>
      <c r="B457" s="352"/>
      <c r="C457" s="352"/>
      <c r="D457" s="694"/>
      <c r="E457" s="694"/>
      <c r="F457" s="694"/>
      <c r="G457" s="749" t="s">
        <v>1777</v>
      </c>
      <c r="H457" s="749" t="s">
        <v>1778</v>
      </c>
      <c r="I457" s="720"/>
      <c r="J457" s="694"/>
      <c r="K457" s="698"/>
      <c r="L457" s="694"/>
      <c r="M457" s="730"/>
      <c r="N457" s="417">
        <v>1</v>
      </c>
      <c r="O457" s="417">
        <v>0</v>
      </c>
      <c r="P457" s="162">
        <f>+O457/N457</f>
        <v>0</v>
      </c>
      <c r="Q457" s="417" t="s">
        <v>1779</v>
      </c>
      <c r="R457" s="417" t="s">
        <v>1780</v>
      </c>
      <c r="S457" s="417" t="s">
        <v>89</v>
      </c>
      <c r="T457" s="417" t="s">
        <v>90</v>
      </c>
      <c r="U457" s="178">
        <v>375000000</v>
      </c>
      <c r="V457" s="178">
        <v>375000000</v>
      </c>
      <c r="W457" s="417"/>
      <c r="X457" s="417"/>
      <c r="Y457" s="417"/>
      <c r="Z457" s="417" t="s">
        <v>55</v>
      </c>
      <c r="AA457" s="417"/>
      <c r="AB457" s="417"/>
      <c r="AC457" s="417"/>
      <c r="AD457" s="417"/>
      <c r="AE457" s="417"/>
      <c r="AF457" s="178">
        <v>375000000</v>
      </c>
      <c r="AG457" s="750">
        <v>17445969</v>
      </c>
      <c r="AH457" s="162">
        <f>+AG457/AF457</f>
        <v>4.6522583999999999E-2</v>
      </c>
      <c r="AI457" s="417" t="s">
        <v>1781</v>
      </c>
      <c r="AJ457" s="417" t="s">
        <v>1782</v>
      </c>
      <c r="AK457" s="170"/>
      <c r="AL457" s="170"/>
      <c r="AM457" s="731"/>
    </row>
    <row r="458" spans="1:39" ht="123.75" x14ac:dyDescent="0.25">
      <c r="A458" s="351"/>
      <c r="B458" s="352"/>
      <c r="C458" s="352"/>
      <c r="D458" s="694"/>
      <c r="E458" s="694"/>
      <c r="F458" s="694"/>
      <c r="G458" s="374" t="s">
        <v>1783</v>
      </c>
      <c r="H458" s="298" t="s">
        <v>1784</v>
      </c>
      <c r="I458" s="298" t="s">
        <v>1785</v>
      </c>
      <c r="J458" s="694"/>
      <c r="K458" s="698"/>
      <c r="L458" s="694"/>
      <c r="M458" s="694"/>
      <c r="N458" s="30">
        <v>1</v>
      </c>
      <c r="O458" s="30">
        <v>0</v>
      </c>
      <c r="P458" s="162">
        <f>+O458/N458</f>
        <v>0</v>
      </c>
      <c r="Q458" s="298" t="s">
        <v>1786</v>
      </c>
      <c r="R458" s="298" t="s">
        <v>1787</v>
      </c>
      <c r="S458" s="298" t="s">
        <v>89</v>
      </c>
      <c r="T458" s="298" t="s">
        <v>484</v>
      </c>
      <c r="U458" s="309">
        <v>63075346.899999999</v>
      </c>
      <c r="V458" s="309">
        <v>63075346.899999999</v>
      </c>
      <c r="W458" s="298"/>
      <c r="X458" s="298"/>
      <c r="Y458" s="298"/>
      <c r="Z458" s="298" t="s">
        <v>55</v>
      </c>
      <c r="AA458" s="298"/>
      <c r="AB458" s="298"/>
      <c r="AC458" s="298"/>
      <c r="AD458" s="298"/>
      <c r="AE458" s="298"/>
      <c r="AF458" s="309">
        <f>+V458</f>
        <v>63075346.899999999</v>
      </c>
      <c r="AG458" s="635">
        <v>0</v>
      </c>
      <c r="AH458" s="162">
        <f>+AG458/AF458</f>
        <v>0</v>
      </c>
      <c r="AI458" s="30" t="s">
        <v>1743</v>
      </c>
      <c r="AJ458" s="30" t="s">
        <v>1788</v>
      </c>
      <c r="AK458" s="158"/>
      <c r="AL458" s="170"/>
      <c r="AM458" s="731"/>
    </row>
    <row r="459" spans="1:39" ht="33.75" x14ac:dyDescent="0.25">
      <c r="A459" s="351"/>
      <c r="B459" s="352"/>
      <c r="C459" s="352"/>
      <c r="D459" s="694"/>
      <c r="E459" s="694"/>
      <c r="F459" s="694"/>
      <c r="G459" s="694"/>
      <c r="H459" s="694"/>
      <c r="I459" s="694"/>
      <c r="J459" s="720" t="s">
        <v>1789</v>
      </c>
      <c r="K459" s="698">
        <v>16</v>
      </c>
      <c r="L459" s="694" t="s">
        <v>1790</v>
      </c>
      <c r="M459" s="694"/>
      <c r="N459" s="694"/>
      <c r="O459" s="694"/>
      <c r="P459" s="290"/>
      <c r="Q459" s="694"/>
      <c r="R459" s="694"/>
      <c r="S459" s="694"/>
      <c r="T459" s="694"/>
      <c r="U459" s="694"/>
      <c r="V459" s="694"/>
      <c r="W459" s="694"/>
      <c r="X459" s="694"/>
      <c r="Y459" s="694"/>
      <c r="Z459" s="694"/>
      <c r="AA459" s="694"/>
      <c r="AB459" s="694"/>
      <c r="AC459" s="694"/>
      <c r="AD459" s="694"/>
      <c r="AE459" s="694"/>
      <c r="AF459" s="694"/>
      <c r="AG459" s="694"/>
      <c r="AH459" s="290"/>
      <c r="AI459" s="694"/>
      <c r="AJ459" s="694"/>
      <c r="AK459" s="694" t="s">
        <v>1745</v>
      </c>
      <c r="AL459" s="735" t="s">
        <v>390</v>
      </c>
      <c r="AM459" s="731">
        <v>1</v>
      </c>
    </row>
    <row r="460" spans="1:39" ht="33.75" x14ac:dyDescent="0.25">
      <c r="A460" s="351"/>
      <c r="B460" s="352"/>
      <c r="C460" s="352"/>
      <c r="D460" s="694"/>
      <c r="E460" s="694"/>
      <c r="F460" s="110" t="s">
        <v>158</v>
      </c>
      <c r="G460" s="110"/>
      <c r="H460" s="110"/>
      <c r="I460" s="110"/>
      <c r="J460" s="143"/>
      <c r="K460" s="262">
        <f>SUM(K451:K459)</f>
        <v>100</v>
      </c>
      <c r="L460" s="143"/>
      <c r="M460" s="143"/>
      <c r="N460" s="143"/>
      <c r="O460" s="143"/>
      <c r="P460" s="143"/>
      <c r="Q460" s="143"/>
      <c r="R460" s="143"/>
      <c r="S460" s="143"/>
      <c r="T460" s="143"/>
      <c r="U460" s="143"/>
      <c r="V460" s="143"/>
      <c r="W460" s="143"/>
      <c r="X460" s="143"/>
      <c r="Y460" s="143"/>
      <c r="Z460" s="143"/>
      <c r="AA460" s="143"/>
      <c r="AB460" s="143"/>
      <c r="AC460" s="143"/>
      <c r="AD460" s="143"/>
      <c r="AE460" s="143"/>
      <c r="AF460" s="143"/>
      <c r="AG460" s="143"/>
      <c r="AH460" s="143"/>
      <c r="AI460" s="143"/>
      <c r="AJ460" s="143"/>
      <c r="AK460" s="143"/>
      <c r="AL460" s="751"/>
      <c r="AM460" s="144"/>
    </row>
    <row r="461" spans="1:39" ht="101.25" x14ac:dyDescent="0.25">
      <c r="A461" s="351"/>
      <c r="B461" s="352"/>
      <c r="C461" s="352"/>
      <c r="D461" s="694"/>
      <c r="E461" s="694"/>
      <c r="F461" s="682" t="s">
        <v>1791</v>
      </c>
      <c r="G461" s="694"/>
      <c r="H461" s="694"/>
      <c r="I461" s="694"/>
      <c r="J461" s="730" t="s">
        <v>1792</v>
      </c>
      <c r="K461" s="712">
        <f>+(0.662*100)/1.5</f>
        <v>44.133333333333333</v>
      </c>
      <c r="L461" s="730" t="s">
        <v>1793</v>
      </c>
      <c r="M461" s="730"/>
      <c r="N461" s="730"/>
      <c r="O461" s="730"/>
      <c r="P461" s="292"/>
      <c r="Q461" s="730"/>
      <c r="R461" s="730"/>
      <c r="S461" s="730"/>
      <c r="T461" s="730"/>
      <c r="U461" s="730"/>
      <c r="V461" s="730"/>
      <c r="W461" s="730"/>
      <c r="X461" s="730"/>
      <c r="Y461" s="730"/>
      <c r="Z461" s="730"/>
      <c r="AA461" s="730"/>
      <c r="AB461" s="730"/>
      <c r="AC461" s="730"/>
      <c r="AD461" s="730"/>
      <c r="AE461" s="730"/>
      <c r="AF461" s="730"/>
      <c r="AG461" s="730"/>
      <c r="AH461" s="292"/>
      <c r="AI461" s="730"/>
      <c r="AJ461" s="730"/>
      <c r="AK461" s="730" t="s">
        <v>504</v>
      </c>
      <c r="AL461" s="735" t="s">
        <v>390</v>
      </c>
      <c r="AM461" s="731">
        <v>3</v>
      </c>
    </row>
    <row r="462" spans="1:39" ht="101.25" x14ac:dyDescent="0.25">
      <c r="A462" s="351"/>
      <c r="B462" s="352"/>
      <c r="C462" s="352"/>
      <c r="D462" s="694"/>
      <c r="E462" s="694"/>
      <c r="F462" s="694"/>
      <c r="G462" s="694"/>
      <c r="H462" s="694"/>
      <c r="I462" s="694"/>
      <c r="J462" s="730" t="s">
        <v>1794</v>
      </c>
      <c r="K462" s="712">
        <f>+(0.464*100)/1.5</f>
        <v>30.933333333333337</v>
      </c>
      <c r="L462" s="730" t="s">
        <v>1795</v>
      </c>
      <c r="M462" s="730"/>
      <c r="N462" s="730"/>
      <c r="O462" s="730"/>
      <c r="P462" s="292"/>
      <c r="Q462" s="730"/>
      <c r="R462" s="730"/>
      <c r="S462" s="730"/>
      <c r="T462" s="730"/>
      <c r="U462" s="730"/>
      <c r="V462" s="730"/>
      <c r="W462" s="730"/>
      <c r="X462" s="730"/>
      <c r="Y462" s="730"/>
      <c r="Z462" s="730"/>
      <c r="AA462" s="730"/>
      <c r="AB462" s="730"/>
      <c r="AC462" s="730"/>
      <c r="AD462" s="730"/>
      <c r="AE462" s="730"/>
      <c r="AF462" s="730"/>
      <c r="AG462" s="730"/>
      <c r="AH462" s="292"/>
      <c r="AI462" s="730"/>
      <c r="AJ462" s="730"/>
      <c r="AK462" s="730" t="s">
        <v>504</v>
      </c>
      <c r="AL462" s="735" t="s">
        <v>390</v>
      </c>
      <c r="AM462" s="731">
        <v>500</v>
      </c>
    </row>
    <row r="463" spans="1:39" ht="101.25" x14ac:dyDescent="0.25">
      <c r="A463" s="351"/>
      <c r="B463" s="352"/>
      <c r="C463" s="352"/>
      <c r="D463" s="694"/>
      <c r="E463" s="694"/>
      <c r="F463" s="694"/>
      <c r="G463" s="694"/>
      <c r="H463" s="694"/>
      <c r="I463" s="694"/>
      <c r="J463" s="730" t="s">
        <v>1796</v>
      </c>
      <c r="K463" s="712">
        <f>+(0.004*100)/1.5</f>
        <v>0.26666666666666666</v>
      </c>
      <c r="L463" s="730" t="s">
        <v>1797</v>
      </c>
      <c r="M463" s="730"/>
      <c r="N463" s="730"/>
      <c r="O463" s="730"/>
      <c r="P463" s="292"/>
      <c r="Q463" s="730"/>
      <c r="R463" s="730"/>
      <c r="S463" s="730"/>
      <c r="T463" s="730"/>
      <c r="U463" s="730"/>
      <c r="V463" s="730"/>
      <c r="W463" s="730"/>
      <c r="X463" s="730"/>
      <c r="Y463" s="730"/>
      <c r="Z463" s="730"/>
      <c r="AA463" s="730"/>
      <c r="AB463" s="730"/>
      <c r="AC463" s="730"/>
      <c r="AD463" s="730"/>
      <c r="AE463" s="730"/>
      <c r="AF463" s="730"/>
      <c r="AG463" s="730"/>
      <c r="AH463" s="292"/>
      <c r="AI463" s="730"/>
      <c r="AJ463" s="730"/>
      <c r="AK463" s="730" t="s">
        <v>504</v>
      </c>
      <c r="AL463" s="735" t="s">
        <v>390</v>
      </c>
      <c r="AM463" s="731">
        <v>3</v>
      </c>
    </row>
    <row r="464" spans="1:39" ht="101.25" x14ac:dyDescent="0.25">
      <c r="A464" s="351"/>
      <c r="B464" s="352"/>
      <c r="C464" s="352"/>
      <c r="D464" s="694"/>
      <c r="E464" s="694"/>
      <c r="F464" s="694"/>
      <c r="G464" s="694"/>
      <c r="H464" s="694"/>
      <c r="I464" s="694"/>
      <c r="J464" s="730" t="s">
        <v>1798</v>
      </c>
      <c r="K464" s="712">
        <f>+(0.13*100)/1.5</f>
        <v>8.6666666666666661</v>
      </c>
      <c r="L464" s="730" t="s">
        <v>1799</v>
      </c>
      <c r="M464" s="730"/>
      <c r="N464" s="730"/>
      <c r="O464" s="730"/>
      <c r="P464" s="292"/>
      <c r="Q464" s="730"/>
      <c r="R464" s="730"/>
      <c r="S464" s="730"/>
      <c r="T464" s="730"/>
      <c r="U464" s="730"/>
      <c r="V464" s="730"/>
      <c r="W464" s="730"/>
      <c r="X464" s="730"/>
      <c r="Y464" s="730"/>
      <c r="Z464" s="730"/>
      <c r="AA464" s="730"/>
      <c r="AB464" s="730"/>
      <c r="AC464" s="730"/>
      <c r="AD464" s="730"/>
      <c r="AE464" s="730"/>
      <c r="AF464" s="730"/>
      <c r="AG464" s="730"/>
      <c r="AH464" s="292"/>
      <c r="AI464" s="730"/>
      <c r="AJ464" s="730"/>
      <c r="AK464" s="730" t="s">
        <v>504</v>
      </c>
      <c r="AL464" s="735" t="s">
        <v>390</v>
      </c>
      <c r="AM464" s="752">
        <v>0.8</v>
      </c>
    </row>
    <row r="465" spans="1:39" ht="101.25" x14ac:dyDescent="0.25">
      <c r="A465" s="351"/>
      <c r="B465" s="352"/>
      <c r="C465" s="352"/>
      <c r="D465" s="694"/>
      <c r="E465" s="694"/>
      <c r="F465" s="694"/>
      <c r="G465" s="694"/>
      <c r="H465" s="694"/>
      <c r="I465" s="694"/>
      <c r="J465" s="730" t="s">
        <v>1800</v>
      </c>
      <c r="K465" s="712">
        <f>+(0.004*100)/1.5</f>
        <v>0.26666666666666666</v>
      </c>
      <c r="L465" s="730" t="s">
        <v>1801</v>
      </c>
      <c r="M465" s="730"/>
      <c r="N465" s="730"/>
      <c r="O465" s="730"/>
      <c r="P465" s="292"/>
      <c r="Q465" s="730"/>
      <c r="R465" s="730"/>
      <c r="S465" s="730"/>
      <c r="T465" s="730"/>
      <c r="U465" s="730"/>
      <c r="V465" s="730"/>
      <c r="W465" s="730"/>
      <c r="X465" s="730"/>
      <c r="Y465" s="730"/>
      <c r="Z465" s="730"/>
      <c r="AA465" s="730"/>
      <c r="AB465" s="730"/>
      <c r="AC465" s="730"/>
      <c r="AD465" s="730"/>
      <c r="AE465" s="730"/>
      <c r="AF465" s="730"/>
      <c r="AG465" s="730"/>
      <c r="AH465" s="292"/>
      <c r="AI465" s="730"/>
      <c r="AJ465" s="730"/>
      <c r="AK465" s="730" t="s">
        <v>504</v>
      </c>
      <c r="AL465" s="735" t="s">
        <v>390</v>
      </c>
      <c r="AM465" s="731">
        <v>250</v>
      </c>
    </row>
    <row r="466" spans="1:39" ht="101.25" x14ac:dyDescent="0.25">
      <c r="A466" s="351"/>
      <c r="B466" s="352"/>
      <c r="C466" s="352"/>
      <c r="D466" s="694"/>
      <c r="E466" s="694"/>
      <c r="F466" s="694"/>
      <c r="G466" s="694"/>
      <c r="H466" s="694"/>
      <c r="I466" s="694"/>
      <c r="J466" s="730" t="s">
        <v>1802</v>
      </c>
      <c r="K466" s="712">
        <f>+(0.224*100)/1.5</f>
        <v>14.933333333333335</v>
      </c>
      <c r="L466" s="730" t="s">
        <v>1803</v>
      </c>
      <c r="M466" s="730"/>
      <c r="N466" s="730"/>
      <c r="O466" s="730"/>
      <c r="P466" s="292"/>
      <c r="Q466" s="730"/>
      <c r="R466" s="730"/>
      <c r="S466" s="730"/>
      <c r="T466" s="730"/>
      <c r="U466" s="730"/>
      <c r="V466" s="730"/>
      <c r="W466" s="730"/>
      <c r="X466" s="730"/>
      <c r="Y466" s="730"/>
      <c r="Z466" s="730"/>
      <c r="AA466" s="730"/>
      <c r="AB466" s="730"/>
      <c r="AC466" s="730"/>
      <c r="AD466" s="730"/>
      <c r="AE466" s="730"/>
      <c r="AF466" s="730"/>
      <c r="AG466" s="730"/>
      <c r="AH466" s="292"/>
      <c r="AI466" s="730"/>
      <c r="AJ466" s="730"/>
      <c r="AK466" s="730" t="s">
        <v>504</v>
      </c>
      <c r="AL466" s="735" t="s">
        <v>390</v>
      </c>
      <c r="AM466" s="731">
        <v>5</v>
      </c>
    </row>
    <row r="467" spans="1:39" ht="101.25" x14ac:dyDescent="0.25">
      <c r="A467" s="351"/>
      <c r="B467" s="352"/>
      <c r="C467" s="352"/>
      <c r="D467" s="694"/>
      <c r="E467" s="694"/>
      <c r="F467" s="694"/>
      <c r="G467" s="694"/>
      <c r="H467" s="694"/>
      <c r="I467" s="694"/>
      <c r="J467" s="730" t="s">
        <v>1804</v>
      </c>
      <c r="K467" s="712">
        <f>+(0.004*100)/1.5</f>
        <v>0.26666666666666666</v>
      </c>
      <c r="L467" s="730" t="s">
        <v>1805</v>
      </c>
      <c r="M467" s="730"/>
      <c r="N467" s="730"/>
      <c r="O467" s="730"/>
      <c r="P467" s="292"/>
      <c r="Q467" s="730"/>
      <c r="R467" s="730"/>
      <c r="S467" s="730"/>
      <c r="T467" s="730"/>
      <c r="U467" s="730"/>
      <c r="V467" s="730"/>
      <c r="W467" s="730"/>
      <c r="X467" s="730"/>
      <c r="Y467" s="730"/>
      <c r="Z467" s="730"/>
      <c r="AA467" s="730"/>
      <c r="AB467" s="730"/>
      <c r="AC467" s="730"/>
      <c r="AD467" s="730"/>
      <c r="AE467" s="730"/>
      <c r="AF467" s="730"/>
      <c r="AG467" s="730"/>
      <c r="AH467" s="292"/>
      <c r="AI467" s="730"/>
      <c r="AJ467" s="730"/>
      <c r="AK467" s="730" t="s">
        <v>504</v>
      </c>
      <c r="AL467" s="735" t="s">
        <v>390</v>
      </c>
      <c r="AM467" s="753">
        <v>21825000000</v>
      </c>
    </row>
    <row r="468" spans="1:39" ht="101.25" x14ac:dyDescent="0.25">
      <c r="A468" s="351"/>
      <c r="B468" s="352"/>
      <c r="C468" s="352"/>
      <c r="D468" s="694"/>
      <c r="E468" s="694"/>
      <c r="F468" s="694"/>
      <c r="G468" s="694"/>
      <c r="H468" s="694"/>
      <c r="I468" s="694"/>
      <c r="J468" s="730" t="s">
        <v>1806</v>
      </c>
      <c r="K468" s="712">
        <f>+(0.004*100)/1.5</f>
        <v>0.26666666666666666</v>
      </c>
      <c r="L468" s="730" t="s">
        <v>1807</v>
      </c>
      <c r="M468" s="730"/>
      <c r="N468" s="730"/>
      <c r="O468" s="730"/>
      <c r="P468" s="292"/>
      <c r="Q468" s="730"/>
      <c r="R468" s="730"/>
      <c r="S468" s="730"/>
      <c r="T468" s="730"/>
      <c r="U468" s="730"/>
      <c r="V468" s="730"/>
      <c r="W468" s="730"/>
      <c r="X468" s="730"/>
      <c r="Y468" s="730"/>
      <c r="Z468" s="730"/>
      <c r="AA468" s="730"/>
      <c r="AB468" s="730"/>
      <c r="AC468" s="730"/>
      <c r="AD468" s="730"/>
      <c r="AE468" s="730"/>
      <c r="AF468" s="730"/>
      <c r="AG468" s="730"/>
      <c r="AH468" s="292"/>
      <c r="AI468" s="730"/>
      <c r="AJ468" s="730"/>
      <c r="AK468" s="730" t="s">
        <v>504</v>
      </c>
      <c r="AL468" s="735" t="s">
        <v>390</v>
      </c>
      <c r="AM468" s="753">
        <v>5950000000</v>
      </c>
    </row>
    <row r="469" spans="1:39" ht="101.25" x14ac:dyDescent="0.25">
      <c r="A469" s="351"/>
      <c r="B469" s="352"/>
      <c r="C469" s="352"/>
      <c r="D469" s="730"/>
      <c r="E469" s="694"/>
      <c r="F469" s="694"/>
      <c r="G469" s="694"/>
      <c r="H469" s="694"/>
      <c r="I469" s="694"/>
      <c r="J469" s="730" t="s">
        <v>1808</v>
      </c>
      <c r="K469" s="712">
        <f>+(0.004*100)/1.5</f>
        <v>0.26666666666666666</v>
      </c>
      <c r="L469" s="694" t="s">
        <v>1809</v>
      </c>
      <c r="M469" s="694"/>
      <c r="N469" s="694"/>
      <c r="O469" s="694"/>
      <c r="P469" s="290"/>
      <c r="Q469" s="694"/>
      <c r="R469" s="694"/>
      <c r="S469" s="694"/>
      <c r="T469" s="694"/>
      <c r="U469" s="694"/>
      <c r="V469" s="694"/>
      <c r="W469" s="694"/>
      <c r="X469" s="694"/>
      <c r="Y469" s="694"/>
      <c r="Z469" s="694"/>
      <c r="AA469" s="694"/>
      <c r="AB469" s="694"/>
      <c r="AC469" s="694"/>
      <c r="AD469" s="694"/>
      <c r="AE469" s="694"/>
      <c r="AF469" s="694"/>
      <c r="AG469" s="694"/>
      <c r="AH469" s="290"/>
      <c r="AI469" s="694"/>
      <c r="AJ469" s="694"/>
      <c r="AK469" s="694" t="s">
        <v>504</v>
      </c>
      <c r="AL469" s="735" t="s">
        <v>390</v>
      </c>
      <c r="AM469" s="731">
        <v>0</v>
      </c>
    </row>
    <row r="470" spans="1:39" ht="33.75" x14ac:dyDescent="0.25">
      <c r="A470" s="351"/>
      <c r="B470" s="352"/>
      <c r="C470" s="352"/>
      <c r="D470" s="142" t="s">
        <v>1038</v>
      </c>
      <c r="E470" s="142"/>
      <c r="F470" s="110" t="s">
        <v>158</v>
      </c>
      <c r="G470" s="110"/>
      <c r="H470" s="110"/>
      <c r="I470" s="110"/>
      <c r="J470" s="143"/>
      <c r="K470" s="262">
        <f>SUM(K461:K469)</f>
        <v>100</v>
      </c>
      <c r="L470" s="143"/>
      <c r="M470" s="143"/>
      <c r="N470" s="143"/>
      <c r="O470" s="143"/>
      <c r="P470" s="143"/>
      <c r="Q470" s="143"/>
      <c r="R470" s="143"/>
      <c r="S470" s="143"/>
      <c r="T470" s="143"/>
      <c r="U470" s="143"/>
      <c r="V470" s="143"/>
      <c r="W470" s="143"/>
      <c r="X470" s="143"/>
      <c r="Y470" s="143"/>
      <c r="Z470" s="143"/>
      <c r="AA470" s="143"/>
      <c r="AB470" s="143"/>
      <c r="AC470" s="143"/>
      <c r="AD470" s="143"/>
      <c r="AE470" s="143"/>
      <c r="AF470" s="143"/>
      <c r="AG470" s="143"/>
      <c r="AH470" s="143"/>
      <c r="AI470" s="143"/>
      <c r="AJ470" s="143"/>
      <c r="AK470" s="143"/>
      <c r="AL470" s="146"/>
      <c r="AM470" s="143"/>
    </row>
    <row r="471" spans="1:39" ht="22.5" x14ac:dyDescent="0.25">
      <c r="A471" s="351"/>
      <c r="B471" s="352"/>
      <c r="C471" s="352"/>
      <c r="D471" s="279" t="s">
        <v>376</v>
      </c>
      <c r="E471" s="279"/>
      <c r="F471" s="280"/>
      <c r="G471" s="280"/>
      <c r="H471" s="280"/>
      <c r="I471" s="280"/>
      <c r="J471" s="280"/>
      <c r="K471" s="754"/>
      <c r="L471" s="755"/>
      <c r="M471" s="755"/>
      <c r="N471" s="755"/>
      <c r="O471" s="755"/>
      <c r="P471" s="292"/>
      <c r="Q471" s="755"/>
      <c r="R471" s="755"/>
      <c r="S471" s="755"/>
      <c r="T471" s="755"/>
      <c r="U471" s="755"/>
      <c r="V471" s="755"/>
      <c r="W471" s="755"/>
      <c r="X471" s="755"/>
      <c r="Y471" s="755"/>
      <c r="Z471" s="755"/>
      <c r="AA471" s="755"/>
      <c r="AB471" s="755"/>
      <c r="AC471" s="755"/>
      <c r="AD471" s="755"/>
      <c r="AE471" s="755"/>
      <c r="AF471" s="755"/>
      <c r="AG471" s="755"/>
      <c r="AH471" s="292"/>
      <c r="AI471" s="755"/>
      <c r="AJ471" s="755"/>
      <c r="AK471" s="755"/>
      <c r="AL471" s="756"/>
      <c r="AM471" s="755"/>
    </row>
    <row r="472" spans="1:39" ht="123.75" x14ac:dyDescent="0.25">
      <c r="A472" s="351"/>
      <c r="B472" s="352"/>
      <c r="C472" s="352"/>
      <c r="D472" s="157" t="s">
        <v>1810</v>
      </c>
      <c r="E472" s="157"/>
      <c r="F472" s="157" t="s">
        <v>1811</v>
      </c>
      <c r="G472" s="157" t="s">
        <v>1812</v>
      </c>
      <c r="H472" s="157" t="s">
        <v>1813</v>
      </c>
      <c r="I472" s="157" t="s">
        <v>1814</v>
      </c>
      <c r="J472" s="170" t="s">
        <v>1815</v>
      </c>
      <c r="K472" s="452">
        <f>+(0.674*100)/2</f>
        <v>33.700000000000003</v>
      </c>
      <c r="L472" s="170" t="s">
        <v>1816</v>
      </c>
      <c r="M472" s="170"/>
      <c r="N472" s="422">
        <v>0.25</v>
      </c>
      <c r="O472" s="422">
        <v>0</v>
      </c>
      <c r="P472" s="162">
        <f t="shared" ref="P472:P474" si="78">+O472/N472</f>
        <v>0</v>
      </c>
      <c r="Q472" s="422" t="s">
        <v>1817</v>
      </c>
      <c r="R472" s="422" t="s">
        <v>135</v>
      </c>
      <c r="S472" s="404" t="s">
        <v>1818</v>
      </c>
      <c r="T472" s="404" t="s">
        <v>54</v>
      </c>
      <c r="U472" s="757">
        <v>166811853</v>
      </c>
      <c r="V472" s="757">
        <v>166811853</v>
      </c>
      <c r="W472" s="757" t="s">
        <v>55</v>
      </c>
      <c r="X472" s="757"/>
      <c r="Y472" s="757"/>
      <c r="Z472" s="757" t="s">
        <v>55</v>
      </c>
      <c r="AA472" s="757"/>
      <c r="AB472" s="757"/>
      <c r="AC472" s="757"/>
      <c r="AD472" s="757"/>
      <c r="AE472" s="757"/>
      <c r="AF472" s="757">
        <v>166811853</v>
      </c>
      <c r="AG472" s="757">
        <v>166773200</v>
      </c>
      <c r="AH472" s="26">
        <f>+AG472/AF472</f>
        <v>0.99976828385210736</v>
      </c>
      <c r="AI472" s="757" t="s">
        <v>1819</v>
      </c>
      <c r="AJ472" s="757" t="s">
        <v>1820</v>
      </c>
      <c r="AK472" s="757" t="s">
        <v>1821</v>
      </c>
      <c r="AL472" s="757" t="s">
        <v>293</v>
      </c>
      <c r="AM472" s="422">
        <v>0.25</v>
      </c>
    </row>
    <row r="473" spans="1:39" ht="112.5" x14ac:dyDescent="0.25">
      <c r="A473" s="351"/>
      <c r="B473" s="352"/>
      <c r="C473" s="352"/>
      <c r="D473" s="158"/>
      <c r="E473" s="158"/>
      <c r="F473" s="158"/>
      <c r="G473" s="158"/>
      <c r="H473" s="158"/>
      <c r="I473" s="158"/>
      <c r="J473" s="170" t="s">
        <v>1822</v>
      </c>
      <c r="K473" s="452">
        <f>+(0.356*100)/2</f>
        <v>17.8</v>
      </c>
      <c r="L473" s="170" t="s">
        <v>1823</v>
      </c>
      <c r="M473" s="170"/>
      <c r="N473" s="161">
        <v>1</v>
      </c>
      <c r="O473" s="161">
        <v>0</v>
      </c>
      <c r="P473" s="162">
        <f t="shared" si="78"/>
        <v>0</v>
      </c>
      <c r="Q473" s="422" t="s">
        <v>1824</v>
      </c>
      <c r="R473" s="422" t="s">
        <v>135</v>
      </c>
      <c r="S473" s="758"/>
      <c r="T473" s="758"/>
      <c r="U473" s="759"/>
      <c r="V473" s="760"/>
      <c r="W473" s="760"/>
      <c r="X473" s="760"/>
      <c r="Y473" s="760"/>
      <c r="Z473" s="760"/>
      <c r="AA473" s="760"/>
      <c r="AB473" s="760"/>
      <c r="AC473" s="760"/>
      <c r="AD473" s="760"/>
      <c r="AE473" s="760"/>
      <c r="AF473" s="760"/>
      <c r="AG473" s="760"/>
      <c r="AH473" s="567"/>
      <c r="AI473" s="760"/>
      <c r="AJ473" s="760"/>
      <c r="AK473" s="760"/>
      <c r="AL473" s="760"/>
      <c r="AM473" s="161">
        <v>1</v>
      </c>
    </row>
    <row r="474" spans="1:39" ht="90" x14ac:dyDescent="0.25">
      <c r="A474" s="351"/>
      <c r="B474" s="352"/>
      <c r="C474" s="352"/>
      <c r="D474" s="158"/>
      <c r="E474" s="158"/>
      <c r="F474" s="158"/>
      <c r="G474" s="170"/>
      <c r="H474" s="170"/>
      <c r="I474" s="170"/>
      <c r="J474" s="170" t="s">
        <v>1825</v>
      </c>
      <c r="K474" s="452">
        <f>+(0.027*100)/2</f>
        <v>1.35</v>
      </c>
      <c r="L474" s="170" t="s">
        <v>1826</v>
      </c>
      <c r="M474" s="170"/>
      <c r="N474" s="422">
        <v>0.96499999999999997</v>
      </c>
      <c r="O474" s="422">
        <v>0</v>
      </c>
      <c r="P474" s="162">
        <f t="shared" si="78"/>
        <v>0</v>
      </c>
      <c r="Q474" s="422" t="s">
        <v>1827</v>
      </c>
      <c r="R474" s="422" t="s">
        <v>135</v>
      </c>
      <c r="S474" s="761"/>
      <c r="T474" s="761"/>
      <c r="U474" s="460"/>
      <c r="V474" s="762"/>
      <c r="W474" s="762"/>
      <c r="X474" s="762"/>
      <c r="Y474" s="762"/>
      <c r="Z474" s="762"/>
      <c r="AA474" s="762"/>
      <c r="AB474" s="762"/>
      <c r="AC474" s="762"/>
      <c r="AD474" s="762"/>
      <c r="AE474" s="762"/>
      <c r="AF474" s="762"/>
      <c r="AG474" s="762"/>
      <c r="AH474" s="162"/>
      <c r="AI474" s="762"/>
      <c r="AJ474" s="762"/>
      <c r="AK474" s="762"/>
      <c r="AL474" s="762"/>
      <c r="AM474" s="422">
        <v>0.96499999999999997</v>
      </c>
    </row>
    <row r="475" spans="1:39" ht="191.25" x14ac:dyDescent="0.25">
      <c r="A475" s="351"/>
      <c r="B475" s="352"/>
      <c r="C475" s="352"/>
      <c r="D475" s="158"/>
      <c r="E475" s="158"/>
      <c r="F475" s="158"/>
      <c r="G475" s="157" t="s">
        <v>1828</v>
      </c>
      <c r="H475" s="157" t="s">
        <v>1829</v>
      </c>
      <c r="I475" s="157" t="s">
        <v>1830</v>
      </c>
      <c r="J475" s="170" t="s">
        <v>1831</v>
      </c>
      <c r="K475" s="452">
        <f>+(0.269*100)/2</f>
        <v>13.450000000000001</v>
      </c>
      <c r="L475" s="170" t="s">
        <v>1832</v>
      </c>
      <c r="M475" s="170"/>
      <c r="N475" s="170"/>
      <c r="O475" s="170"/>
      <c r="P475" s="292"/>
      <c r="Q475" s="170"/>
      <c r="R475" s="170"/>
      <c r="S475" s="170"/>
      <c r="T475" s="170"/>
      <c r="U475" s="170"/>
      <c r="V475" s="170"/>
      <c r="W475" s="170"/>
      <c r="X475" s="170"/>
      <c r="Y475" s="170"/>
      <c r="Z475" s="170"/>
      <c r="AA475" s="170"/>
      <c r="AB475" s="170"/>
      <c r="AC475" s="170"/>
      <c r="AD475" s="170"/>
      <c r="AE475" s="170"/>
      <c r="AF475" s="170"/>
      <c r="AG475" s="170"/>
      <c r="AH475" s="292"/>
      <c r="AI475" s="170"/>
      <c r="AJ475" s="170"/>
      <c r="AK475" s="170" t="s">
        <v>1821</v>
      </c>
      <c r="AL475" s="763" t="s">
        <v>293</v>
      </c>
      <c r="AM475" s="161">
        <v>3</v>
      </c>
    </row>
    <row r="476" spans="1:39" ht="67.5" x14ac:dyDescent="0.25">
      <c r="A476" s="351"/>
      <c r="B476" s="352"/>
      <c r="C476" s="352"/>
      <c r="D476" s="158"/>
      <c r="E476" s="158"/>
      <c r="F476" s="158"/>
      <c r="G476" s="158"/>
      <c r="H476" s="158"/>
      <c r="I476" s="158"/>
      <c r="J476" s="170" t="s">
        <v>1833</v>
      </c>
      <c r="K476" s="452">
        <f>+(0.294*100)/2</f>
        <v>14.7</v>
      </c>
      <c r="L476" s="170" t="s">
        <v>1834</v>
      </c>
      <c r="M476" s="170"/>
      <c r="N476" s="170"/>
      <c r="O476" s="170"/>
      <c r="P476" s="292"/>
      <c r="Q476" s="170"/>
      <c r="R476" s="170"/>
      <c r="S476" s="170"/>
      <c r="T476" s="170"/>
      <c r="U476" s="170"/>
      <c r="V476" s="170"/>
      <c r="W476" s="170"/>
      <c r="X476" s="170"/>
      <c r="Y476" s="170"/>
      <c r="Z476" s="170"/>
      <c r="AA476" s="170"/>
      <c r="AB476" s="170"/>
      <c r="AC476" s="170"/>
      <c r="AD476" s="170"/>
      <c r="AE476" s="170"/>
      <c r="AF476" s="170"/>
      <c r="AG476" s="170"/>
      <c r="AH476" s="292"/>
      <c r="AI476" s="170"/>
      <c r="AJ476" s="170"/>
      <c r="AK476" s="170" t="s">
        <v>1821</v>
      </c>
      <c r="AL476" s="763" t="s">
        <v>293</v>
      </c>
      <c r="AM476" s="422">
        <v>0.5</v>
      </c>
    </row>
    <row r="477" spans="1:39" ht="56.25" x14ac:dyDescent="0.25">
      <c r="A477" s="351"/>
      <c r="B477" s="352"/>
      <c r="C477" s="352"/>
      <c r="D477" s="158"/>
      <c r="E477" s="158"/>
      <c r="F477" s="158"/>
      <c r="G477" s="158"/>
      <c r="H477" s="158"/>
      <c r="I477" s="158"/>
      <c r="J477" s="170" t="s">
        <v>1835</v>
      </c>
      <c r="K477" s="452">
        <f>+(0.353*100)/2</f>
        <v>17.649999999999999</v>
      </c>
      <c r="L477" s="170" t="s">
        <v>1836</v>
      </c>
      <c r="M477" s="170"/>
      <c r="N477" s="170"/>
      <c r="O477" s="170"/>
      <c r="P477" s="292"/>
      <c r="Q477" s="170"/>
      <c r="R477" s="170"/>
      <c r="S477" s="170"/>
      <c r="T477" s="170"/>
      <c r="U477" s="170"/>
      <c r="V477" s="170"/>
      <c r="W477" s="170"/>
      <c r="X477" s="170"/>
      <c r="Y477" s="170"/>
      <c r="Z477" s="170"/>
      <c r="AA477" s="170"/>
      <c r="AB477" s="170"/>
      <c r="AC477" s="170"/>
      <c r="AD477" s="170"/>
      <c r="AE477" s="170"/>
      <c r="AF477" s="170"/>
      <c r="AG477" s="170"/>
      <c r="AH477" s="292"/>
      <c r="AI477" s="170"/>
      <c r="AJ477" s="170"/>
      <c r="AK477" s="170" t="s">
        <v>1821</v>
      </c>
      <c r="AL477" s="763" t="s">
        <v>293</v>
      </c>
      <c r="AM477" s="422">
        <v>0.2</v>
      </c>
    </row>
    <row r="478" spans="1:39" ht="56.25" x14ac:dyDescent="0.25">
      <c r="A478" s="351"/>
      <c r="B478" s="352"/>
      <c r="C478" s="352"/>
      <c r="D478" s="158"/>
      <c r="E478" s="158"/>
      <c r="F478" s="170"/>
      <c r="G478" s="170"/>
      <c r="H478" s="170"/>
      <c r="I478" s="170"/>
      <c r="J478" s="170" t="s">
        <v>1837</v>
      </c>
      <c r="K478" s="452">
        <f>+(0.027*100)/2</f>
        <v>1.35</v>
      </c>
      <c r="L478" s="170" t="s">
        <v>1838</v>
      </c>
      <c r="M478" s="170"/>
      <c r="N478" s="170"/>
      <c r="O478" s="170"/>
      <c r="P478" s="292"/>
      <c r="Q478" s="170"/>
      <c r="R478" s="170"/>
      <c r="S478" s="170"/>
      <c r="T478" s="170"/>
      <c r="U478" s="170"/>
      <c r="V478" s="170"/>
      <c r="W478" s="170"/>
      <c r="X478" s="170"/>
      <c r="Y478" s="170"/>
      <c r="Z478" s="170"/>
      <c r="AA478" s="170"/>
      <c r="AB478" s="170"/>
      <c r="AC478" s="170"/>
      <c r="AD478" s="170"/>
      <c r="AE478" s="170"/>
      <c r="AF478" s="170"/>
      <c r="AG478" s="170"/>
      <c r="AH478" s="292"/>
      <c r="AI478" s="170"/>
      <c r="AJ478" s="170"/>
      <c r="AK478" s="170" t="s">
        <v>1821</v>
      </c>
      <c r="AL478" s="763" t="s">
        <v>293</v>
      </c>
      <c r="AM478" s="161">
        <v>0</v>
      </c>
    </row>
    <row r="479" spans="1:39" ht="33.75" x14ac:dyDescent="0.25">
      <c r="A479" s="351"/>
      <c r="B479" s="352"/>
      <c r="C479" s="352"/>
      <c r="D479" s="158"/>
      <c r="E479" s="158"/>
      <c r="F479" s="110" t="s">
        <v>158</v>
      </c>
      <c r="G479" s="201"/>
      <c r="H479" s="201"/>
      <c r="I479" s="201"/>
      <c r="J479" s="292"/>
      <c r="K479" s="636">
        <f>SUM(K472:K478)</f>
        <v>100</v>
      </c>
      <c r="L479" s="292"/>
      <c r="M479" s="292"/>
      <c r="N479" s="292"/>
      <c r="O479" s="292"/>
      <c r="P479" s="292"/>
      <c r="Q479" s="292"/>
      <c r="R479" s="292"/>
      <c r="S479" s="292"/>
      <c r="T479" s="292"/>
      <c r="U479" s="292"/>
      <c r="V479" s="292"/>
      <c r="W479" s="292"/>
      <c r="X479" s="292"/>
      <c r="Y479" s="292"/>
      <c r="Z479" s="292"/>
      <c r="AA479" s="292"/>
      <c r="AB479" s="292"/>
      <c r="AC479" s="292"/>
      <c r="AD479" s="292"/>
      <c r="AE479" s="292"/>
      <c r="AF479" s="292"/>
      <c r="AG479" s="292"/>
      <c r="AH479" s="292"/>
      <c r="AI479" s="292"/>
      <c r="AJ479" s="292"/>
      <c r="AK479" s="292"/>
      <c r="AL479" s="764"/>
      <c r="AM479" s="292"/>
    </row>
    <row r="480" spans="1:39" ht="45" x14ac:dyDescent="0.25">
      <c r="A480" s="351"/>
      <c r="B480" s="352"/>
      <c r="C480" s="352"/>
      <c r="D480" s="158"/>
      <c r="E480" s="158"/>
      <c r="F480" s="157" t="s">
        <v>1839</v>
      </c>
      <c r="G480" s="158"/>
      <c r="H480" s="158"/>
      <c r="I480" s="158"/>
      <c r="J480" s="170" t="s">
        <v>1840</v>
      </c>
      <c r="K480" s="452">
        <f>+(0.302*100)/1</f>
        <v>30.2</v>
      </c>
      <c r="L480" s="170" t="s">
        <v>1841</v>
      </c>
      <c r="M480" s="170"/>
      <c r="N480" s="170"/>
      <c r="O480" s="170"/>
      <c r="P480" s="292"/>
      <c r="Q480" s="170"/>
      <c r="R480" s="170"/>
      <c r="S480" s="170"/>
      <c r="T480" s="170"/>
      <c r="U480" s="170"/>
      <c r="V480" s="170"/>
      <c r="W480" s="170"/>
      <c r="X480" s="170"/>
      <c r="Y480" s="170"/>
      <c r="Z480" s="170"/>
      <c r="AA480" s="170"/>
      <c r="AB480" s="170"/>
      <c r="AC480" s="170"/>
      <c r="AD480" s="170"/>
      <c r="AE480" s="170"/>
      <c r="AF480" s="170"/>
      <c r="AG480" s="170"/>
      <c r="AH480" s="292"/>
      <c r="AI480" s="170"/>
      <c r="AJ480" s="170"/>
      <c r="AK480" s="170" t="s">
        <v>1363</v>
      </c>
      <c r="AL480" s="763" t="s">
        <v>293</v>
      </c>
      <c r="AM480" s="422">
        <v>0.25</v>
      </c>
    </row>
    <row r="481" spans="1:39" ht="67.5" x14ac:dyDescent="0.25">
      <c r="A481" s="351"/>
      <c r="B481" s="352"/>
      <c r="C481" s="352"/>
      <c r="D481" s="158"/>
      <c r="E481" s="158"/>
      <c r="F481" s="158"/>
      <c r="G481" s="158"/>
      <c r="H481" s="158"/>
      <c r="I481" s="158"/>
      <c r="J481" s="170" t="s">
        <v>1842</v>
      </c>
      <c r="K481" s="452">
        <f>+(0.012*100)/1</f>
        <v>1.2</v>
      </c>
      <c r="L481" s="170" t="s">
        <v>1843</v>
      </c>
      <c r="M481" s="170"/>
      <c r="N481" s="170"/>
      <c r="O481" s="170"/>
      <c r="P481" s="292"/>
      <c r="Q481" s="170"/>
      <c r="R481" s="170"/>
      <c r="S481" s="170"/>
      <c r="T481" s="170"/>
      <c r="U481" s="170"/>
      <c r="V481" s="170"/>
      <c r="W481" s="170"/>
      <c r="X481" s="170"/>
      <c r="Y481" s="170"/>
      <c r="Z481" s="170"/>
      <c r="AA481" s="170"/>
      <c r="AB481" s="170"/>
      <c r="AC481" s="170"/>
      <c r="AD481" s="170"/>
      <c r="AE481" s="170"/>
      <c r="AF481" s="170"/>
      <c r="AG481" s="170"/>
      <c r="AH481" s="292"/>
      <c r="AI481" s="170"/>
      <c r="AJ481" s="170"/>
      <c r="AK481" s="170" t="s">
        <v>1363</v>
      </c>
      <c r="AL481" s="763" t="s">
        <v>293</v>
      </c>
      <c r="AM481" s="161">
        <v>1</v>
      </c>
    </row>
    <row r="482" spans="1:39" ht="67.5" x14ac:dyDescent="0.25">
      <c r="A482" s="351"/>
      <c r="B482" s="352"/>
      <c r="C482" s="352"/>
      <c r="D482" s="158"/>
      <c r="E482" s="158"/>
      <c r="F482" s="158"/>
      <c r="G482" s="158"/>
      <c r="H482" s="158"/>
      <c r="I482" s="158"/>
      <c r="J482" s="170" t="s">
        <v>1844</v>
      </c>
      <c r="K482" s="452">
        <f>+(0.12*100)/1</f>
        <v>12</v>
      </c>
      <c r="L482" s="170" t="s">
        <v>1832</v>
      </c>
      <c r="M482" s="170"/>
      <c r="N482" s="170"/>
      <c r="O482" s="170"/>
      <c r="P482" s="292"/>
      <c r="Q482" s="170"/>
      <c r="R482" s="170"/>
      <c r="S482" s="170"/>
      <c r="T482" s="170"/>
      <c r="U482" s="170"/>
      <c r="V482" s="170"/>
      <c r="W482" s="170"/>
      <c r="X482" s="170"/>
      <c r="Y482" s="170"/>
      <c r="Z482" s="170"/>
      <c r="AA482" s="170"/>
      <c r="AB482" s="170"/>
      <c r="AC482" s="170"/>
      <c r="AD482" s="170"/>
      <c r="AE482" s="170"/>
      <c r="AF482" s="170"/>
      <c r="AG482" s="170"/>
      <c r="AH482" s="292"/>
      <c r="AI482" s="170"/>
      <c r="AJ482" s="170"/>
      <c r="AK482" s="170" t="s">
        <v>1363</v>
      </c>
      <c r="AL482" s="763" t="s">
        <v>293</v>
      </c>
      <c r="AM482" s="161">
        <v>4</v>
      </c>
    </row>
    <row r="483" spans="1:39" ht="56.25" x14ac:dyDescent="0.25">
      <c r="A483" s="351"/>
      <c r="B483" s="352"/>
      <c r="C483" s="352"/>
      <c r="D483" s="158"/>
      <c r="E483" s="158"/>
      <c r="F483" s="158"/>
      <c r="G483" s="158"/>
      <c r="H483" s="158"/>
      <c r="I483" s="158"/>
      <c r="J483" s="170" t="s">
        <v>1845</v>
      </c>
      <c r="K483" s="452">
        <f>+(0.024*100)/1</f>
        <v>2.4</v>
      </c>
      <c r="L483" s="170" t="s">
        <v>1846</v>
      </c>
      <c r="M483" s="170"/>
      <c r="N483" s="170"/>
      <c r="O483" s="170"/>
      <c r="P483" s="292"/>
      <c r="Q483" s="170"/>
      <c r="R483" s="170"/>
      <c r="S483" s="170"/>
      <c r="T483" s="170"/>
      <c r="U483" s="170"/>
      <c r="V483" s="170"/>
      <c r="W483" s="170"/>
      <c r="X483" s="170"/>
      <c r="Y483" s="170"/>
      <c r="Z483" s="170"/>
      <c r="AA483" s="170"/>
      <c r="AB483" s="170"/>
      <c r="AC483" s="170"/>
      <c r="AD483" s="170"/>
      <c r="AE483" s="170"/>
      <c r="AF483" s="170"/>
      <c r="AG483" s="170"/>
      <c r="AH483" s="292"/>
      <c r="AI483" s="170"/>
      <c r="AJ483" s="170"/>
      <c r="AK483" s="170" t="s">
        <v>1363</v>
      </c>
      <c r="AL483" s="763" t="s">
        <v>293</v>
      </c>
      <c r="AM483" s="161">
        <v>0</v>
      </c>
    </row>
    <row r="484" spans="1:39" ht="123.75" x14ac:dyDescent="0.25">
      <c r="A484" s="351"/>
      <c r="B484" s="352"/>
      <c r="C484" s="352"/>
      <c r="D484" s="158"/>
      <c r="E484" s="158"/>
      <c r="F484" s="158"/>
      <c r="G484" s="158" t="s">
        <v>1847</v>
      </c>
      <c r="H484" s="158" t="s">
        <v>1848</v>
      </c>
      <c r="I484" s="158" t="s">
        <v>1849</v>
      </c>
      <c r="J484" s="170" t="s">
        <v>1850</v>
      </c>
      <c r="K484" s="452">
        <f>+(0.241*100)/1</f>
        <v>24.099999999999998</v>
      </c>
      <c r="L484" s="170" t="s">
        <v>1851</v>
      </c>
      <c r="M484" s="170"/>
      <c r="N484" s="161">
        <v>1</v>
      </c>
      <c r="O484" s="161">
        <v>1</v>
      </c>
      <c r="P484" s="162">
        <f>+O484/N484</f>
        <v>1</v>
      </c>
      <c r="Q484" s="161" t="s">
        <v>1852</v>
      </c>
      <c r="R484" s="161" t="s">
        <v>321</v>
      </c>
      <c r="S484" s="157" t="s">
        <v>1853</v>
      </c>
      <c r="T484" s="157" t="s">
        <v>180</v>
      </c>
      <c r="U484" s="392">
        <v>100000000</v>
      </c>
      <c r="V484" s="392">
        <v>100000000</v>
      </c>
      <c r="W484" s="392"/>
      <c r="X484" s="392"/>
      <c r="Y484" s="392"/>
      <c r="Z484" s="392" t="s">
        <v>55</v>
      </c>
      <c r="AA484" s="392"/>
      <c r="AB484" s="392"/>
      <c r="AC484" s="392"/>
      <c r="AD484" s="392"/>
      <c r="AE484" s="392"/>
      <c r="AF484" s="392">
        <v>100000000</v>
      </c>
      <c r="AG484" s="392">
        <v>99999888</v>
      </c>
      <c r="AH484" s="162">
        <f>+AG484/AF484</f>
        <v>0.99999888000000003</v>
      </c>
      <c r="AI484" s="392" t="s">
        <v>1854</v>
      </c>
      <c r="AJ484" s="392" t="s">
        <v>1855</v>
      </c>
      <c r="AK484" s="392" t="s">
        <v>1363</v>
      </c>
      <c r="AL484" s="392" t="s">
        <v>293</v>
      </c>
      <c r="AM484" s="161">
        <v>1</v>
      </c>
    </row>
    <row r="485" spans="1:39" ht="101.25" x14ac:dyDescent="0.25">
      <c r="A485" s="351"/>
      <c r="B485" s="352"/>
      <c r="C485" s="352"/>
      <c r="D485" s="158"/>
      <c r="E485" s="158"/>
      <c r="F485" s="158"/>
      <c r="G485" s="158"/>
      <c r="H485" s="158"/>
      <c r="I485" s="158"/>
      <c r="J485" s="170" t="s">
        <v>1856</v>
      </c>
      <c r="K485" s="452">
        <f>+(0.06*100)/1</f>
        <v>6</v>
      </c>
      <c r="L485" s="170" t="s">
        <v>1857</v>
      </c>
      <c r="M485" s="170"/>
      <c r="N485" s="161">
        <v>2</v>
      </c>
      <c r="O485" s="161">
        <v>2</v>
      </c>
      <c r="P485" s="162">
        <f t="shared" ref="P485:P486" si="79">+O485/N485</f>
        <v>1</v>
      </c>
      <c r="Q485" s="161" t="s">
        <v>1858</v>
      </c>
      <c r="R485" s="161" t="s">
        <v>1859</v>
      </c>
      <c r="S485" s="158"/>
      <c r="T485" s="158"/>
      <c r="U485" s="765"/>
      <c r="V485" s="396"/>
      <c r="W485" s="396"/>
      <c r="X485" s="396"/>
      <c r="Y485" s="396"/>
      <c r="Z485" s="396"/>
      <c r="AA485" s="396"/>
      <c r="AB485" s="396"/>
      <c r="AC485" s="396"/>
      <c r="AD485" s="396"/>
      <c r="AE485" s="396"/>
      <c r="AF485" s="396"/>
      <c r="AG485" s="396"/>
      <c r="AH485" s="408"/>
      <c r="AI485" s="396"/>
      <c r="AJ485" s="396"/>
      <c r="AK485" s="396"/>
      <c r="AL485" s="396"/>
      <c r="AM485" s="161">
        <v>2</v>
      </c>
    </row>
    <row r="486" spans="1:39" ht="90" x14ac:dyDescent="0.25">
      <c r="A486" s="351"/>
      <c r="B486" s="352"/>
      <c r="C486" s="352"/>
      <c r="D486" s="158"/>
      <c r="E486" s="158"/>
      <c r="F486" s="158"/>
      <c r="G486" s="158"/>
      <c r="H486" s="158"/>
      <c r="I486" s="158"/>
      <c r="J486" s="170" t="s">
        <v>1860</v>
      </c>
      <c r="K486" s="452">
        <f>+(0.241*100)/1</f>
        <v>24.099999999999998</v>
      </c>
      <c r="L486" s="158" t="s">
        <v>1861</v>
      </c>
      <c r="M486" s="158"/>
      <c r="N486" s="161">
        <v>1</v>
      </c>
      <c r="O486" s="400">
        <v>1</v>
      </c>
      <c r="P486" s="162">
        <f t="shared" si="79"/>
        <v>1</v>
      </c>
      <c r="Q486" s="400" t="s">
        <v>1862</v>
      </c>
      <c r="R486" s="400" t="s">
        <v>669</v>
      </c>
      <c r="S486" s="170"/>
      <c r="T486" s="170"/>
      <c r="U486" s="190"/>
      <c r="V486" s="397"/>
      <c r="W486" s="397"/>
      <c r="X486" s="397"/>
      <c r="Y486" s="397"/>
      <c r="Z486" s="397"/>
      <c r="AA486" s="397"/>
      <c r="AB486" s="397"/>
      <c r="AC486" s="397"/>
      <c r="AD486" s="397"/>
      <c r="AE486" s="397"/>
      <c r="AF486" s="397"/>
      <c r="AG486" s="397"/>
      <c r="AH486" s="229"/>
      <c r="AI486" s="397"/>
      <c r="AJ486" s="397"/>
      <c r="AK486" s="397"/>
      <c r="AL486" s="397"/>
      <c r="AM486" s="161">
        <v>1</v>
      </c>
    </row>
    <row r="487" spans="1:39" ht="33.75" x14ac:dyDescent="0.25">
      <c r="A487" s="351"/>
      <c r="B487" s="352"/>
      <c r="C487" s="352"/>
      <c r="D487" s="158"/>
      <c r="E487" s="158"/>
      <c r="F487" s="110" t="s">
        <v>158</v>
      </c>
      <c r="G487" s="110"/>
      <c r="H487" s="110"/>
      <c r="I487" s="110"/>
      <c r="J487" s="143"/>
      <c r="K487" s="766">
        <f>SUM(K480:K486)</f>
        <v>99.999999999999986</v>
      </c>
      <c r="L487" s="143"/>
      <c r="M487" s="143"/>
      <c r="N487" s="143"/>
      <c r="O487" s="143"/>
      <c r="P487" s="143"/>
      <c r="Q487" s="143"/>
      <c r="R487" s="143"/>
      <c r="S487" s="143"/>
      <c r="T487" s="143"/>
      <c r="U487" s="143"/>
      <c r="V487" s="143"/>
      <c r="W487" s="143"/>
      <c r="X487" s="143"/>
      <c r="Y487" s="143"/>
      <c r="Z487" s="143"/>
      <c r="AA487" s="143"/>
      <c r="AB487" s="143"/>
      <c r="AC487" s="143"/>
      <c r="AD487" s="143"/>
      <c r="AE487" s="143"/>
      <c r="AF487" s="143"/>
      <c r="AG487" s="143"/>
      <c r="AH487" s="143"/>
      <c r="AI487" s="143"/>
      <c r="AJ487" s="143"/>
      <c r="AK487" s="143"/>
      <c r="AL487" s="146"/>
      <c r="AM487" s="144"/>
    </row>
    <row r="488" spans="1:39" ht="56.25" x14ac:dyDescent="0.25">
      <c r="A488" s="351"/>
      <c r="B488" s="352"/>
      <c r="C488" s="352"/>
      <c r="D488" s="158"/>
      <c r="E488" s="158"/>
      <c r="F488" s="157" t="s">
        <v>1863</v>
      </c>
      <c r="G488" s="158"/>
      <c r="H488" s="158"/>
      <c r="I488" s="158"/>
      <c r="J488" s="173" t="s">
        <v>1864</v>
      </c>
      <c r="K488" s="452">
        <f>+(0.093*100)/1</f>
        <v>9.3000000000000007</v>
      </c>
      <c r="L488" s="173" t="s">
        <v>1865</v>
      </c>
      <c r="M488" s="173"/>
      <c r="N488" s="173"/>
      <c r="O488" s="173"/>
      <c r="P488" s="143"/>
      <c r="Q488" s="173"/>
      <c r="R488" s="173"/>
      <c r="S488" s="173"/>
      <c r="T488" s="173"/>
      <c r="U488" s="173"/>
      <c r="V488" s="173"/>
      <c r="W488" s="173"/>
      <c r="X488" s="173"/>
      <c r="Y488" s="173"/>
      <c r="Z488" s="173"/>
      <c r="AA488" s="173"/>
      <c r="AB488" s="173"/>
      <c r="AC488" s="173"/>
      <c r="AD488" s="173"/>
      <c r="AE488" s="173"/>
      <c r="AF488" s="173"/>
      <c r="AG488" s="173"/>
      <c r="AH488" s="143"/>
      <c r="AI488" s="173"/>
      <c r="AJ488" s="173"/>
      <c r="AK488" s="173" t="s">
        <v>1363</v>
      </c>
      <c r="AL488" s="168" t="s">
        <v>293</v>
      </c>
      <c r="AM488" s="165">
        <v>100</v>
      </c>
    </row>
    <row r="489" spans="1:39" ht="135" x14ac:dyDescent="0.25">
      <c r="A489" s="351"/>
      <c r="B489" s="352"/>
      <c r="C489" s="352"/>
      <c r="D489" s="158"/>
      <c r="E489" s="158"/>
      <c r="F489" s="158"/>
      <c r="G489" s="158" t="s">
        <v>1866</v>
      </c>
      <c r="H489" s="157" t="s">
        <v>1867</v>
      </c>
      <c r="I489" s="157" t="s">
        <v>1868</v>
      </c>
      <c r="J489" s="173" t="s">
        <v>1869</v>
      </c>
      <c r="K489" s="452">
        <f>+(0.652*100)/1</f>
        <v>65.2</v>
      </c>
      <c r="L489" s="173" t="s">
        <v>1870</v>
      </c>
      <c r="M489" s="173"/>
      <c r="N489" s="386">
        <v>0.25</v>
      </c>
      <c r="O489" s="386">
        <v>0</v>
      </c>
      <c r="P489" s="162">
        <f t="shared" ref="P489:P494" si="80">+O489/N489</f>
        <v>0</v>
      </c>
      <c r="Q489" s="386" t="s">
        <v>1871</v>
      </c>
      <c r="R489" s="386" t="s">
        <v>1872</v>
      </c>
      <c r="S489" s="404" t="s">
        <v>1873</v>
      </c>
      <c r="T489" s="404" t="s">
        <v>417</v>
      </c>
      <c r="U489" s="767">
        <v>120000000</v>
      </c>
      <c r="V489" s="767">
        <v>120000000</v>
      </c>
      <c r="W489" s="404" t="s">
        <v>55</v>
      </c>
      <c r="X489" s="404"/>
      <c r="Y489" s="404"/>
      <c r="Z489" s="404"/>
      <c r="AA489" s="404"/>
      <c r="AB489" s="404"/>
      <c r="AC489" s="404"/>
      <c r="AD489" s="404"/>
      <c r="AE489" s="404"/>
      <c r="AF489" s="767">
        <v>120000000</v>
      </c>
      <c r="AG489" s="767">
        <v>120000000</v>
      </c>
      <c r="AH489" s="26">
        <f>+AG489/AF489</f>
        <v>1</v>
      </c>
      <c r="AI489" s="404" t="s">
        <v>1874</v>
      </c>
      <c r="AJ489" s="404" t="s">
        <v>1875</v>
      </c>
      <c r="AK489" s="404" t="s">
        <v>1363</v>
      </c>
      <c r="AL489" s="404" t="s">
        <v>293</v>
      </c>
      <c r="AM489" s="386">
        <v>0.25</v>
      </c>
    </row>
    <row r="490" spans="1:39" ht="45" x14ac:dyDescent="0.25">
      <c r="A490" s="351"/>
      <c r="B490" s="352"/>
      <c r="C490" s="352"/>
      <c r="D490" s="158"/>
      <c r="E490" s="158"/>
      <c r="F490" s="158"/>
      <c r="G490" s="158"/>
      <c r="H490" s="158"/>
      <c r="I490" s="158"/>
      <c r="J490" s="173" t="s">
        <v>1876</v>
      </c>
      <c r="K490" s="452">
        <f>+(0.019*100)/1</f>
        <v>1.9</v>
      </c>
      <c r="L490" s="173" t="s">
        <v>1877</v>
      </c>
      <c r="M490" s="173"/>
      <c r="N490" s="165">
        <v>1</v>
      </c>
      <c r="O490" s="165">
        <v>0</v>
      </c>
      <c r="P490" s="162">
        <f t="shared" si="80"/>
        <v>0</v>
      </c>
      <c r="Q490" s="165" t="s">
        <v>1878</v>
      </c>
      <c r="R490" s="165" t="s">
        <v>1879</v>
      </c>
      <c r="S490" s="173"/>
      <c r="T490" s="173"/>
      <c r="U490" s="173"/>
      <c r="V490" s="173"/>
      <c r="W490" s="173"/>
      <c r="X490" s="173"/>
      <c r="Y490" s="173"/>
      <c r="Z490" s="173"/>
      <c r="AA490" s="173"/>
      <c r="AB490" s="173"/>
      <c r="AC490" s="173"/>
      <c r="AD490" s="173"/>
      <c r="AE490" s="173"/>
      <c r="AF490" s="173"/>
      <c r="AG490" s="173"/>
      <c r="AH490" s="143"/>
      <c r="AI490" s="173"/>
      <c r="AJ490" s="173"/>
      <c r="AK490" s="173" t="s">
        <v>1363</v>
      </c>
      <c r="AL490" s="168" t="s">
        <v>293</v>
      </c>
      <c r="AM490" s="165">
        <v>0</v>
      </c>
    </row>
    <row r="491" spans="1:39" ht="45" x14ac:dyDescent="0.25">
      <c r="A491" s="351"/>
      <c r="B491" s="352"/>
      <c r="C491" s="352"/>
      <c r="D491" s="158"/>
      <c r="E491" s="158"/>
      <c r="F491" s="158"/>
      <c r="G491" s="158"/>
      <c r="H491" s="158"/>
      <c r="I491" s="158"/>
      <c r="J491" s="173" t="s">
        <v>1880</v>
      </c>
      <c r="K491" s="452">
        <f>+(0.073*100)/1</f>
        <v>7.3</v>
      </c>
      <c r="L491" s="173" t="s">
        <v>1881</v>
      </c>
      <c r="M491" s="173"/>
      <c r="N491" s="165">
        <v>1</v>
      </c>
      <c r="O491" s="165">
        <v>0</v>
      </c>
      <c r="P491" s="119">
        <f t="shared" si="80"/>
        <v>0</v>
      </c>
      <c r="Q491" s="173"/>
      <c r="R491" s="173"/>
      <c r="S491" s="173"/>
      <c r="T491" s="173"/>
      <c r="U491" s="173"/>
      <c r="V491" s="173"/>
      <c r="W491" s="173"/>
      <c r="X491" s="173"/>
      <c r="Y491" s="173"/>
      <c r="Z491" s="173"/>
      <c r="AA491" s="173"/>
      <c r="AB491" s="173"/>
      <c r="AC491" s="173"/>
      <c r="AD491" s="173"/>
      <c r="AE491" s="173"/>
      <c r="AF491" s="173"/>
      <c r="AG491" s="173"/>
      <c r="AH491" s="143"/>
      <c r="AI491" s="173"/>
      <c r="AJ491" s="173"/>
      <c r="AK491" s="173" t="s">
        <v>1363</v>
      </c>
      <c r="AL491" s="168" t="s">
        <v>293</v>
      </c>
      <c r="AM491" s="165">
        <v>1</v>
      </c>
    </row>
    <row r="492" spans="1:39" ht="90" x14ac:dyDescent="0.25">
      <c r="A492" s="351"/>
      <c r="B492" s="352"/>
      <c r="C492" s="352"/>
      <c r="D492" s="158"/>
      <c r="E492" s="158"/>
      <c r="F492" s="158"/>
      <c r="G492" s="158"/>
      <c r="H492" s="158"/>
      <c r="I492" s="158"/>
      <c r="J492" s="173" t="s">
        <v>1882</v>
      </c>
      <c r="K492" s="452">
        <f>+(0.089*100)/1</f>
        <v>8.9</v>
      </c>
      <c r="L492" s="173" t="s">
        <v>1883</v>
      </c>
      <c r="M492" s="173"/>
      <c r="N492" s="165">
        <v>1</v>
      </c>
      <c r="O492" s="165">
        <v>0</v>
      </c>
      <c r="P492" s="162">
        <f t="shared" si="80"/>
        <v>0</v>
      </c>
      <c r="Q492" s="165" t="s">
        <v>1884</v>
      </c>
      <c r="R492" s="165" t="s">
        <v>321</v>
      </c>
      <c r="S492" s="173"/>
      <c r="T492" s="173"/>
      <c r="U492" s="173"/>
      <c r="V492" s="173"/>
      <c r="W492" s="173"/>
      <c r="X492" s="173"/>
      <c r="Y492" s="173"/>
      <c r="Z492" s="173"/>
      <c r="AA492" s="173"/>
      <c r="AB492" s="173"/>
      <c r="AC492" s="173"/>
      <c r="AD492" s="173"/>
      <c r="AE492" s="173"/>
      <c r="AF492" s="173"/>
      <c r="AG492" s="173"/>
      <c r="AH492" s="143"/>
      <c r="AI492" s="173"/>
      <c r="AJ492" s="173"/>
      <c r="AK492" s="173" t="s">
        <v>1363</v>
      </c>
      <c r="AL492" s="168" t="s">
        <v>293</v>
      </c>
      <c r="AM492" s="165">
        <v>1</v>
      </c>
    </row>
    <row r="493" spans="1:39" ht="78.75" x14ac:dyDescent="0.25">
      <c r="A493" s="351"/>
      <c r="B493" s="352"/>
      <c r="C493" s="352"/>
      <c r="D493" s="158"/>
      <c r="E493" s="158"/>
      <c r="F493" s="158"/>
      <c r="G493" s="157" t="s">
        <v>1885</v>
      </c>
      <c r="H493" s="157" t="s">
        <v>1886</v>
      </c>
      <c r="I493" s="157" t="s">
        <v>1887</v>
      </c>
      <c r="J493" s="173" t="s">
        <v>1888</v>
      </c>
      <c r="K493" s="452">
        <f>+(0.055*100)/1</f>
        <v>5.5</v>
      </c>
      <c r="L493" s="173" t="s">
        <v>1889</v>
      </c>
      <c r="M493" s="173"/>
      <c r="N493" s="386">
        <v>1</v>
      </c>
      <c r="O493" s="386">
        <v>0</v>
      </c>
      <c r="P493" s="119">
        <f t="shared" si="80"/>
        <v>0</v>
      </c>
      <c r="Q493" s="757" t="s">
        <v>1890</v>
      </c>
      <c r="R493" s="757" t="s">
        <v>1891</v>
      </c>
      <c r="S493" s="757" t="s">
        <v>1892</v>
      </c>
      <c r="T493" s="757" t="s">
        <v>1893</v>
      </c>
      <c r="U493" s="757">
        <v>100000000</v>
      </c>
      <c r="V493" s="757">
        <v>100000000</v>
      </c>
      <c r="W493" s="757" t="s">
        <v>55</v>
      </c>
      <c r="X493" s="757"/>
      <c r="Y493" s="757"/>
      <c r="Z493" s="757"/>
      <c r="AA493" s="757"/>
      <c r="AB493" s="757"/>
      <c r="AC493" s="757"/>
      <c r="AD493" s="757"/>
      <c r="AE493" s="757"/>
      <c r="AF493" s="768">
        <v>100000000</v>
      </c>
      <c r="AG493" s="768">
        <v>0</v>
      </c>
      <c r="AH493" s="26">
        <f>+AG493/AF493</f>
        <v>0</v>
      </c>
      <c r="AI493" s="757"/>
      <c r="AJ493" s="757" t="s">
        <v>1894</v>
      </c>
      <c r="AK493" s="757" t="s">
        <v>1363</v>
      </c>
      <c r="AL493" s="757" t="s">
        <v>293</v>
      </c>
      <c r="AM493" s="386">
        <v>1</v>
      </c>
    </row>
    <row r="494" spans="1:39" ht="67.5" x14ac:dyDescent="0.25">
      <c r="A494" s="351"/>
      <c r="B494" s="352"/>
      <c r="C494" s="352"/>
      <c r="D494" s="170"/>
      <c r="E494" s="170"/>
      <c r="F494" s="170"/>
      <c r="G494" s="170"/>
      <c r="H494" s="170"/>
      <c r="I494" s="170"/>
      <c r="J494" s="173" t="s">
        <v>1895</v>
      </c>
      <c r="K494" s="452">
        <f>+(0.019*100)/1</f>
        <v>1.9</v>
      </c>
      <c r="L494" s="173" t="s">
        <v>1843</v>
      </c>
      <c r="M494" s="173"/>
      <c r="N494" s="165">
        <v>1</v>
      </c>
      <c r="O494" s="165">
        <v>0</v>
      </c>
      <c r="P494" s="119">
        <f t="shared" si="80"/>
        <v>0</v>
      </c>
      <c r="Q494" s="173"/>
      <c r="R494" s="173"/>
      <c r="S494" s="173"/>
      <c r="T494" s="173"/>
      <c r="U494" s="173"/>
      <c r="V494" s="173"/>
      <c r="W494" s="173"/>
      <c r="X494" s="173"/>
      <c r="Y494" s="173"/>
      <c r="Z494" s="173"/>
      <c r="AA494" s="173"/>
      <c r="AB494" s="173"/>
      <c r="AC494" s="173"/>
      <c r="AD494" s="173"/>
      <c r="AE494" s="173"/>
      <c r="AF494" s="173"/>
      <c r="AG494" s="173"/>
      <c r="AH494" s="143"/>
      <c r="AI494" s="173"/>
      <c r="AJ494" s="173"/>
      <c r="AK494" s="173" t="s">
        <v>1363</v>
      </c>
      <c r="AL494" s="168" t="s">
        <v>293</v>
      </c>
      <c r="AM494" s="165">
        <v>0</v>
      </c>
    </row>
    <row r="495" spans="1:39" ht="33.75" x14ac:dyDescent="0.25">
      <c r="A495" s="351"/>
      <c r="B495" s="352"/>
      <c r="C495" s="352"/>
      <c r="D495" s="142" t="s">
        <v>1038</v>
      </c>
      <c r="E495" s="142"/>
      <c r="F495" s="110" t="s">
        <v>158</v>
      </c>
      <c r="G495" s="110"/>
      <c r="H495" s="110"/>
      <c r="I495" s="110"/>
      <c r="J495" s="112"/>
      <c r="K495" s="262">
        <f>SUM(K488:K494)</f>
        <v>100.00000000000001</v>
      </c>
      <c r="L495" s="112"/>
      <c r="M495" s="112"/>
      <c r="N495" s="112"/>
      <c r="O495" s="112"/>
      <c r="P495" s="112"/>
      <c r="Q495" s="112"/>
      <c r="R495" s="112"/>
      <c r="S495" s="112"/>
      <c r="T495" s="112"/>
      <c r="U495" s="112"/>
      <c r="V495" s="112"/>
      <c r="W495" s="112"/>
      <c r="X495" s="112"/>
      <c r="Y495" s="112"/>
      <c r="Z495" s="112"/>
      <c r="AA495" s="112"/>
      <c r="AB495" s="112"/>
      <c r="AC495" s="112"/>
      <c r="AD495" s="112"/>
      <c r="AE495" s="112"/>
      <c r="AF495" s="112"/>
      <c r="AG495" s="112"/>
      <c r="AH495" s="112"/>
      <c r="AI495" s="112"/>
      <c r="AJ495" s="112"/>
      <c r="AK495" s="112"/>
      <c r="AL495" s="146"/>
      <c r="AM495" s="237"/>
    </row>
    <row r="496" spans="1:39" ht="22.5" x14ac:dyDescent="0.25">
      <c r="A496" s="351"/>
      <c r="B496" s="352"/>
      <c r="C496" s="352"/>
      <c r="D496" s="279" t="s">
        <v>376</v>
      </c>
      <c r="E496" s="279"/>
      <c r="F496" s="280"/>
      <c r="G496" s="280"/>
      <c r="H496" s="280"/>
      <c r="I496" s="280"/>
      <c r="J496" s="280"/>
      <c r="K496" s="769"/>
      <c r="L496" s="280"/>
      <c r="M496" s="280"/>
      <c r="N496" s="280"/>
      <c r="O496" s="280"/>
      <c r="P496" s="143"/>
      <c r="Q496" s="280"/>
      <c r="R496" s="280"/>
      <c r="S496" s="280"/>
      <c r="T496" s="280"/>
      <c r="U496" s="280"/>
      <c r="V496" s="280"/>
      <c r="W496" s="280"/>
      <c r="X496" s="280"/>
      <c r="Y496" s="280"/>
      <c r="Z496" s="280"/>
      <c r="AA496" s="280"/>
      <c r="AB496" s="280"/>
      <c r="AC496" s="280"/>
      <c r="AD496" s="280"/>
      <c r="AE496" s="280"/>
      <c r="AF496" s="280"/>
      <c r="AG496" s="280"/>
      <c r="AH496" s="143"/>
      <c r="AI496" s="280"/>
      <c r="AJ496" s="280"/>
      <c r="AK496" s="280"/>
      <c r="AL496" s="282"/>
      <c r="AM496" s="280"/>
    </row>
    <row r="497" spans="1:39" ht="78.75" x14ac:dyDescent="0.25">
      <c r="A497" s="351"/>
      <c r="B497" s="352"/>
      <c r="C497" s="352"/>
      <c r="D497" s="205" t="s">
        <v>1896</v>
      </c>
      <c r="E497" s="223"/>
      <c r="F497" s="770" t="s">
        <v>1897</v>
      </c>
      <c r="G497" s="771" t="s">
        <v>1898</v>
      </c>
      <c r="H497" s="772" t="s">
        <v>1899</v>
      </c>
      <c r="I497" s="772" t="s">
        <v>1900</v>
      </c>
      <c r="J497" s="773" t="s">
        <v>1901</v>
      </c>
      <c r="K497" s="774">
        <f>+(0.5*100)/0.5</f>
        <v>100</v>
      </c>
      <c r="L497" s="774" t="s">
        <v>1902</v>
      </c>
      <c r="M497" s="774"/>
      <c r="N497" s="775">
        <v>22.5</v>
      </c>
      <c r="O497" s="775">
        <v>22.5</v>
      </c>
      <c r="P497" s="55">
        <f>+O497/N497</f>
        <v>1</v>
      </c>
      <c r="Q497" s="324" t="s">
        <v>1903</v>
      </c>
      <c r="R497" s="324" t="s">
        <v>1904</v>
      </c>
      <c r="S497" s="776" t="s">
        <v>1905</v>
      </c>
      <c r="T497" s="776" t="s">
        <v>89</v>
      </c>
      <c r="U497" s="777">
        <v>3559518000</v>
      </c>
      <c r="V497" s="777">
        <v>3559518000</v>
      </c>
      <c r="W497" s="777"/>
      <c r="X497" s="777"/>
      <c r="Y497" s="777"/>
      <c r="Z497" s="777" t="s">
        <v>55</v>
      </c>
      <c r="AA497" s="777"/>
      <c r="AB497" s="777"/>
      <c r="AC497" s="777"/>
      <c r="AD497" s="777"/>
      <c r="AE497" s="777"/>
      <c r="AF497" s="777">
        <f>+V497</f>
        <v>3559518000</v>
      </c>
      <c r="AG497" s="777">
        <v>3559518000</v>
      </c>
      <c r="AH497" s="55">
        <f>+AG497/AF497</f>
        <v>1</v>
      </c>
      <c r="AI497" s="777" t="s">
        <v>1906</v>
      </c>
      <c r="AJ497" s="777" t="s">
        <v>589</v>
      </c>
      <c r="AK497" s="777"/>
      <c r="AL497" s="777" t="s">
        <v>1907</v>
      </c>
      <c r="AM497" s="778">
        <v>0.22499999999999998</v>
      </c>
    </row>
    <row r="498" spans="1:39" ht="67.5" x14ac:dyDescent="0.25">
      <c r="A498" s="351"/>
      <c r="B498" s="352"/>
      <c r="C498" s="352"/>
      <c r="D498" s="210"/>
      <c r="E498" s="223"/>
      <c r="F498" s="779"/>
      <c r="G498" s="780"/>
      <c r="H498" s="781"/>
      <c r="I498" s="781"/>
      <c r="J498" s="781"/>
      <c r="K498" s="781"/>
      <c r="L498" s="781"/>
      <c r="M498" s="781"/>
      <c r="N498" s="781"/>
      <c r="O498" s="781"/>
      <c r="P498" s="591"/>
      <c r="Q498" s="324" t="s">
        <v>1908</v>
      </c>
      <c r="R498" s="324" t="s">
        <v>1909</v>
      </c>
      <c r="S498" s="782"/>
      <c r="T498" s="782"/>
      <c r="U498" s="783"/>
      <c r="V498" s="783"/>
      <c r="W498" s="783"/>
      <c r="X498" s="783"/>
      <c r="Y498" s="783"/>
      <c r="Z498" s="783"/>
      <c r="AA498" s="783"/>
      <c r="AB498" s="783"/>
      <c r="AC498" s="783"/>
      <c r="AD498" s="783"/>
      <c r="AE498" s="783"/>
      <c r="AF498" s="783"/>
      <c r="AG498" s="783"/>
      <c r="AH498" s="784"/>
      <c r="AI498" s="783"/>
      <c r="AJ498" s="783"/>
      <c r="AK498" s="783"/>
      <c r="AL498" s="777"/>
      <c r="AM498" s="778"/>
    </row>
    <row r="499" spans="1:39" ht="67.5" x14ac:dyDescent="0.25">
      <c r="A499" s="351"/>
      <c r="B499" s="352"/>
      <c r="C499" s="352"/>
      <c r="D499" s="210"/>
      <c r="E499" s="223"/>
      <c r="F499" s="779"/>
      <c r="G499" s="780"/>
      <c r="H499" s="781"/>
      <c r="I499" s="781"/>
      <c r="J499" s="781"/>
      <c r="K499" s="781"/>
      <c r="L499" s="781"/>
      <c r="M499" s="781"/>
      <c r="N499" s="781"/>
      <c r="O499" s="781"/>
      <c r="P499" s="591"/>
      <c r="Q499" s="324" t="s">
        <v>1910</v>
      </c>
      <c r="R499" s="324" t="s">
        <v>1904</v>
      </c>
      <c r="S499" s="782"/>
      <c r="T499" s="782"/>
      <c r="U499" s="783"/>
      <c r="V499" s="783"/>
      <c r="W499" s="783"/>
      <c r="X499" s="783"/>
      <c r="Y499" s="783"/>
      <c r="Z499" s="783"/>
      <c r="AA499" s="783"/>
      <c r="AB499" s="783"/>
      <c r="AC499" s="783"/>
      <c r="AD499" s="783"/>
      <c r="AE499" s="783"/>
      <c r="AF499" s="783"/>
      <c r="AG499" s="783"/>
      <c r="AH499" s="784"/>
      <c r="AI499" s="783"/>
      <c r="AJ499" s="783"/>
      <c r="AK499" s="783"/>
      <c r="AL499" s="777"/>
      <c r="AM499" s="778"/>
    </row>
    <row r="500" spans="1:39" ht="67.5" x14ac:dyDescent="0.25">
      <c r="A500" s="351"/>
      <c r="B500" s="352"/>
      <c r="C500" s="352"/>
      <c r="D500" s="210"/>
      <c r="E500" s="223"/>
      <c r="F500" s="785"/>
      <c r="G500" s="786"/>
      <c r="H500" s="787"/>
      <c r="I500" s="787"/>
      <c r="J500" s="787"/>
      <c r="K500" s="787"/>
      <c r="L500" s="787"/>
      <c r="M500" s="787"/>
      <c r="N500" s="787"/>
      <c r="O500" s="787"/>
      <c r="P500" s="598"/>
      <c r="Q500" s="324" t="s">
        <v>1911</v>
      </c>
      <c r="R500" s="324" t="s">
        <v>1904</v>
      </c>
      <c r="S500" s="788"/>
      <c r="T500" s="788"/>
      <c r="U500" s="789"/>
      <c r="V500" s="789"/>
      <c r="W500" s="789"/>
      <c r="X500" s="789"/>
      <c r="Y500" s="789"/>
      <c r="Z500" s="789"/>
      <c r="AA500" s="789"/>
      <c r="AB500" s="789"/>
      <c r="AC500" s="789"/>
      <c r="AD500" s="789"/>
      <c r="AE500" s="789"/>
      <c r="AF500" s="789"/>
      <c r="AG500" s="789"/>
      <c r="AH500" s="790"/>
      <c r="AI500" s="789"/>
      <c r="AJ500" s="789"/>
      <c r="AK500" s="789"/>
      <c r="AL500" s="777"/>
      <c r="AM500" s="778"/>
    </row>
    <row r="501" spans="1:39" ht="33.75" x14ac:dyDescent="0.25">
      <c r="A501" s="351"/>
      <c r="B501" s="352"/>
      <c r="C501" s="352"/>
      <c r="D501" s="210"/>
      <c r="E501" s="210"/>
      <c r="F501" s="201" t="s">
        <v>158</v>
      </c>
      <c r="G501" s="110"/>
      <c r="H501" s="110"/>
      <c r="I501" s="110"/>
      <c r="J501" s="112"/>
      <c r="K501" s="262">
        <f>SUM(K497)</f>
        <v>100</v>
      </c>
      <c r="L501" s="112"/>
      <c r="M501" s="112"/>
      <c r="N501" s="112"/>
      <c r="O501" s="112"/>
      <c r="P501" s="112"/>
      <c r="Q501" s="112"/>
      <c r="R501" s="112"/>
      <c r="S501" s="112"/>
      <c r="T501" s="112"/>
      <c r="U501" s="112"/>
      <c r="V501" s="112"/>
      <c r="W501" s="112"/>
      <c r="X501" s="112"/>
      <c r="Y501" s="112"/>
      <c r="Z501" s="112"/>
      <c r="AA501" s="112"/>
      <c r="AB501" s="112"/>
      <c r="AC501" s="112"/>
      <c r="AD501" s="112"/>
      <c r="AE501" s="112"/>
      <c r="AF501" s="112"/>
      <c r="AG501" s="112"/>
      <c r="AH501" s="112"/>
      <c r="AI501" s="112"/>
      <c r="AJ501" s="112"/>
      <c r="AK501" s="112"/>
      <c r="AL501" s="146"/>
      <c r="AM501" s="144"/>
    </row>
    <row r="502" spans="1:39" ht="146.25" x14ac:dyDescent="0.25">
      <c r="A502" s="351"/>
      <c r="B502" s="352"/>
      <c r="C502" s="352"/>
      <c r="D502" s="210"/>
      <c r="E502" s="210"/>
      <c r="F502" s="791" t="s">
        <v>1912</v>
      </c>
      <c r="G502" s="792" t="s">
        <v>1913</v>
      </c>
      <c r="H502" s="792" t="s">
        <v>1914</v>
      </c>
      <c r="I502" s="792" t="s">
        <v>1915</v>
      </c>
      <c r="J502" s="773" t="s">
        <v>1916</v>
      </c>
      <c r="K502" s="774">
        <f>+(0.128*100)/1</f>
        <v>12.8</v>
      </c>
      <c r="L502" s="773" t="s">
        <v>1917</v>
      </c>
      <c r="M502" s="773"/>
      <c r="N502" s="793">
        <v>1</v>
      </c>
      <c r="O502" s="793">
        <v>0</v>
      </c>
      <c r="P502" s="119">
        <f t="shared" ref="P502" si="81">+O502/N502</f>
        <v>0</v>
      </c>
      <c r="Q502" s="793" t="s">
        <v>1918</v>
      </c>
      <c r="R502" s="793" t="s">
        <v>1919</v>
      </c>
      <c r="S502" s="794" t="s">
        <v>1920</v>
      </c>
      <c r="T502" s="794" t="s">
        <v>1921</v>
      </c>
      <c r="U502" s="795">
        <v>100000000</v>
      </c>
      <c r="V502" s="792"/>
      <c r="W502" s="792"/>
      <c r="X502" s="792"/>
      <c r="Y502" s="792" t="s">
        <v>55</v>
      </c>
      <c r="Z502" s="792"/>
      <c r="AA502" s="792"/>
      <c r="AB502" s="792"/>
      <c r="AC502" s="792"/>
      <c r="AD502" s="792"/>
      <c r="AE502" s="792"/>
      <c r="AF502" s="795">
        <v>100000000</v>
      </c>
      <c r="AG502" s="796">
        <v>0</v>
      </c>
      <c r="AH502" s="162">
        <f t="shared" ref="AH502" si="82">+AG502/AF502</f>
        <v>0</v>
      </c>
      <c r="AI502" s="795" t="s">
        <v>1922</v>
      </c>
      <c r="AJ502" s="792" t="s">
        <v>1923</v>
      </c>
      <c r="AK502" s="792" t="s">
        <v>1821</v>
      </c>
      <c r="AL502" s="792" t="s">
        <v>247</v>
      </c>
      <c r="AM502" s="773">
        <v>1</v>
      </c>
    </row>
    <row r="503" spans="1:39" ht="67.5" x14ac:dyDescent="0.25">
      <c r="A503" s="351"/>
      <c r="B503" s="352"/>
      <c r="C503" s="352"/>
      <c r="D503" s="210"/>
      <c r="E503" s="210"/>
      <c r="F503" s="797"/>
      <c r="G503" s="797"/>
      <c r="H503" s="797"/>
      <c r="I503" s="797"/>
      <c r="J503" s="773" t="s">
        <v>1924</v>
      </c>
      <c r="K503" s="774">
        <f>+(0.138*100)/1</f>
        <v>13.8</v>
      </c>
      <c r="L503" s="773" t="s">
        <v>1925</v>
      </c>
      <c r="M503" s="773"/>
      <c r="N503" s="773"/>
      <c r="O503" s="773"/>
      <c r="P503" s="581"/>
      <c r="Q503" s="773"/>
      <c r="R503" s="773"/>
      <c r="S503" s="773"/>
      <c r="T503" s="773"/>
      <c r="U503" s="773"/>
      <c r="V503" s="773"/>
      <c r="W503" s="773"/>
      <c r="X503" s="773"/>
      <c r="Y503" s="773"/>
      <c r="Z503" s="773"/>
      <c r="AA503" s="773"/>
      <c r="AB503" s="773"/>
      <c r="AC503" s="773"/>
      <c r="AD503" s="773"/>
      <c r="AE503" s="773"/>
      <c r="AF503" s="773"/>
      <c r="AG503" s="773"/>
      <c r="AH503" s="581"/>
      <c r="AI503" s="773"/>
      <c r="AJ503" s="773"/>
      <c r="AK503" s="773" t="s">
        <v>1821</v>
      </c>
      <c r="AL503" s="798" t="s">
        <v>247</v>
      </c>
      <c r="AM503" s="773">
        <v>0</v>
      </c>
    </row>
    <row r="504" spans="1:39" ht="56.25" x14ac:dyDescent="0.25">
      <c r="A504" s="351"/>
      <c r="B504" s="352"/>
      <c r="C504" s="352"/>
      <c r="D504" s="210"/>
      <c r="E504" s="210"/>
      <c r="F504" s="797"/>
      <c r="G504" s="797"/>
      <c r="H504" s="797"/>
      <c r="I504" s="797"/>
      <c r="J504" s="773" t="s">
        <v>1926</v>
      </c>
      <c r="K504" s="774">
        <f>+(0.129*100)/1</f>
        <v>12.9</v>
      </c>
      <c r="L504" s="773" t="s">
        <v>1927</v>
      </c>
      <c r="M504" s="773"/>
      <c r="N504" s="773"/>
      <c r="O504" s="773"/>
      <c r="P504" s="581"/>
      <c r="Q504" s="773"/>
      <c r="R504" s="773"/>
      <c r="S504" s="773"/>
      <c r="T504" s="773"/>
      <c r="U504" s="773"/>
      <c r="V504" s="773"/>
      <c r="W504" s="773"/>
      <c r="X504" s="773"/>
      <c r="Y504" s="773"/>
      <c r="Z504" s="773"/>
      <c r="AA504" s="773"/>
      <c r="AB504" s="773"/>
      <c r="AC504" s="773"/>
      <c r="AD504" s="773"/>
      <c r="AE504" s="773"/>
      <c r="AF504" s="773"/>
      <c r="AG504" s="773"/>
      <c r="AH504" s="581"/>
      <c r="AI504" s="773"/>
      <c r="AJ504" s="773"/>
      <c r="AK504" s="773" t="s">
        <v>1821</v>
      </c>
      <c r="AL504" s="798" t="s">
        <v>247</v>
      </c>
      <c r="AM504" s="773">
        <v>1</v>
      </c>
    </row>
    <row r="505" spans="1:39" ht="56.25" x14ac:dyDescent="0.25">
      <c r="A505" s="351"/>
      <c r="B505" s="352"/>
      <c r="C505" s="352"/>
      <c r="D505" s="210"/>
      <c r="E505" s="210"/>
      <c r="F505" s="797"/>
      <c r="G505" s="797"/>
      <c r="H505" s="797"/>
      <c r="I505" s="797"/>
      <c r="J505" s="773" t="s">
        <v>1928</v>
      </c>
      <c r="K505" s="774">
        <f>+(0.061*100)/1</f>
        <v>6.1</v>
      </c>
      <c r="L505" s="773" t="s">
        <v>1929</v>
      </c>
      <c r="M505" s="773"/>
      <c r="N505" s="773"/>
      <c r="O505" s="773"/>
      <c r="P505" s="581"/>
      <c r="Q505" s="773"/>
      <c r="R505" s="773"/>
      <c r="S505" s="773"/>
      <c r="T505" s="773"/>
      <c r="U505" s="773"/>
      <c r="V505" s="773"/>
      <c r="W505" s="773"/>
      <c r="X505" s="773"/>
      <c r="Y505" s="773"/>
      <c r="Z505" s="773"/>
      <c r="AA505" s="773"/>
      <c r="AB505" s="773"/>
      <c r="AC505" s="773"/>
      <c r="AD505" s="773"/>
      <c r="AE505" s="773"/>
      <c r="AF505" s="773"/>
      <c r="AG505" s="773"/>
      <c r="AH505" s="581"/>
      <c r="AI505" s="773"/>
      <c r="AJ505" s="773"/>
      <c r="AK505" s="773" t="s">
        <v>1821</v>
      </c>
      <c r="AL505" s="798" t="s">
        <v>247</v>
      </c>
      <c r="AM505" s="773">
        <v>40</v>
      </c>
    </row>
    <row r="506" spans="1:39" ht="56.25" x14ac:dyDescent="0.25">
      <c r="A506" s="351"/>
      <c r="B506" s="352"/>
      <c r="C506" s="352"/>
      <c r="D506" s="210"/>
      <c r="E506" s="210"/>
      <c r="F506" s="797"/>
      <c r="G506" s="797"/>
      <c r="H506" s="797"/>
      <c r="I506" s="797"/>
      <c r="J506" s="773" t="s">
        <v>1930</v>
      </c>
      <c r="K506" s="774">
        <f>+(0.088*100)/1</f>
        <v>8.7999999999999989</v>
      </c>
      <c r="L506" s="773" t="s">
        <v>1931</v>
      </c>
      <c r="M506" s="773"/>
      <c r="N506" s="773"/>
      <c r="O506" s="773"/>
      <c r="P506" s="581"/>
      <c r="Q506" s="773"/>
      <c r="R506" s="773"/>
      <c r="S506" s="773"/>
      <c r="T506" s="773"/>
      <c r="U506" s="773"/>
      <c r="V506" s="773"/>
      <c r="W506" s="773"/>
      <c r="X506" s="773"/>
      <c r="Y506" s="773"/>
      <c r="Z506" s="773"/>
      <c r="AA506" s="773"/>
      <c r="AB506" s="773"/>
      <c r="AC506" s="773"/>
      <c r="AD506" s="773"/>
      <c r="AE506" s="773"/>
      <c r="AF506" s="773"/>
      <c r="AG506" s="773"/>
      <c r="AH506" s="581"/>
      <c r="AI506" s="773"/>
      <c r="AJ506" s="773"/>
      <c r="AK506" s="773" t="s">
        <v>1821</v>
      </c>
      <c r="AL506" s="798" t="s">
        <v>247</v>
      </c>
      <c r="AM506" s="799">
        <v>0.15</v>
      </c>
    </row>
    <row r="507" spans="1:39" ht="101.25" x14ac:dyDescent="0.25">
      <c r="A507" s="351"/>
      <c r="B507" s="352"/>
      <c r="C507" s="352"/>
      <c r="D507" s="210"/>
      <c r="E507" s="210"/>
      <c r="F507" s="797"/>
      <c r="G507" s="797"/>
      <c r="H507" s="797"/>
      <c r="I507" s="797"/>
      <c r="J507" s="773" t="s">
        <v>1932</v>
      </c>
      <c r="K507" s="774">
        <f>+(0.056*100)/1</f>
        <v>5.6000000000000005</v>
      </c>
      <c r="L507" s="773" t="s">
        <v>1933</v>
      </c>
      <c r="M507" s="773"/>
      <c r="N507" s="793">
        <v>1</v>
      </c>
      <c r="O507" s="793">
        <v>1</v>
      </c>
      <c r="P507" s="119">
        <f t="shared" ref="P507:P511" si="83">+O507/N507</f>
        <v>1</v>
      </c>
      <c r="Q507" s="793" t="s">
        <v>1934</v>
      </c>
      <c r="R507" s="793" t="s">
        <v>1935</v>
      </c>
      <c r="S507" s="773"/>
      <c r="T507" s="773"/>
      <c r="U507" s="773"/>
      <c r="V507" s="773"/>
      <c r="W507" s="773"/>
      <c r="X507" s="773"/>
      <c r="Y507" s="773"/>
      <c r="Z507" s="773"/>
      <c r="AA507" s="773"/>
      <c r="AB507" s="773"/>
      <c r="AC507" s="773"/>
      <c r="AD507" s="773"/>
      <c r="AE507" s="773"/>
      <c r="AF507" s="773"/>
      <c r="AG507" s="773"/>
      <c r="AH507" s="581"/>
      <c r="AI507" s="773"/>
      <c r="AJ507" s="773"/>
      <c r="AK507" s="773" t="s">
        <v>1821</v>
      </c>
      <c r="AL507" s="798" t="s">
        <v>247</v>
      </c>
      <c r="AM507" s="773">
        <v>1</v>
      </c>
    </row>
    <row r="508" spans="1:39" ht="56.25" x14ac:dyDescent="0.25">
      <c r="A508" s="351"/>
      <c r="B508" s="352"/>
      <c r="C508" s="352"/>
      <c r="D508" s="210"/>
      <c r="E508" s="210"/>
      <c r="F508" s="797"/>
      <c r="G508" s="797"/>
      <c r="H508" s="797"/>
      <c r="I508" s="797"/>
      <c r="J508" s="773" t="s">
        <v>1936</v>
      </c>
      <c r="K508" s="774">
        <f>+(0.021*100)/1</f>
        <v>2.1</v>
      </c>
      <c r="L508" s="773" t="s">
        <v>1937</v>
      </c>
      <c r="M508" s="773"/>
      <c r="N508" s="793">
        <v>1</v>
      </c>
      <c r="O508" s="793">
        <v>1</v>
      </c>
      <c r="P508" s="119">
        <f t="shared" si="83"/>
        <v>1</v>
      </c>
      <c r="Q508" s="793" t="s">
        <v>1938</v>
      </c>
      <c r="R508" s="793" t="s">
        <v>1939</v>
      </c>
      <c r="S508" s="773"/>
      <c r="T508" s="773"/>
      <c r="U508" s="773"/>
      <c r="V508" s="773"/>
      <c r="W508" s="773"/>
      <c r="X508" s="773"/>
      <c r="Y508" s="773"/>
      <c r="Z508" s="773"/>
      <c r="AA508" s="773"/>
      <c r="AB508" s="773"/>
      <c r="AC508" s="773"/>
      <c r="AD508" s="773"/>
      <c r="AE508" s="773"/>
      <c r="AF508" s="773"/>
      <c r="AG508" s="773"/>
      <c r="AH508" s="581"/>
      <c r="AI508" s="773"/>
      <c r="AJ508" s="773"/>
      <c r="AK508" s="773" t="s">
        <v>1821</v>
      </c>
      <c r="AL508" s="798" t="s">
        <v>247</v>
      </c>
      <c r="AM508" s="773">
        <v>1</v>
      </c>
    </row>
    <row r="509" spans="1:39" ht="168.75" x14ac:dyDescent="0.25">
      <c r="A509" s="351"/>
      <c r="B509" s="352"/>
      <c r="C509" s="352"/>
      <c r="D509" s="210"/>
      <c r="E509" s="210"/>
      <c r="F509" s="797"/>
      <c r="G509" s="792" t="s">
        <v>1940</v>
      </c>
      <c r="H509" s="792" t="s">
        <v>1941</v>
      </c>
      <c r="I509" s="792" t="s">
        <v>1942</v>
      </c>
      <c r="J509" s="773" t="s">
        <v>1936</v>
      </c>
      <c r="K509" s="774"/>
      <c r="L509" s="773" t="s">
        <v>1937</v>
      </c>
      <c r="M509" s="773"/>
      <c r="N509" s="793">
        <v>1</v>
      </c>
      <c r="O509" s="793">
        <v>0</v>
      </c>
      <c r="P509" s="119">
        <f t="shared" si="83"/>
        <v>0</v>
      </c>
      <c r="Q509" s="793" t="s">
        <v>1943</v>
      </c>
      <c r="R509" s="793" t="s">
        <v>1919</v>
      </c>
      <c r="S509" s="794" t="s">
        <v>316</v>
      </c>
      <c r="T509" s="794" t="s">
        <v>90</v>
      </c>
      <c r="U509" s="795">
        <v>63211573.140000001</v>
      </c>
      <c r="V509" s="792" t="s">
        <v>55</v>
      </c>
      <c r="W509" s="792"/>
      <c r="X509" s="792"/>
      <c r="Y509" s="792"/>
      <c r="Z509" s="792"/>
      <c r="AA509" s="792"/>
      <c r="AB509" s="792"/>
      <c r="AC509" s="792"/>
      <c r="AD509" s="792"/>
      <c r="AE509" s="792"/>
      <c r="AF509" s="795">
        <v>63211573.140000001</v>
      </c>
      <c r="AG509" s="796">
        <v>63210000</v>
      </c>
      <c r="AH509" s="162">
        <f t="shared" ref="AH509" si="84">+AG509/AF509</f>
        <v>0.99997511310157527</v>
      </c>
      <c r="AI509" s="795" t="s">
        <v>1922</v>
      </c>
      <c r="AJ509" s="792" t="s">
        <v>1944</v>
      </c>
      <c r="AK509" s="792" t="s">
        <v>1821</v>
      </c>
      <c r="AL509" s="792" t="s">
        <v>247</v>
      </c>
      <c r="AM509" s="773"/>
    </row>
    <row r="510" spans="1:39" ht="90" x14ac:dyDescent="0.25">
      <c r="A510" s="351"/>
      <c r="B510" s="352"/>
      <c r="C510" s="352"/>
      <c r="D510" s="210"/>
      <c r="E510" s="210"/>
      <c r="F510" s="797"/>
      <c r="G510" s="797"/>
      <c r="H510" s="797"/>
      <c r="I510" s="797"/>
      <c r="J510" s="773" t="s">
        <v>1945</v>
      </c>
      <c r="K510" s="774">
        <f>+(0.065*100)/1</f>
        <v>6.5</v>
      </c>
      <c r="L510" s="773" t="s">
        <v>1946</v>
      </c>
      <c r="M510" s="773"/>
      <c r="N510" s="793">
        <v>1</v>
      </c>
      <c r="O510" s="793">
        <v>1</v>
      </c>
      <c r="P510" s="119">
        <f t="shared" si="83"/>
        <v>1</v>
      </c>
      <c r="Q510" s="793" t="s">
        <v>1947</v>
      </c>
      <c r="R510" s="793" t="s">
        <v>1948</v>
      </c>
      <c r="S510" s="773"/>
      <c r="T510" s="773"/>
      <c r="U510" s="773"/>
      <c r="V510" s="773"/>
      <c r="W510" s="773"/>
      <c r="X510" s="773"/>
      <c r="Y510" s="773"/>
      <c r="Z510" s="773"/>
      <c r="AA510" s="773"/>
      <c r="AB510" s="773"/>
      <c r="AC510" s="773"/>
      <c r="AD510" s="773"/>
      <c r="AE510" s="773"/>
      <c r="AF510" s="773"/>
      <c r="AG510" s="773"/>
      <c r="AH510" s="581"/>
      <c r="AI510" s="773"/>
      <c r="AJ510" s="773"/>
      <c r="AK510" s="773" t="s">
        <v>1821</v>
      </c>
      <c r="AL510" s="798" t="s">
        <v>247</v>
      </c>
      <c r="AM510" s="773">
        <v>1</v>
      </c>
    </row>
    <row r="511" spans="1:39" ht="135" x14ac:dyDescent="0.25">
      <c r="A511" s="351"/>
      <c r="B511" s="352"/>
      <c r="C511" s="352"/>
      <c r="D511" s="210"/>
      <c r="E511" s="210"/>
      <c r="F511" s="797"/>
      <c r="G511" s="792" t="s">
        <v>1949</v>
      </c>
      <c r="H511" s="792" t="s">
        <v>1950</v>
      </c>
      <c r="I511" s="792" t="s">
        <v>1951</v>
      </c>
      <c r="J511" s="773" t="s">
        <v>1952</v>
      </c>
      <c r="K511" s="774">
        <f>+(0.062*100)/1</f>
        <v>6.2</v>
      </c>
      <c r="L511" s="773" t="s">
        <v>1953</v>
      </c>
      <c r="M511" s="773"/>
      <c r="N511" s="793">
        <v>1</v>
      </c>
      <c r="O511" s="793">
        <v>1</v>
      </c>
      <c r="P511" s="119">
        <f t="shared" si="83"/>
        <v>1</v>
      </c>
      <c r="Q511" s="793" t="s">
        <v>1954</v>
      </c>
      <c r="R511" s="793" t="s">
        <v>1955</v>
      </c>
      <c r="S511" s="794" t="s">
        <v>316</v>
      </c>
      <c r="T511" s="794" t="s">
        <v>130</v>
      </c>
      <c r="U511" s="795">
        <v>115113522</v>
      </c>
      <c r="V511" s="795" t="s">
        <v>55</v>
      </c>
      <c r="W511" s="795"/>
      <c r="X511" s="795"/>
      <c r="Y511" s="795"/>
      <c r="Z511" s="795"/>
      <c r="AA511" s="795"/>
      <c r="AB511" s="795"/>
      <c r="AC511" s="795"/>
      <c r="AD511" s="795"/>
      <c r="AE511" s="795"/>
      <c r="AF511" s="795">
        <v>115113522</v>
      </c>
      <c r="AG511" s="795">
        <v>115113522</v>
      </c>
      <c r="AH511" s="800">
        <f t="shared" ref="AH511" si="85">+AG511/AF511</f>
        <v>1</v>
      </c>
      <c r="AI511" s="795" t="s">
        <v>1922</v>
      </c>
      <c r="AJ511" s="795" t="s">
        <v>1956</v>
      </c>
      <c r="AK511" s="792" t="s">
        <v>1821</v>
      </c>
      <c r="AL511" s="792" t="s">
        <v>247</v>
      </c>
      <c r="AM511" s="773">
        <v>1</v>
      </c>
    </row>
    <row r="512" spans="1:39" ht="56.25" x14ac:dyDescent="0.25">
      <c r="A512" s="351"/>
      <c r="B512" s="352"/>
      <c r="C512" s="352"/>
      <c r="D512" s="210"/>
      <c r="E512" s="210"/>
      <c r="F512" s="797"/>
      <c r="G512" s="797"/>
      <c r="H512" s="797"/>
      <c r="I512" s="797"/>
      <c r="J512" s="773" t="s">
        <v>1957</v>
      </c>
      <c r="K512" s="774">
        <f>+(0.032*100)/1</f>
        <v>3.2</v>
      </c>
      <c r="L512" s="773" t="s">
        <v>1958</v>
      </c>
      <c r="M512" s="773"/>
      <c r="N512" s="773"/>
      <c r="O512" s="773"/>
      <c r="P512" s="581"/>
      <c r="Q512" s="773"/>
      <c r="R512" s="773"/>
      <c r="S512" s="773"/>
      <c r="T512" s="773"/>
      <c r="U512" s="773"/>
      <c r="V512" s="773"/>
      <c r="W512" s="773"/>
      <c r="X512" s="773"/>
      <c r="Y512" s="773"/>
      <c r="Z512" s="773"/>
      <c r="AA512" s="773"/>
      <c r="AB512" s="773"/>
      <c r="AC512" s="773"/>
      <c r="AD512" s="773"/>
      <c r="AE512" s="773"/>
      <c r="AF512" s="773"/>
      <c r="AG512" s="773"/>
      <c r="AH512" s="581"/>
      <c r="AI512" s="773"/>
      <c r="AJ512" s="773"/>
      <c r="AK512" s="773" t="s">
        <v>1821</v>
      </c>
      <c r="AL512" s="798" t="s">
        <v>247</v>
      </c>
      <c r="AM512" s="773">
        <v>1</v>
      </c>
    </row>
    <row r="513" spans="1:39" ht="213.75" x14ac:dyDescent="0.25">
      <c r="A513" s="351"/>
      <c r="B513" s="352"/>
      <c r="C513" s="352"/>
      <c r="D513" s="210"/>
      <c r="E513" s="210"/>
      <c r="F513" s="797"/>
      <c r="G513" s="792" t="s">
        <v>1959</v>
      </c>
      <c r="H513" s="792" t="s">
        <v>1960</v>
      </c>
      <c r="I513" s="792" t="s">
        <v>1961</v>
      </c>
      <c r="J513" s="773" t="s">
        <v>1962</v>
      </c>
      <c r="K513" s="774">
        <f>+(0.093*100)/1</f>
        <v>9.3000000000000007</v>
      </c>
      <c r="L513" s="773" t="s">
        <v>1963</v>
      </c>
      <c r="M513" s="773"/>
      <c r="N513" s="793">
        <v>1</v>
      </c>
      <c r="O513" s="793">
        <v>0</v>
      </c>
      <c r="P513" s="119">
        <f t="shared" ref="P513:P515" si="86">+O513/N513</f>
        <v>0</v>
      </c>
      <c r="Q513" s="793" t="s">
        <v>1964</v>
      </c>
      <c r="R513" s="793" t="s">
        <v>1965</v>
      </c>
      <c r="S513" s="794" t="s">
        <v>1966</v>
      </c>
      <c r="T513" s="794" t="s">
        <v>90</v>
      </c>
      <c r="U513" s="795">
        <v>80000000</v>
      </c>
      <c r="V513" s="792" t="s">
        <v>55</v>
      </c>
      <c r="W513" s="792"/>
      <c r="X513" s="792"/>
      <c r="Y513" s="792"/>
      <c r="Z513" s="792"/>
      <c r="AA513" s="792"/>
      <c r="AB513" s="792"/>
      <c r="AC513" s="792"/>
      <c r="AD513" s="792"/>
      <c r="AE513" s="792"/>
      <c r="AF513" s="795">
        <v>80000000</v>
      </c>
      <c r="AG513" s="796">
        <v>79998472</v>
      </c>
      <c r="AH513" s="162">
        <f t="shared" ref="AH513:AH515" si="87">+AG513/AF513</f>
        <v>0.99998089999999995</v>
      </c>
      <c r="AI513" s="795" t="s">
        <v>1922</v>
      </c>
      <c r="AJ513" s="792" t="s">
        <v>1967</v>
      </c>
      <c r="AK513" s="792" t="s">
        <v>1821</v>
      </c>
      <c r="AL513" s="792" t="s">
        <v>247</v>
      </c>
      <c r="AM513" s="773">
        <v>1</v>
      </c>
    </row>
    <row r="514" spans="1:39" ht="168.75" x14ac:dyDescent="0.25">
      <c r="A514" s="351"/>
      <c r="B514" s="352"/>
      <c r="C514" s="352"/>
      <c r="D514" s="210"/>
      <c r="E514" s="210"/>
      <c r="F514" s="797"/>
      <c r="G514" s="792" t="s">
        <v>1968</v>
      </c>
      <c r="H514" s="792" t="s">
        <v>1969</v>
      </c>
      <c r="I514" s="792" t="s">
        <v>1970</v>
      </c>
      <c r="J514" s="773" t="s">
        <v>1971</v>
      </c>
      <c r="K514" s="774">
        <f>+(0.065*100)/1</f>
        <v>6.5</v>
      </c>
      <c r="L514" s="773" t="s">
        <v>1972</v>
      </c>
      <c r="M514" s="773"/>
      <c r="N514" s="793">
        <v>300</v>
      </c>
      <c r="O514" s="793">
        <v>0</v>
      </c>
      <c r="P514" s="119">
        <f t="shared" si="86"/>
        <v>0</v>
      </c>
      <c r="Q514" s="793" t="s">
        <v>1973</v>
      </c>
      <c r="R514" s="793" t="s">
        <v>321</v>
      </c>
      <c r="S514" s="794" t="s">
        <v>1974</v>
      </c>
      <c r="T514" s="794" t="s">
        <v>417</v>
      </c>
      <c r="U514" s="795">
        <v>70000000</v>
      </c>
      <c r="V514" s="792" t="s">
        <v>55</v>
      </c>
      <c r="W514" s="792"/>
      <c r="X514" s="792"/>
      <c r="Y514" s="792"/>
      <c r="Z514" s="792"/>
      <c r="AA514" s="792"/>
      <c r="AB514" s="792"/>
      <c r="AC514" s="792"/>
      <c r="AD514" s="792"/>
      <c r="AE514" s="792"/>
      <c r="AF514" s="795">
        <v>70000000</v>
      </c>
      <c r="AG514" s="796">
        <v>70000000</v>
      </c>
      <c r="AH514" s="162">
        <f t="shared" si="87"/>
        <v>1</v>
      </c>
      <c r="AI514" s="795" t="s">
        <v>1922</v>
      </c>
      <c r="AJ514" s="792" t="s">
        <v>1975</v>
      </c>
      <c r="AK514" s="792" t="s">
        <v>1821</v>
      </c>
      <c r="AL514" s="792" t="s">
        <v>247</v>
      </c>
      <c r="AM514" s="773">
        <v>100</v>
      </c>
    </row>
    <row r="515" spans="1:39" ht="101.25" x14ac:dyDescent="0.25">
      <c r="A515" s="351"/>
      <c r="B515" s="352"/>
      <c r="C515" s="352"/>
      <c r="D515" s="210"/>
      <c r="E515" s="210"/>
      <c r="F515" s="801"/>
      <c r="G515" s="792" t="s">
        <v>1976</v>
      </c>
      <c r="H515" s="792" t="s">
        <v>1977</v>
      </c>
      <c r="I515" s="792" t="s">
        <v>1978</v>
      </c>
      <c r="J515" s="773" t="s">
        <v>1979</v>
      </c>
      <c r="K515" s="774">
        <f>+(0.063*100)/1</f>
        <v>6.3</v>
      </c>
      <c r="L515" s="773" t="s">
        <v>1980</v>
      </c>
      <c r="M515" s="773"/>
      <c r="N515" s="793">
        <v>1</v>
      </c>
      <c r="O515" s="793">
        <v>1</v>
      </c>
      <c r="P515" s="119">
        <f t="shared" si="86"/>
        <v>1</v>
      </c>
      <c r="Q515" s="793" t="s">
        <v>1981</v>
      </c>
      <c r="R515" s="793" t="s">
        <v>1982</v>
      </c>
      <c r="S515" s="794" t="s">
        <v>316</v>
      </c>
      <c r="T515" s="794" t="s">
        <v>130</v>
      </c>
      <c r="U515" s="795">
        <v>40000000</v>
      </c>
      <c r="V515" s="792" t="s">
        <v>55</v>
      </c>
      <c r="W515" s="792"/>
      <c r="X515" s="792"/>
      <c r="Y515" s="792"/>
      <c r="Z515" s="792"/>
      <c r="AA515" s="792"/>
      <c r="AB515" s="792"/>
      <c r="AC515" s="792"/>
      <c r="AD515" s="792"/>
      <c r="AE515" s="792"/>
      <c r="AF515" s="795">
        <v>40000000</v>
      </c>
      <c r="AG515" s="796">
        <v>40000000</v>
      </c>
      <c r="AH515" s="162">
        <f t="shared" si="87"/>
        <v>1</v>
      </c>
      <c r="AI515" s="795" t="s">
        <v>1922</v>
      </c>
      <c r="AJ515" s="792" t="s">
        <v>1983</v>
      </c>
      <c r="AK515" s="792" t="s">
        <v>1821</v>
      </c>
      <c r="AL515" s="792" t="s">
        <v>247</v>
      </c>
      <c r="AM515" s="773">
        <v>1</v>
      </c>
    </row>
    <row r="516" spans="1:39" ht="33.75" x14ac:dyDescent="0.25">
      <c r="A516" s="351"/>
      <c r="B516" s="352"/>
      <c r="C516" s="352"/>
      <c r="D516" s="210"/>
      <c r="E516" s="210"/>
      <c r="F516" s="110" t="s">
        <v>158</v>
      </c>
      <c r="G516" s="110"/>
      <c r="H516" s="110"/>
      <c r="I516" s="110"/>
      <c r="J516" s="112"/>
      <c r="K516" s="235">
        <f>SUM(K502:K515)</f>
        <v>100.1</v>
      </c>
      <c r="L516" s="722"/>
      <c r="M516" s="722"/>
      <c r="N516" s="722"/>
      <c r="O516" s="722"/>
      <c r="P516" s="722"/>
      <c r="Q516" s="722"/>
      <c r="R516" s="722"/>
      <c r="S516" s="722"/>
      <c r="T516" s="722"/>
      <c r="U516" s="722"/>
      <c r="V516" s="722"/>
      <c r="W516" s="722"/>
      <c r="X516" s="722"/>
      <c r="Y516" s="722"/>
      <c r="Z516" s="722"/>
      <c r="AA516" s="722"/>
      <c r="AB516" s="722"/>
      <c r="AC516" s="722"/>
      <c r="AD516" s="722"/>
      <c r="AE516" s="722"/>
      <c r="AF516" s="722"/>
      <c r="AG516" s="722"/>
      <c r="AH516" s="722"/>
      <c r="AI516" s="722"/>
      <c r="AJ516" s="722"/>
      <c r="AK516" s="802"/>
      <c r="AL516" s="803"/>
      <c r="AM516" s="461"/>
    </row>
    <row r="517" spans="1:39" ht="112.5" x14ac:dyDescent="0.25">
      <c r="A517" s="351"/>
      <c r="B517" s="352"/>
      <c r="C517" s="352"/>
      <c r="D517" s="210"/>
      <c r="E517" s="210"/>
      <c r="F517" s="797" t="s">
        <v>1984</v>
      </c>
      <c r="G517" s="797" t="s">
        <v>1985</v>
      </c>
      <c r="H517" s="797" t="s">
        <v>1986</v>
      </c>
      <c r="I517" s="797" t="s">
        <v>1987</v>
      </c>
      <c r="J517" s="773" t="s">
        <v>1988</v>
      </c>
      <c r="K517" s="774">
        <f>+(0.0266*100)/0.25</f>
        <v>10.639999999999999</v>
      </c>
      <c r="L517" s="804" t="s">
        <v>1989</v>
      </c>
      <c r="M517" s="804"/>
      <c r="N517" s="804">
        <v>1</v>
      </c>
      <c r="O517" s="804">
        <v>1</v>
      </c>
      <c r="P517" s="119">
        <f>+O517/N517</f>
        <v>1</v>
      </c>
      <c r="Q517" s="804" t="s">
        <v>1990</v>
      </c>
      <c r="R517" s="804" t="s">
        <v>321</v>
      </c>
      <c r="S517" s="805" t="s">
        <v>1991</v>
      </c>
      <c r="T517" s="805" t="s">
        <v>317</v>
      </c>
      <c r="U517" s="806">
        <v>300500000</v>
      </c>
      <c r="V517" s="806">
        <v>300500000</v>
      </c>
      <c r="W517" s="806" t="s">
        <v>55</v>
      </c>
      <c r="X517" s="806"/>
      <c r="Y517" s="806"/>
      <c r="Z517" s="806"/>
      <c r="AA517" s="806"/>
      <c r="AB517" s="806"/>
      <c r="AC517" s="806"/>
      <c r="AD517" s="806"/>
      <c r="AE517" s="806"/>
      <c r="AF517" s="806">
        <v>300500000</v>
      </c>
      <c r="AG517" s="806">
        <v>300499740</v>
      </c>
      <c r="AH517" s="26">
        <f>+AG517/AF517</f>
        <v>0.99999913477537439</v>
      </c>
      <c r="AI517" s="806" t="s">
        <v>1874</v>
      </c>
      <c r="AJ517" s="806" t="s">
        <v>1992</v>
      </c>
      <c r="AK517" s="806" t="s">
        <v>1821</v>
      </c>
      <c r="AL517" s="806" t="s">
        <v>293</v>
      </c>
      <c r="AM517" s="804">
        <v>0</v>
      </c>
    </row>
    <row r="518" spans="1:39" ht="112.5" x14ac:dyDescent="0.25">
      <c r="A518" s="351"/>
      <c r="B518" s="352"/>
      <c r="C518" s="352"/>
      <c r="D518" s="210"/>
      <c r="E518" s="210"/>
      <c r="F518" s="797"/>
      <c r="G518" s="797"/>
      <c r="H518" s="797"/>
      <c r="I518" s="797"/>
      <c r="J518" s="773" t="s">
        <v>1993</v>
      </c>
      <c r="K518" s="774">
        <f>+(0.029*100)/0.25</f>
        <v>11.600000000000001</v>
      </c>
      <c r="L518" s="804" t="s">
        <v>1994</v>
      </c>
      <c r="M518" s="804"/>
      <c r="N518" s="804">
        <v>1</v>
      </c>
      <c r="O518" s="804">
        <v>1</v>
      </c>
      <c r="P518" s="119">
        <f t="shared" ref="P518:P520" si="88">+O518/N518</f>
        <v>1</v>
      </c>
      <c r="Q518" s="804" t="s">
        <v>1995</v>
      </c>
      <c r="R518" s="804" t="s">
        <v>1996</v>
      </c>
      <c r="S518" s="807"/>
      <c r="T518" s="807"/>
      <c r="U518" s="808"/>
      <c r="V518" s="808"/>
      <c r="W518" s="808"/>
      <c r="X518" s="808"/>
      <c r="Y518" s="808"/>
      <c r="Z518" s="808"/>
      <c r="AA518" s="808"/>
      <c r="AB518" s="808"/>
      <c r="AC518" s="808"/>
      <c r="AD518" s="808"/>
      <c r="AE518" s="808"/>
      <c r="AF518" s="808"/>
      <c r="AG518" s="808"/>
      <c r="AH518" s="408"/>
      <c r="AI518" s="808"/>
      <c r="AJ518" s="808"/>
      <c r="AK518" s="808"/>
      <c r="AL518" s="808"/>
      <c r="AM518" s="804">
        <v>1</v>
      </c>
    </row>
    <row r="519" spans="1:39" ht="90" x14ac:dyDescent="0.25">
      <c r="A519" s="351"/>
      <c r="B519" s="352"/>
      <c r="C519" s="352"/>
      <c r="D519" s="210"/>
      <c r="E519" s="210"/>
      <c r="F519" s="797"/>
      <c r="G519" s="797"/>
      <c r="H519" s="797"/>
      <c r="I519" s="797"/>
      <c r="J519" s="773" t="s">
        <v>1997</v>
      </c>
      <c r="K519" s="774">
        <f>+(0.0906*100)/0.25</f>
        <v>36.24</v>
      </c>
      <c r="L519" s="809" t="s">
        <v>1998</v>
      </c>
      <c r="M519" s="809"/>
      <c r="N519" s="804">
        <v>3</v>
      </c>
      <c r="O519" s="804">
        <v>3</v>
      </c>
      <c r="P519" s="119">
        <f>+O519/N519</f>
        <v>1</v>
      </c>
      <c r="Q519" s="804" t="s">
        <v>1999</v>
      </c>
      <c r="R519" s="804" t="s">
        <v>2000</v>
      </c>
      <c r="S519" s="810"/>
      <c r="T519" s="810"/>
      <c r="U519" s="811"/>
      <c r="V519" s="811"/>
      <c r="W519" s="811"/>
      <c r="X519" s="811"/>
      <c r="Y519" s="811"/>
      <c r="Z519" s="811"/>
      <c r="AA519" s="811"/>
      <c r="AB519" s="811"/>
      <c r="AC519" s="811"/>
      <c r="AD519" s="811"/>
      <c r="AE519" s="811"/>
      <c r="AF519" s="811"/>
      <c r="AG519" s="811"/>
      <c r="AH519" s="229"/>
      <c r="AI519" s="811"/>
      <c r="AJ519" s="811"/>
      <c r="AK519" s="811"/>
      <c r="AL519" s="811"/>
      <c r="AM519" s="804">
        <v>3</v>
      </c>
    </row>
    <row r="520" spans="1:39" ht="112.5" x14ac:dyDescent="0.25">
      <c r="A520" s="351"/>
      <c r="B520" s="352"/>
      <c r="C520" s="352"/>
      <c r="D520" s="210"/>
      <c r="E520" s="210"/>
      <c r="F520" s="797"/>
      <c r="G520" s="791" t="s">
        <v>2001</v>
      </c>
      <c r="H520" s="797" t="s">
        <v>2002</v>
      </c>
      <c r="I520" s="797" t="s">
        <v>2003</v>
      </c>
      <c r="J520" s="812" t="s">
        <v>2004</v>
      </c>
      <c r="K520" s="774">
        <f>+(0.0224*100)/0.25</f>
        <v>8.9599999999999991</v>
      </c>
      <c r="L520" s="813" t="s">
        <v>2005</v>
      </c>
      <c r="M520" s="205"/>
      <c r="N520" s="773">
        <v>1</v>
      </c>
      <c r="O520" s="773">
        <v>0</v>
      </c>
      <c r="P520" s="581">
        <f t="shared" si="88"/>
        <v>0</v>
      </c>
      <c r="Q520" s="804" t="s">
        <v>2006</v>
      </c>
      <c r="R520" s="804" t="s">
        <v>321</v>
      </c>
      <c r="S520" s="805" t="s">
        <v>2007</v>
      </c>
      <c r="T520" s="805" t="s">
        <v>2008</v>
      </c>
      <c r="U520" s="814">
        <v>200000000</v>
      </c>
      <c r="V520" s="814">
        <v>200000000</v>
      </c>
      <c r="W520" s="814" t="s">
        <v>55</v>
      </c>
      <c r="X520" s="814"/>
      <c r="Y520" s="814"/>
      <c r="Z520" s="814" t="s">
        <v>55</v>
      </c>
      <c r="AA520" s="814"/>
      <c r="AB520" s="814"/>
      <c r="AC520" s="814"/>
      <c r="AD520" s="814"/>
      <c r="AE520" s="814"/>
      <c r="AF520" s="814">
        <v>200000000</v>
      </c>
      <c r="AG520" s="814">
        <v>0</v>
      </c>
      <c r="AH520" s="26">
        <f>+AG520/AF520</f>
        <v>0</v>
      </c>
      <c r="AI520" s="814" t="s">
        <v>1992</v>
      </c>
      <c r="AJ520" s="814"/>
      <c r="AK520" s="814" t="s">
        <v>1821</v>
      </c>
      <c r="AL520" s="814" t="s">
        <v>293</v>
      </c>
      <c r="AM520" s="804">
        <v>0</v>
      </c>
    </row>
    <row r="521" spans="1:39" ht="67.5" x14ac:dyDescent="0.25">
      <c r="A521" s="351"/>
      <c r="B521" s="352"/>
      <c r="C521" s="352"/>
      <c r="D521" s="210"/>
      <c r="E521" s="210"/>
      <c r="F521" s="797"/>
      <c r="G521" s="797"/>
      <c r="H521" s="797"/>
      <c r="I521" s="797"/>
      <c r="J521" s="812"/>
      <c r="K521" s="774"/>
      <c r="L521" s="807"/>
      <c r="M521" s="210"/>
      <c r="N521" s="210"/>
      <c r="O521" s="210"/>
      <c r="P521" s="439"/>
      <c r="Q521" s="815" t="s">
        <v>2009</v>
      </c>
      <c r="R521" s="815" t="s">
        <v>2010</v>
      </c>
      <c r="S521" s="807"/>
      <c r="T521" s="807"/>
      <c r="U521" s="816"/>
      <c r="V521" s="816"/>
      <c r="W521" s="816"/>
      <c r="X521" s="816"/>
      <c r="Y521" s="816"/>
      <c r="Z521" s="816"/>
      <c r="AA521" s="816"/>
      <c r="AB521" s="816"/>
      <c r="AC521" s="816"/>
      <c r="AD521" s="816"/>
      <c r="AE521" s="816"/>
      <c r="AF521" s="816"/>
      <c r="AG521" s="816"/>
      <c r="AH521" s="451"/>
      <c r="AI521" s="816"/>
      <c r="AJ521" s="816"/>
      <c r="AK521" s="816"/>
      <c r="AL521" s="816"/>
      <c r="AM521" s="804"/>
    </row>
    <row r="522" spans="1:39" ht="33.75" x14ac:dyDescent="0.25">
      <c r="A522" s="351"/>
      <c r="B522" s="352"/>
      <c r="C522" s="352"/>
      <c r="D522" s="210"/>
      <c r="E522" s="210"/>
      <c r="F522" s="797"/>
      <c r="G522" s="797"/>
      <c r="H522" s="797"/>
      <c r="I522" s="797"/>
      <c r="J522" s="812"/>
      <c r="K522" s="774"/>
      <c r="L522" s="810"/>
      <c r="M522" s="230"/>
      <c r="N522" s="230"/>
      <c r="O522" s="230"/>
      <c r="P522" s="432"/>
      <c r="Q522" s="804" t="s">
        <v>2011</v>
      </c>
      <c r="R522" s="804" t="s">
        <v>2012</v>
      </c>
      <c r="S522" s="810"/>
      <c r="T522" s="810"/>
      <c r="U522" s="817"/>
      <c r="V522" s="817"/>
      <c r="W522" s="817"/>
      <c r="X522" s="817"/>
      <c r="Y522" s="817"/>
      <c r="Z522" s="817"/>
      <c r="AA522" s="817"/>
      <c r="AB522" s="817"/>
      <c r="AC522" s="817"/>
      <c r="AD522" s="817"/>
      <c r="AE522" s="817"/>
      <c r="AF522" s="817"/>
      <c r="AG522" s="817"/>
      <c r="AH522" s="456"/>
      <c r="AI522" s="817"/>
      <c r="AJ522" s="817"/>
      <c r="AK522" s="817"/>
      <c r="AL522" s="817"/>
      <c r="AM522" s="804"/>
    </row>
    <row r="523" spans="1:39" ht="56.25" x14ac:dyDescent="0.25">
      <c r="A523" s="351"/>
      <c r="B523" s="352"/>
      <c r="C523" s="352"/>
      <c r="D523" s="210"/>
      <c r="E523" s="210"/>
      <c r="F523" s="797"/>
      <c r="G523" s="797"/>
      <c r="H523" s="797"/>
      <c r="I523" s="797"/>
      <c r="J523" s="773" t="s">
        <v>2013</v>
      </c>
      <c r="K523" s="774">
        <f>+(0.0079*100)/0.25</f>
        <v>3.16</v>
      </c>
      <c r="L523" s="809" t="s">
        <v>2014</v>
      </c>
      <c r="M523" s="809"/>
      <c r="N523" s="809"/>
      <c r="O523" s="809"/>
      <c r="P523" s="722"/>
      <c r="Q523" s="809"/>
      <c r="R523" s="809"/>
      <c r="S523" s="809"/>
      <c r="T523" s="809"/>
      <c r="U523" s="809"/>
      <c r="V523" s="809"/>
      <c r="W523" s="809"/>
      <c r="X523" s="809"/>
      <c r="Y523" s="809"/>
      <c r="Z523" s="809"/>
      <c r="AA523" s="809"/>
      <c r="AB523" s="809"/>
      <c r="AC523" s="809"/>
      <c r="AD523" s="809"/>
      <c r="AE523" s="809"/>
      <c r="AF523" s="809"/>
      <c r="AG523" s="809"/>
      <c r="AH523" s="722"/>
      <c r="AI523" s="809"/>
      <c r="AJ523" s="809"/>
      <c r="AK523" s="818" t="s">
        <v>1821</v>
      </c>
      <c r="AL523" s="819" t="s">
        <v>293</v>
      </c>
      <c r="AM523" s="815">
        <v>0.2</v>
      </c>
    </row>
    <row r="524" spans="1:39" ht="78.75" x14ac:dyDescent="0.25">
      <c r="A524" s="351"/>
      <c r="B524" s="352"/>
      <c r="C524" s="352"/>
      <c r="D524" s="210"/>
      <c r="E524" s="210"/>
      <c r="F524" s="797"/>
      <c r="G524" s="797"/>
      <c r="H524" s="797"/>
      <c r="I524" s="797"/>
      <c r="J524" s="773" t="s">
        <v>2015</v>
      </c>
      <c r="K524" s="774">
        <f>+(0.0668*100)/0.25</f>
        <v>26.72</v>
      </c>
      <c r="L524" s="809" t="s">
        <v>2016</v>
      </c>
      <c r="M524" s="809"/>
      <c r="N524" s="809"/>
      <c r="O524" s="809"/>
      <c r="P524" s="722"/>
      <c r="Q524" s="809"/>
      <c r="R524" s="809"/>
      <c r="S524" s="809"/>
      <c r="T524" s="809"/>
      <c r="U524" s="809"/>
      <c r="V524" s="809"/>
      <c r="W524" s="809"/>
      <c r="X524" s="809"/>
      <c r="Y524" s="809"/>
      <c r="Z524" s="809"/>
      <c r="AA524" s="809"/>
      <c r="AB524" s="809"/>
      <c r="AC524" s="809"/>
      <c r="AD524" s="809"/>
      <c r="AE524" s="809"/>
      <c r="AF524" s="809"/>
      <c r="AG524" s="809"/>
      <c r="AH524" s="722"/>
      <c r="AI524" s="809"/>
      <c r="AJ524" s="809"/>
      <c r="AK524" s="818" t="s">
        <v>1821</v>
      </c>
      <c r="AL524" s="819" t="s">
        <v>293</v>
      </c>
      <c r="AM524" s="804">
        <v>1</v>
      </c>
    </row>
    <row r="525" spans="1:39" ht="56.25" x14ac:dyDescent="0.25">
      <c r="A525" s="351"/>
      <c r="B525" s="352"/>
      <c r="C525" s="352"/>
      <c r="D525" s="210"/>
      <c r="E525" s="210"/>
      <c r="F525" s="797"/>
      <c r="G525" s="797"/>
      <c r="H525" s="797"/>
      <c r="I525" s="797"/>
      <c r="J525" s="773" t="s">
        <v>2017</v>
      </c>
      <c r="K525" s="774">
        <f>+(0.0079*100)/0.25</f>
        <v>3.16</v>
      </c>
      <c r="L525" s="804" t="s">
        <v>2018</v>
      </c>
      <c r="M525" s="804"/>
      <c r="N525" s="804"/>
      <c r="O525" s="804"/>
      <c r="P525" s="144"/>
      <c r="Q525" s="804"/>
      <c r="R525" s="804"/>
      <c r="S525" s="804"/>
      <c r="T525" s="804"/>
      <c r="U525" s="804"/>
      <c r="V525" s="804"/>
      <c r="W525" s="804"/>
      <c r="X525" s="804"/>
      <c r="Y525" s="804"/>
      <c r="Z525" s="804"/>
      <c r="AA525" s="804"/>
      <c r="AB525" s="804"/>
      <c r="AC525" s="804"/>
      <c r="AD525" s="804"/>
      <c r="AE525" s="804"/>
      <c r="AF525" s="804"/>
      <c r="AG525" s="804"/>
      <c r="AH525" s="144"/>
      <c r="AI525" s="804"/>
      <c r="AJ525" s="804"/>
      <c r="AK525" s="315" t="s">
        <v>1821</v>
      </c>
      <c r="AL525" s="820" t="s">
        <v>293</v>
      </c>
      <c r="AM525" s="804">
        <v>45</v>
      </c>
    </row>
    <row r="526" spans="1:39" ht="33.75" x14ac:dyDescent="0.25">
      <c r="A526" s="351"/>
      <c r="B526" s="352"/>
      <c r="C526" s="352"/>
      <c r="D526" s="210"/>
      <c r="E526" s="210"/>
      <c r="F526" s="110" t="s">
        <v>158</v>
      </c>
      <c r="G526" s="110"/>
      <c r="H526" s="110"/>
      <c r="I526" s="110"/>
      <c r="J526" s="821"/>
      <c r="K526" s="822">
        <f>SUM(K517:K525)</f>
        <v>100.47999999999999</v>
      </c>
      <c r="L526" s="821"/>
      <c r="M526" s="722"/>
      <c r="N526" s="722"/>
      <c r="O526" s="722"/>
      <c r="P526" s="722"/>
      <c r="Q526" s="722"/>
      <c r="R526" s="722"/>
      <c r="S526" s="722"/>
      <c r="T526" s="722"/>
      <c r="U526" s="722"/>
      <c r="V526" s="722"/>
      <c r="W526" s="722"/>
      <c r="X526" s="722"/>
      <c r="Y526" s="722"/>
      <c r="Z526" s="722"/>
      <c r="AA526" s="722"/>
      <c r="AB526" s="722"/>
      <c r="AC526" s="722"/>
      <c r="AD526" s="722"/>
      <c r="AE526" s="722"/>
      <c r="AF526" s="722"/>
      <c r="AG526" s="722"/>
      <c r="AH526" s="722"/>
      <c r="AI526" s="722"/>
      <c r="AJ526" s="722"/>
      <c r="AK526" s="143"/>
      <c r="AL526" s="146"/>
      <c r="AM526" s="66"/>
    </row>
    <row r="527" spans="1:39" ht="168.75" x14ac:dyDescent="0.25">
      <c r="A527" s="351"/>
      <c r="B527" s="352"/>
      <c r="C527" s="352"/>
      <c r="D527" s="210"/>
      <c r="E527" s="210"/>
      <c r="F527" s="823" t="s">
        <v>2019</v>
      </c>
      <c r="G527" s="824" t="s">
        <v>2020</v>
      </c>
      <c r="H527" s="825" t="s">
        <v>2021</v>
      </c>
      <c r="I527" s="826" t="s">
        <v>2022</v>
      </c>
      <c r="J527" s="827" t="s">
        <v>2023</v>
      </c>
      <c r="K527" s="828">
        <f>+(0.037*100)/0.5</f>
        <v>7.3999999999999995</v>
      </c>
      <c r="L527" s="829" t="s">
        <v>2024</v>
      </c>
      <c r="M527" s="824"/>
      <c r="N527" s="829">
        <v>5</v>
      </c>
      <c r="O527" s="829">
        <v>5</v>
      </c>
      <c r="P527" s="567">
        <f t="shared" ref="P527" si="89">+O527/N527</f>
        <v>1</v>
      </c>
      <c r="Q527" s="804" t="s">
        <v>2025</v>
      </c>
      <c r="R527" s="804" t="s">
        <v>321</v>
      </c>
      <c r="S527" s="830">
        <v>41913</v>
      </c>
      <c r="T527" s="830">
        <v>41974</v>
      </c>
      <c r="U527" s="806">
        <v>150000000</v>
      </c>
      <c r="V527" s="806" t="s">
        <v>55</v>
      </c>
      <c r="W527" s="806"/>
      <c r="X527" s="806"/>
      <c r="Y527" s="806"/>
      <c r="Z527" s="806"/>
      <c r="AA527" s="806"/>
      <c r="AB527" s="806"/>
      <c r="AC527" s="806"/>
      <c r="AD527" s="806"/>
      <c r="AE527" s="806"/>
      <c r="AF527" s="806">
        <v>150000000</v>
      </c>
      <c r="AG527" s="806">
        <v>149999948</v>
      </c>
      <c r="AH527" s="26">
        <f t="shared" ref="AH527" si="90">+AG527/AF527</f>
        <v>0.99999965333333329</v>
      </c>
      <c r="AI527" s="806" t="s">
        <v>2026</v>
      </c>
      <c r="AJ527" s="831"/>
      <c r="AK527" s="207"/>
      <c r="AL527" s="798" t="s">
        <v>247</v>
      </c>
      <c r="AM527" s="804">
        <v>5</v>
      </c>
    </row>
    <row r="528" spans="1:39" ht="45" x14ac:dyDescent="0.25">
      <c r="A528" s="351"/>
      <c r="B528" s="352"/>
      <c r="C528" s="352"/>
      <c r="D528" s="210"/>
      <c r="E528" s="210"/>
      <c r="F528" s="823"/>
      <c r="G528" s="823"/>
      <c r="H528" s="823"/>
      <c r="I528" s="832"/>
      <c r="J528" s="833"/>
      <c r="K528" s="834"/>
      <c r="L528" s="835"/>
      <c r="M528" s="823"/>
      <c r="N528" s="823"/>
      <c r="O528" s="823"/>
      <c r="P528" s="652"/>
      <c r="Q528" s="804" t="s">
        <v>2027</v>
      </c>
      <c r="R528" s="804" t="s">
        <v>2028</v>
      </c>
      <c r="S528" s="830">
        <v>41913</v>
      </c>
      <c r="T528" s="830">
        <v>41974</v>
      </c>
      <c r="U528" s="808"/>
      <c r="V528" s="808"/>
      <c r="W528" s="808"/>
      <c r="X528" s="808"/>
      <c r="Y528" s="808"/>
      <c r="Z528" s="808"/>
      <c r="AA528" s="808"/>
      <c r="AB528" s="808"/>
      <c r="AC528" s="808"/>
      <c r="AD528" s="808"/>
      <c r="AE528" s="808"/>
      <c r="AF528" s="808"/>
      <c r="AG528" s="808"/>
      <c r="AH528" s="408"/>
      <c r="AI528" s="808"/>
      <c r="AJ528" s="831"/>
      <c r="AK528" s="207"/>
      <c r="AL528" s="798"/>
      <c r="AM528" s="804"/>
    </row>
    <row r="529" spans="1:39" ht="90" x14ac:dyDescent="0.25">
      <c r="A529" s="351"/>
      <c r="B529" s="352"/>
      <c r="C529" s="352"/>
      <c r="D529" s="210"/>
      <c r="E529" s="210"/>
      <c r="F529" s="823"/>
      <c r="G529" s="823"/>
      <c r="H529" s="823"/>
      <c r="I529" s="832"/>
      <c r="J529" s="833"/>
      <c r="K529" s="836"/>
      <c r="L529" s="833"/>
      <c r="M529" s="837"/>
      <c r="N529" s="837"/>
      <c r="O529" s="837"/>
      <c r="P529" s="191"/>
      <c r="Q529" s="804" t="s">
        <v>2029</v>
      </c>
      <c r="R529" s="804" t="s">
        <v>2030</v>
      </c>
      <c r="S529" s="830">
        <v>41913</v>
      </c>
      <c r="T529" s="830">
        <v>41974</v>
      </c>
      <c r="U529" s="811"/>
      <c r="V529" s="811"/>
      <c r="W529" s="811"/>
      <c r="X529" s="811"/>
      <c r="Y529" s="811"/>
      <c r="Z529" s="811"/>
      <c r="AA529" s="811"/>
      <c r="AB529" s="811"/>
      <c r="AC529" s="811"/>
      <c r="AD529" s="811"/>
      <c r="AE529" s="811"/>
      <c r="AF529" s="811"/>
      <c r="AG529" s="811"/>
      <c r="AH529" s="229"/>
      <c r="AI529" s="811"/>
      <c r="AJ529" s="831"/>
      <c r="AK529" s="207"/>
      <c r="AL529" s="798"/>
      <c r="AM529" s="804"/>
    </row>
    <row r="530" spans="1:39" ht="78.75" x14ac:dyDescent="0.25">
      <c r="A530" s="351"/>
      <c r="B530" s="352"/>
      <c r="C530" s="352"/>
      <c r="D530" s="210"/>
      <c r="E530" s="210"/>
      <c r="F530" s="823"/>
      <c r="G530" s="824" t="s">
        <v>2031</v>
      </c>
      <c r="H530" s="824" t="s">
        <v>2032</v>
      </c>
      <c r="I530" s="824" t="s">
        <v>2033</v>
      </c>
      <c r="J530" s="833"/>
      <c r="K530" s="834"/>
      <c r="L530" s="833"/>
      <c r="M530" s="837"/>
      <c r="N530" s="829">
        <v>5</v>
      </c>
      <c r="O530" s="824">
        <v>5</v>
      </c>
      <c r="P530" s="567">
        <f t="shared" ref="P530" si="91">+O530/N530</f>
        <v>1</v>
      </c>
      <c r="Q530" s="804" t="s">
        <v>2034</v>
      </c>
      <c r="R530" s="804" t="s">
        <v>2035</v>
      </c>
      <c r="S530" s="830">
        <v>41883</v>
      </c>
      <c r="T530" s="830">
        <v>41974</v>
      </c>
      <c r="U530" s="806">
        <v>60000000</v>
      </c>
      <c r="V530" s="805"/>
      <c r="W530" s="805" t="s">
        <v>55</v>
      </c>
      <c r="X530" s="805"/>
      <c r="Y530" s="805"/>
      <c r="Z530" s="805"/>
      <c r="AA530" s="805"/>
      <c r="AB530" s="805"/>
      <c r="AC530" s="805"/>
      <c r="AD530" s="805"/>
      <c r="AE530" s="805"/>
      <c r="AF530" s="806">
        <v>60000000</v>
      </c>
      <c r="AG530" s="806">
        <v>60000000</v>
      </c>
      <c r="AH530" s="26">
        <f t="shared" ref="AH530:AH534" si="92">+AG530/AF530</f>
        <v>1</v>
      </c>
      <c r="AI530" s="805" t="s">
        <v>2026</v>
      </c>
      <c r="AJ530" s="805"/>
      <c r="AK530" s="805"/>
      <c r="AL530" s="805" t="s">
        <v>247</v>
      </c>
      <c r="AM530" s="804"/>
    </row>
    <row r="531" spans="1:39" ht="45" x14ac:dyDescent="0.25">
      <c r="A531" s="351"/>
      <c r="B531" s="352"/>
      <c r="C531" s="352"/>
      <c r="D531" s="210"/>
      <c r="E531" s="210"/>
      <c r="F531" s="823"/>
      <c r="G531" s="837"/>
      <c r="H531" s="837"/>
      <c r="I531" s="837"/>
      <c r="J531" s="833"/>
      <c r="K531" s="834"/>
      <c r="L531" s="833"/>
      <c r="M531" s="837"/>
      <c r="N531" s="823"/>
      <c r="O531" s="823"/>
      <c r="P531" s="838"/>
      <c r="Q531" s="804" t="s">
        <v>2036</v>
      </c>
      <c r="R531" s="804" t="s">
        <v>2037</v>
      </c>
      <c r="S531" s="830">
        <v>41883</v>
      </c>
      <c r="T531" s="830">
        <v>41974</v>
      </c>
      <c r="U531" s="811"/>
      <c r="V531" s="810"/>
      <c r="W531" s="810"/>
      <c r="X531" s="810"/>
      <c r="Y531" s="810"/>
      <c r="Z531" s="810"/>
      <c r="AA531" s="810"/>
      <c r="AB531" s="810"/>
      <c r="AC531" s="810"/>
      <c r="AD531" s="810"/>
      <c r="AE531" s="810"/>
      <c r="AF531" s="810"/>
      <c r="AG531" s="810"/>
      <c r="AH531" s="191"/>
      <c r="AI531" s="810"/>
      <c r="AJ531" s="810"/>
      <c r="AK531" s="810"/>
      <c r="AL531" s="810"/>
      <c r="AM531" s="804"/>
    </row>
    <row r="532" spans="1:39" ht="78.75" x14ac:dyDescent="0.25">
      <c r="A532" s="351"/>
      <c r="B532" s="352"/>
      <c r="C532" s="352"/>
      <c r="D532" s="210"/>
      <c r="E532" s="210"/>
      <c r="F532" s="823"/>
      <c r="G532" s="825" t="s">
        <v>2038</v>
      </c>
      <c r="H532" s="825" t="s">
        <v>2039</v>
      </c>
      <c r="I532" s="825" t="s">
        <v>2040</v>
      </c>
      <c r="J532" s="839"/>
      <c r="K532" s="834"/>
      <c r="L532" s="840"/>
      <c r="M532" s="837"/>
      <c r="N532" s="837"/>
      <c r="O532" s="837"/>
      <c r="P532" s="841"/>
      <c r="Q532" s="804" t="s">
        <v>2041</v>
      </c>
      <c r="R532" s="804" t="s">
        <v>321</v>
      </c>
      <c r="S532" s="830">
        <v>41913</v>
      </c>
      <c r="T532" s="830">
        <v>41974</v>
      </c>
      <c r="U532" s="842">
        <v>80000000</v>
      </c>
      <c r="V532" s="804" t="s">
        <v>55</v>
      </c>
      <c r="W532" s="804"/>
      <c r="X532" s="804"/>
      <c r="Y532" s="804" t="s">
        <v>55</v>
      </c>
      <c r="Z532" s="804"/>
      <c r="AA532" s="804"/>
      <c r="AB532" s="804"/>
      <c r="AC532" s="804"/>
      <c r="AD532" s="804"/>
      <c r="AE532" s="804"/>
      <c r="AF532" s="842">
        <v>80000000</v>
      </c>
      <c r="AG532" s="843">
        <f>+AF532</f>
        <v>80000000</v>
      </c>
      <c r="AH532" s="162">
        <f t="shared" si="92"/>
        <v>1</v>
      </c>
      <c r="AI532" s="804" t="s">
        <v>2026</v>
      </c>
      <c r="AJ532" s="804"/>
      <c r="AK532" s="207"/>
      <c r="AL532" s="805" t="s">
        <v>247</v>
      </c>
      <c r="AM532" s="804"/>
    </row>
    <row r="533" spans="1:39" ht="213.75" x14ac:dyDescent="0.25">
      <c r="A533" s="351"/>
      <c r="B533" s="352"/>
      <c r="C533" s="352"/>
      <c r="D533" s="210"/>
      <c r="E533" s="210"/>
      <c r="F533" s="823"/>
      <c r="G533" s="825" t="s">
        <v>2042</v>
      </c>
      <c r="H533" s="825" t="s">
        <v>2043</v>
      </c>
      <c r="I533" s="825" t="s">
        <v>2044</v>
      </c>
      <c r="J533" s="840" t="s">
        <v>2045</v>
      </c>
      <c r="K533" s="844">
        <f>+(0.183*100)/0.5</f>
        <v>36.6</v>
      </c>
      <c r="L533" s="840" t="s">
        <v>2046</v>
      </c>
      <c r="M533" s="831"/>
      <c r="N533" s="804">
        <v>24</v>
      </c>
      <c r="O533" s="804">
        <v>24</v>
      </c>
      <c r="P533" s="567">
        <f t="shared" ref="P533:P539" si="93">+O533/N533</f>
        <v>1</v>
      </c>
      <c r="Q533" s="804" t="s">
        <v>2047</v>
      </c>
      <c r="R533" s="804" t="s">
        <v>2048</v>
      </c>
      <c r="S533" s="830">
        <v>41852</v>
      </c>
      <c r="T533" s="830">
        <v>41974</v>
      </c>
      <c r="U533" s="843">
        <v>80000000</v>
      </c>
      <c r="V533" s="804" t="s">
        <v>55</v>
      </c>
      <c r="W533" s="804"/>
      <c r="X533" s="804"/>
      <c r="Y533" s="804"/>
      <c r="Z533" s="804"/>
      <c r="AA533" s="804"/>
      <c r="AB533" s="804"/>
      <c r="AC533" s="845"/>
      <c r="AD533" s="804"/>
      <c r="AE533" s="804"/>
      <c r="AF533" s="843">
        <v>80000000</v>
      </c>
      <c r="AG533" s="843">
        <v>80000000</v>
      </c>
      <c r="AH533" s="162">
        <f t="shared" si="92"/>
        <v>1</v>
      </c>
      <c r="AI533" s="804" t="s">
        <v>2026</v>
      </c>
      <c r="AJ533" s="804"/>
      <c r="AK533" s="207"/>
      <c r="AL533" s="792" t="s">
        <v>247</v>
      </c>
      <c r="AM533" s="804">
        <v>24</v>
      </c>
    </row>
    <row r="534" spans="1:39" ht="157.5" x14ac:dyDescent="0.25">
      <c r="A534" s="351"/>
      <c r="B534" s="352"/>
      <c r="C534" s="352"/>
      <c r="D534" s="210"/>
      <c r="E534" s="210"/>
      <c r="F534" s="823"/>
      <c r="G534" s="823" t="s">
        <v>2049</v>
      </c>
      <c r="H534" s="823" t="s">
        <v>2050</v>
      </c>
      <c r="I534" s="823" t="s">
        <v>2051</v>
      </c>
      <c r="J534" s="831" t="s">
        <v>2052</v>
      </c>
      <c r="K534" s="774">
        <f>+(0.072*100)/0.5</f>
        <v>14.399999999999999</v>
      </c>
      <c r="L534" s="831" t="s">
        <v>2053</v>
      </c>
      <c r="M534" s="831"/>
      <c r="N534" s="804">
        <v>6</v>
      </c>
      <c r="O534" s="804">
        <v>6</v>
      </c>
      <c r="P534" s="119">
        <f t="shared" si="93"/>
        <v>1</v>
      </c>
      <c r="Q534" s="805" t="s">
        <v>2054</v>
      </c>
      <c r="R534" s="805" t="s">
        <v>2055</v>
      </c>
      <c r="S534" s="846">
        <v>41913</v>
      </c>
      <c r="T534" s="846">
        <v>41974</v>
      </c>
      <c r="U534" s="806">
        <v>45154060</v>
      </c>
      <c r="V534" s="806" t="s">
        <v>55</v>
      </c>
      <c r="W534" s="806"/>
      <c r="X534" s="806"/>
      <c r="Y534" s="806"/>
      <c r="Z534" s="806"/>
      <c r="AA534" s="806"/>
      <c r="AB534" s="806"/>
      <c r="AC534" s="806"/>
      <c r="AD534" s="806"/>
      <c r="AE534" s="806"/>
      <c r="AF534" s="806">
        <v>45154060</v>
      </c>
      <c r="AG534" s="806">
        <v>45154060</v>
      </c>
      <c r="AH534" s="26">
        <f t="shared" si="92"/>
        <v>1</v>
      </c>
      <c r="AI534" s="806" t="s">
        <v>2026</v>
      </c>
      <c r="AJ534" s="806"/>
      <c r="AK534" s="806"/>
      <c r="AL534" s="806" t="s">
        <v>247</v>
      </c>
      <c r="AM534" s="804">
        <v>6</v>
      </c>
    </row>
    <row r="535" spans="1:39" ht="112.5" x14ac:dyDescent="0.25">
      <c r="A535" s="351"/>
      <c r="B535" s="352"/>
      <c r="C535" s="352"/>
      <c r="D535" s="210"/>
      <c r="E535" s="210"/>
      <c r="F535" s="823"/>
      <c r="G535" s="823"/>
      <c r="H535" s="823"/>
      <c r="I535" s="823"/>
      <c r="J535" s="831" t="s">
        <v>2056</v>
      </c>
      <c r="K535" s="774">
        <f>+(0.026*100)/0.5</f>
        <v>5.2</v>
      </c>
      <c r="L535" s="831" t="s">
        <v>2057</v>
      </c>
      <c r="M535" s="831"/>
      <c r="N535" s="804">
        <v>2</v>
      </c>
      <c r="O535" s="804">
        <v>2</v>
      </c>
      <c r="P535" s="119">
        <f t="shared" si="93"/>
        <v>1</v>
      </c>
      <c r="Q535" s="831"/>
      <c r="R535" s="831"/>
      <c r="S535" s="831"/>
      <c r="T535" s="831"/>
      <c r="U535" s="831"/>
      <c r="V535" s="831"/>
      <c r="W535" s="831"/>
      <c r="X535" s="831"/>
      <c r="Y535" s="831"/>
      <c r="Z535" s="831"/>
      <c r="AA535" s="831"/>
      <c r="AB535" s="831"/>
      <c r="AC535" s="831"/>
      <c r="AD535" s="831"/>
      <c r="AE535" s="831"/>
      <c r="AF535" s="831"/>
      <c r="AG535" s="831"/>
      <c r="AH535" s="722"/>
      <c r="AI535" s="831"/>
      <c r="AJ535" s="831"/>
      <c r="AK535" s="207"/>
      <c r="AL535" s="798" t="s">
        <v>247</v>
      </c>
      <c r="AM535" s="804">
        <v>2</v>
      </c>
    </row>
    <row r="536" spans="1:39" ht="123.75" x14ac:dyDescent="0.25">
      <c r="A536" s="351"/>
      <c r="B536" s="352"/>
      <c r="C536" s="352"/>
      <c r="D536" s="210"/>
      <c r="E536" s="210"/>
      <c r="F536" s="823"/>
      <c r="G536" s="823"/>
      <c r="H536" s="823"/>
      <c r="I536" s="823"/>
      <c r="J536" s="831" t="s">
        <v>2058</v>
      </c>
      <c r="K536" s="774">
        <f>+(0.019*100)/0.5</f>
        <v>3.8</v>
      </c>
      <c r="L536" s="321" t="s">
        <v>2057</v>
      </c>
      <c r="M536" s="321"/>
      <c r="N536" s="804">
        <v>2</v>
      </c>
      <c r="O536" s="804">
        <v>2</v>
      </c>
      <c r="P536" s="119">
        <f t="shared" si="93"/>
        <v>1</v>
      </c>
      <c r="Q536" s="321"/>
      <c r="R536" s="321"/>
      <c r="S536" s="321"/>
      <c r="T536" s="321"/>
      <c r="U536" s="321"/>
      <c r="V536" s="321"/>
      <c r="W536" s="321"/>
      <c r="X536" s="321"/>
      <c r="Y536" s="321"/>
      <c r="Z536" s="321"/>
      <c r="AA536" s="321"/>
      <c r="AB536" s="321"/>
      <c r="AC536" s="321"/>
      <c r="AD536" s="321"/>
      <c r="AE536" s="321"/>
      <c r="AF536" s="321"/>
      <c r="AG536" s="321"/>
      <c r="AH536" s="322"/>
      <c r="AI536" s="321"/>
      <c r="AJ536" s="321"/>
      <c r="AK536" s="207"/>
      <c r="AL536" s="798" t="s">
        <v>247</v>
      </c>
      <c r="AM536" s="804">
        <v>2</v>
      </c>
    </row>
    <row r="537" spans="1:39" ht="123.75" x14ac:dyDescent="0.25">
      <c r="A537" s="351"/>
      <c r="B537" s="352"/>
      <c r="C537" s="352"/>
      <c r="D537" s="210"/>
      <c r="E537" s="210"/>
      <c r="F537" s="823"/>
      <c r="G537" s="823"/>
      <c r="H537" s="823"/>
      <c r="I537" s="823"/>
      <c r="J537" s="831" t="s">
        <v>2059</v>
      </c>
      <c r="K537" s="774">
        <f>+(0.008*100)/0.5</f>
        <v>1.6</v>
      </c>
      <c r="L537" s="831" t="s">
        <v>2060</v>
      </c>
      <c r="M537" s="831"/>
      <c r="N537" s="804">
        <v>1</v>
      </c>
      <c r="O537" s="804">
        <v>1</v>
      </c>
      <c r="P537" s="119">
        <f t="shared" si="93"/>
        <v>1</v>
      </c>
      <c r="Q537" s="831"/>
      <c r="R537" s="831"/>
      <c r="S537" s="831"/>
      <c r="T537" s="831"/>
      <c r="U537" s="831"/>
      <c r="V537" s="831"/>
      <c r="W537" s="831"/>
      <c r="X537" s="831"/>
      <c r="Y537" s="831"/>
      <c r="Z537" s="831"/>
      <c r="AA537" s="831"/>
      <c r="AB537" s="831"/>
      <c r="AC537" s="831"/>
      <c r="AD537" s="831"/>
      <c r="AE537" s="831"/>
      <c r="AF537" s="831"/>
      <c r="AG537" s="831"/>
      <c r="AH537" s="722"/>
      <c r="AI537" s="831"/>
      <c r="AJ537" s="831"/>
      <c r="AK537" s="207"/>
      <c r="AL537" s="798" t="s">
        <v>247</v>
      </c>
      <c r="AM537" s="804">
        <v>1</v>
      </c>
    </row>
    <row r="538" spans="1:39" ht="202.5" x14ac:dyDescent="0.25">
      <c r="A538" s="351"/>
      <c r="B538" s="352"/>
      <c r="C538" s="352"/>
      <c r="D538" s="210"/>
      <c r="E538" s="210"/>
      <c r="F538" s="823"/>
      <c r="G538" s="823"/>
      <c r="H538" s="823"/>
      <c r="I538" s="823"/>
      <c r="J538" s="831" t="s">
        <v>2061</v>
      </c>
      <c r="K538" s="774">
        <f>+(0.125*100)/0.5</f>
        <v>25</v>
      </c>
      <c r="L538" s="831" t="s">
        <v>2062</v>
      </c>
      <c r="M538" s="831"/>
      <c r="N538" s="804">
        <v>1</v>
      </c>
      <c r="O538" s="804">
        <v>1</v>
      </c>
      <c r="P538" s="119">
        <f t="shared" si="93"/>
        <v>1</v>
      </c>
      <c r="Q538" s="831"/>
      <c r="R538" s="831"/>
      <c r="S538" s="831"/>
      <c r="T538" s="831"/>
      <c r="U538" s="831"/>
      <c r="V538" s="831"/>
      <c r="W538" s="831"/>
      <c r="X538" s="831"/>
      <c r="Y538" s="831"/>
      <c r="Z538" s="831"/>
      <c r="AA538" s="831"/>
      <c r="AB538" s="831"/>
      <c r="AC538" s="831"/>
      <c r="AD538" s="831"/>
      <c r="AE538" s="831"/>
      <c r="AF538" s="831"/>
      <c r="AG538" s="831"/>
      <c r="AH538" s="722"/>
      <c r="AI538" s="831"/>
      <c r="AJ538" s="831"/>
      <c r="AK538" s="207"/>
      <c r="AL538" s="798" t="s">
        <v>247</v>
      </c>
      <c r="AM538" s="804">
        <v>1</v>
      </c>
    </row>
    <row r="539" spans="1:39" ht="146.25" x14ac:dyDescent="0.25">
      <c r="A539" s="351"/>
      <c r="B539" s="352"/>
      <c r="C539" s="352"/>
      <c r="D539" s="210"/>
      <c r="E539" s="210"/>
      <c r="F539" s="837"/>
      <c r="G539" s="825" t="s">
        <v>2063</v>
      </c>
      <c r="H539" s="825" t="s">
        <v>2064</v>
      </c>
      <c r="I539" s="825" t="s">
        <v>2065</v>
      </c>
      <c r="J539" s="831" t="s">
        <v>2066</v>
      </c>
      <c r="K539" s="774">
        <f>+(0.031*100)/0.5</f>
        <v>6.2</v>
      </c>
      <c r="L539" s="831" t="s">
        <v>2067</v>
      </c>
      <c r="M539" s="831"/>
      <c r="N539" s="804">
        <v>1</v>
      </c>
      <c r="O539" s="804">
        <v>1</v>
      </c>
      <c r="P539" s="119">
        <f t="shared" si="93"/>
        <v>1</v>
      </c>
      <c r="Q539" s="804" t="s">
        <v>2068</v>
      </c>
      <c r="R539" s="804"/>
      <c r="S539" s="830">
        <v>41883</v>
      </c>
      <c r="T539" s="830">
        <v>41974</v>
      </c>
      <c r="U539" s="842">
        <v>50000000</v>
      </c>
      <c r="V539" s="804" t="s">
        <v>55</v>
      </c>
      <c r="W539" s="804"/>
      <c r="X539" s="804"/>
      <c r="Y539" s="804"/>
      <c r="Z539" s="804"/>
      <c r="AA539" s="804"/>
      <c r="AB539" s="804"/>
      <c r="AC539" s="804"/>
      <c r="AD539" s="804"/>
      <c r="AE539" s="804"/>
      <c r="AF539" s="843">
        <v>50000000</v>
      </c>
      <c r="AG539" s="843">
        <v>50000000</v>
      </c>
      <c r="AH539" s="162">
        <f t="shared" ref="AH539" si="94">+AG539/AF539</f>
        <v>1</v>
      </c>
      <c r="AI539" s="804" t="s">
        <v>2026</v>
      </c>
      <c r="AJ539" s="804"/>
      <c r="AK539" s="207"/>
      <c r="AL539" s="792" t="s">
        <v>247</v>
      </c>
      <c r="AM539" s="804">
        <v>1</v>
      </c>
    </row>
    <row r="540" spans="1:39" ht="33.75" x14ac:dyDescent="0.25">
      <c r="A540" s="351"/>
      <c r="B540" s="352"/>
      <c r="C540" s="352"/>
      <c r="D540" s="210"/>
      <c r="E540" s="210"/>
      <c r="F540" s="110" t="s">
        <v>158</v>
      </c>
      <c r="G540" s="110"/>
      <c r="H540" s="110"/>
      <c r="I540" s="110"/>
      <c r="J540" s="847"/>
      <c r="K540" s="235">
        <f>SUM(K527:K539)</f>
        <v>100.2</v>
      </c>
      <c r="L540" s="848"/>
      <c r="M540" s="848"/>
      <c r="N540" s="848"/>
      <c r="O540" s="848"/>
      <c r="P540" s="848"/>
      <c r="Q540" s="848"/>
      <c r="R540" s="848"/>
      <c r="S540" s="848"/>
      <c r="T540" s="848"/>
      <c r="U540" s="848"/>
      <c r="V540" s="848"/>
      <c r="W540" s="848"/>
      <c r="X540" s="848"/>
      <c r="Y540" s="848"/>
      <c r="Z540" s="848"/>
      <c r="AA540" s="848"/>
      <c r="AB540" s="848"/>
      <c r="AC540" s="848"/>
      <c r="AD540" s="848"/>
      <c r="AE540" s="848"/>
      <c r="AF540" s="848"/>
      <c r="AG540" s="848"/>
      <c r="AH540" s="848"/>
      <c r="AI540" s="848"/>
      <c r="AJ540" s="848"/>
      <c r="AK540" s="144"/>
      <c r="AL540" s="113"/>
      <c r="AM540" s="144"/>
    </row>
    <row r="541" spans="1:39" ht="135" x14ac:dyDescent="0.25">
      <c r="A541" s="351"/>
      <c r="B541" s="352"/>
      <c r="C541" s="352"/>
      <c r="D541" s="210"/>
      <c r="E541" s="210"/>
      <c r="F541" s="792" t="s">
        <v>2069</v>
      </c>
      <c r="G541" s="792" t="s">
        <v>2070</v>
      </c>
      <c r="H541" s="297" t="s">
        <v>2071</v>
      </c>
      <c r="I541" s="297" t="s">
        <v>2072</v>
      </c>
      <c r="J541" s="792" t="s">
        <v>2073</v>
      </c>
      <c r="K541" s="849">
        <f>+(0.005*100)/1</f>
        <v>0.5</v>
      </c>
      <c r="L541" s="792" t="s">
        <v>2074</v>
      </c>
      <c r="M541" s="792"/>
      <c r="N541" s="793">
        <v>4</v>
      </c>
      <c r="O541" s="850">
        <v>0</v>
      </c>
      <c r="P541" s="119">
        <f t="shared" ref="P541:P548" si="95">+O541/N541</f>
        <v>0</v>
      </c>
      <c r="Q541" s="851" t="s">
        <v>2075</v>
      </c>
      <c r="R541" s="793" t="s">
        <v>2076</v>
      </c>
      <c r="S541" s="793" t="s">
        <v>316</v>
      </c>
      <c r="T541" s="793" t="s">
        <v>432</v>
      </c>
      <c r="U541" s="852">
        <v>50000000</v>
      </c>
      <c r="V541" s="793" t="s">
        <v>55</v>
      </c>
      <c r="W541" s="793"/>
      <c r="X541" s="793"/>
      <c r="Y541" s="793"/>
      <c r="Z541" s="793"/>
      <c r="AA541" s="793"/>
      <c r="AB541" s="793"/>
      <c r="AC541" s="793"/>
      <c r="AD541" s="793"/>
      <c r="AE541" s="793"/>
      <c r="AF541" s="852">
        <v>50000000</v>
      </c>
      <c r="AG541" s="853">
        <v>49996000</v>
      </c>
      <c r="AH541" s="162">
        <f t="shared" ref="AH541:AH542" si="96">+AG541/AF541</f>
        <v>0.99992000000000003</v>
      </c>
      <c r="AI541" s="793" t="s">
        <v>2077</v>
      </c>
      <c r="AJ541" s="793" t="s">
        <v>2078</v>
      </c>
      <c r="AK541" s="792" t="s">
        <v>1821</v>
      </c>
      <c r="AL541" s="792" t="s">
        <v>247</v>
      </c>
      <c r="AM541" s="793">
        <v>4</v>
      </c>
    </row>
    <row r="542" spans="1:39" ht="168.75" x14ac:dyDescent="0.25">
      <c r="A542" s="351"/>
      <c r="B542" s="352"/>
      <c r="C542" s="352"/>
      <c r="D542" s="210"/>
      <c r="E542" s="210"/>
      <c r="F542" s="854"/>
      <c r="G542" s="792" t="s">
        <v>2079</v>
      </c>
      <c r="H542" s="792" t="s">
        <v>2071</v>
      </c>
      <c r="I542" s="792" t="s">
        <v>2080</v>
      </c>
      <c r="J542" s="792" t="s">
        <v>2081</v>
      </c>
      <c r="K542" s="849">
        <f>+(0.131*100)/1</f>
        <v>13.100000000000001</v>
      </c>
      <c r="L542" s="792" t="s">
        <v>2082</v>
      </c>
      <c r="M542" s="792"/>
      <c r="N542" s="793">
        <v>300</v>
      </c>
      <c r="O542" s="850">
        <v>0</v>
      </c>
      <c r="P542" s="119">
        <f t="shared" si="95"/>
        <v>0</v>
      </c>
      <c r="Q542" s="855" t="s">
        <v>2083</v>
      </c>
      <c r="R542" s="792" t="s">
        <v>1948</v>
      </c>
      <c r="S542" s="792" t="s">
        <v>2084</v>
      </c>
      <c r="T542" s="792" t="s">
        <v>2085</v>
      </c>
      <c r="U542" s="795">
        <v>60244973</v>
      </c>
      <c r="V542" s="795" t="s">
        <v>55</v>
      </c>
      <c r="W542" s="795"/>
      <c r="X542" s="795"/>
      <c r="Y542" s="795"/>
      <c r="Z542" s="795"/>
      <c r="AA542" s="795"/>
      <c r="AB542" s="852"/>
      <c r="AC542" s="795"/>
      <c r="AD542" s="795"/>
      <c r="AE542" s="795"/>
      <c r="AF542" s="795">
        <v>60244973</v>
      </c>
      <c r="AG542" s="795">
        <v>60244948</v>
      </c>
      <c r="AH542" s="26">
        <f t="shared" si="96"/>
        <v>0.99999958502761721</v>
      </c>
      <c r="AI542" s="795" t="s">
        <v>2077</v>
      </c>
      <c r="AJ542" s="795" t="s">
        <v>2086</v>
      </c>
      <c r="AK542" s="795" t="s">
        <v>1821</v>
      </c>
      <c r="AL542" s="795" t="s">
        <v>247</v>
      </c>
      <c r="AM542" s="793">
        <v>300</v>
      </c>
    </row>
    <row r="543" spans="1:39" ht="45" x14ac:dyDescent="0.25">
      <c r="A543" s="351"/>
      <c r="B543" s="352"/>
      <c r="C543" s="352"/>
      <c r="D543" s="210"/>
      <c r="E543" s="210"/>
      <c r="F543" s="854"/>
      <c r="G543" s="854"/>
      <c r="H543" s="854"/>
      <c r="I543" s="854"/>
      <c r="J543" s="792" t="s">
        <v>2087</v>
      </c>
      <c r="K543" s="849">
        <f>+(0.003*100)/1</f>
        <v>0.3</v>
      </c>
      <c r="L543" s="792" t="s">
        <v>2088</v>
      </c>
      <c r="M543" s="792"/>
      <c r="N543" s="793">
        <v>1</v>
      </c>
      <c r="O543" s="850">
        <v>1</v>
      </c>
      <c r="P543" s="119">
        <f t="shared" si="95"/>
        <v>1</v>
      </c>
      <c r="Q543" s="856"/>
      <c r="R543" s="857"/>
      <c r="S543" s="857"/>
      <c r="T543" s="857"/>
      <c r="U543" s="858"/>
      <c r="V543" s="858"/>
      <c r="W543" s="858"/>
      <c r="X543" s="858"/>
      <c r="Y543" s="858"/>
      <c r="Z543" s="858"/>
      <c r="AA543" s="858"/>
      <c r="AB543" s="858"/>
      <c r="AC543" s="858"/>
      <c r="AD543" s="858"/>
      <c r="AE543" s="858"/>
      <c r="AF543" s="858"/>
      <c r="AG543" s="858"/>
      <c r="AH543" s="191"/>
      <c r="AI543" s="858"/>
      <c r="AJ543" s="858"/>
      <c r="AK543" s="858"/>
      <c r="AL543" s="858"/>
      <c r="AM543" s="793">
        <v>0</v>
      </c>
    </row>
    <row r="544" spans="1:39" ht="123.75" x14ac:dyDescent="0.25">
      <c r="A544" s="351"/>
      <c r="B544" s="352"/>
      <c r="C544" s="352"/>
      <c r="D544" s="210"/>
      <c r="E544" s="210"/>
      <c r="F544" s="854"/>
      <c r="G544" s="297" t="s">
        <v>2089</v>
      </c>
      <c r="H544" s="297" t="s">
        <v>2090</v>
      </c>
      <c r="I544" s="297" t="s">
        <v>2091</v>
      </c>
      <c r="J544" s="792" t="s">
        <v>2092</v>
      </c>
      <c r="K544" s="849">
        <f>+(0.012*100)/1</f>
        <v>1.2</v>
      </c>
      <c r="L544" s="792" t="s">
        <v>2093</v>
      </c>
      <c r="M544" s="792"/>
      <c r="N544" s="793">
        <v>3</v>
      </c>
      <c r="O544" s="850">
        <v>0</v>
      </c>
      <c r="P544" s="119">
        <f t="shared" si="95"/>
        <v>0</v>
      </c>
      <c r="Q544" s="851" t="s">
        <v>2094</v>
      </c>
      <c r="R544" s="793" t="s">
        <v>1948</v>
      </c>
      <c r="S544" s="793" t="s">
        <v>90</v>
      </c>
      <c r="T544" s="793" t="s">
        <v>2095</v>
      </c>
      <c r="U544" s="852">
        <v>50000000</v>
      </c>
      <c r="V544" s="793"/>
      <c r="W544" s="793"/>
      <c r="X544" s="793"/>
      <c r="Y544" s="793" t="s">
        <v>55</v>
      </c>
      <c r="Z544" s="793"/>
      <c r="AA544" s="793"/>
      <c r="AB544" s="793"/>
      <c r="AC544" s="793"/>
      <c r="AD544" s="793"/>
      <c r="AE544" s="793"/>
      <c r="AF544" s="853">
        <v>50000000</v>
      </c>
      <c r="AG544" s="853">
        <v>50000000</v>
      </c>
      <c r="AH544" s="162">
        <f t="shared" ref="AH544:AH548" si="97">+AG544/AF544</f>
        <v>1</v>
      </c>
      <c r="AI544" s="793" t="s">
        <v>2096</v>
      </c>
      <c r="AJ544" s="793" t="s">
        <v>2097</v>
      </c>
      <c r="AK544" s="792" t="s">
        <v>1821</v>
      </c>
      <c r="AL544" s="792" t="s">
        <v>247</v>
      </c>
      <c r="AM544" s="793">
        <v>3</v>
      </c>
    </row>
    <row r="545" spans="1:39" ht="90" x14ac:dyDescent="0.25">
      <c r="A545" s="351"/>
      <c r="B545" s="352"/>
      <c r="C545" s="352"/>
      <c r="D545" s="210"/>
      <c r="E545" s="210"/>
      <c r="F545" s="854"/>
      <c r="G545" s="297" t="s">
        <v>2098</v>
      </c>
      <c r="H545" s="297" t="s">
        <v>2099</v>
      </c>
      <c r="I545" s="859" t="s">
        <v>2100</v>
      </c>
      <c r="J545" s="860" t="s">
        <v>2101</v>
      </c>
      <c r="K545" s="849">
        <f>+(0.036*100)/1</f>
        <v>3.5999999999999996</v>
      </c>
      <c r="L545" s="855" t="s">
        <v>2102</v>
      </c>
      <c r="M545" s="792"/>
      <c r="N545" s="793">
        <v>1</v>
      </c>
      <c r="O545" s="850"/>
      <c r="P545" s="119">
        <f t="shared" si="95"/>
        <v>0</v>
      </c>
      <c r="Q545" s="297" t="s">
        <v>2100</v>
      </c>
      <c r="R545" s="793" t="s">
        <v>2067</v>
      </c>
      <c r="S545" s="793" t="s">
        <v>194</v>
      </c>
      <c r="T545" s="793" t="s">
        <v>2103</v>
      </c>
      <c r="U545" s="852">
        <v>50000000</v>
      </c>
      <c r="V545" s="793"/>
      <c r="W545" s="793" t="s">
        <v>55</v>
      </c>
      <c r="X545" s="793"/>
      <c r="Y545" s="793"/>
      <c r="Z545" s="793"/>
      <c r="AA545" s="793"/>
      <c r="AB545" s="793"/>
      <c r="AC545" s="793"/>
      <c r="AD545" s="793"/>
      <c r="AE545" s="793"/>
      <c r="AF545" s="852">
        <v>50000000</v>
      </c>
      <c r="AG545" s="852">
        <v>50000000</v>
      </c>
      <c r="AH545" s="162">
        <f t="shared" si="97"/>
        <v>1</v>
      </c>
      <c r="AI545" s="793"/>
      <c r="AJ545" s="793"/>
      <c r="AK545" s="792" t="s">
        <v>1821</v>
      </c>
      <c r="AL545" s="792" t="s">
        <v>247</v>
      </c>
      <c r="AM545" s="793">
        <v>1</v>
      </c>
    </row>
    <row r="546" spans="1:39" ht="90" x14ac:dyDescent="0.25">
      <c r="A546" s="351"/>
      <c r="B546" s="352"/>
      <c r="C546" s="352"/>
      <c r="D546" s="210"/>
      <c r="E546" s="210"/>
      <c r="F546" s="854"/>
      <c r="G546" s="297" t="s">
        <v>2098</v>
      </c>
      <c r="H546" s="297" t="s">
        <v>2104</v>
      </c>
      <c r="I546" s="859" t="s">
        <v>2105</v>
      </c>
      <c r="J546" s="861"/>
      <c r="K546" s="862"/>
      <c r="L546" s="856"/>
      <c r="M546" s="792"/>
      <c r="N546" s="793">
        <v>1</v>
      </c>
      <c r="O546" s="793">
        <v>1</v>
      </c>
      <c r="P546" s="800">
        <f t="shared" si="95"/>
        <v>1</v>
      </c>
      <c r="Q546" s="793" t="s">
        <v>2098</v>
      </c>
      <c r="R546" s="793" t="s">
        <v>2067</v>
      </c>
      <c r="S546" s="793" t="s">
        <v>460</v>
      </c>
      <c r="T546" s="793" t="s">
        <v>1104</v>
      </c>
      <c r="U546" s="852">
        <v>50000000</v>
      </c>
      <c r="V546" s="852">
        <v>50000000</v>
      </c>
      <c r="W546" s="793"/>
      <c r="X546" s="793"/>
      <c r="Y546" s="793"/>
      <c r="Z546" s="793" t="s">
        <v>55</v>
      </c>
      <c r="AA546" s="793"/>
      <c r="AB546" s="793"/>
      <c r="AC546" s="793"/>
      <c r="AD546" s="793"/>
      <c r="AE546" s="793"/>
      <c r="AF546" s="852">
        <v>50000000</v>
      </c>
      <c r="AG546" s="852">
        <v>50000000</v>
      </c>
      <c r="AH546" s="162">
        <f t="shared" si="97"/>
        <v>1</v>
      </c>
      <c r="AI546" s="793" t="s">
        <v>1443</v>
      </c>
      <c r="AJ546" s="793"/>
      <c r="AK546" s="792"/>
      <c r="AL546" s="792"/>
      <c r="AM546" s="793"/>
    </row>
    <row r="547" spans="1:39" ht="90" x14ac:dyDescent="0.25">
      <c r="A547" s="351"/>
      <c r="B547" s="352"/>
      <c r="C547" s="352"/>
      <c r="D547" s="210"/>
      <c r="E547" s="210"/>
      <c r="F547" s="854"/>
      <c r="G547" s="297" t="s">
        <v>2106</v>
      </c>
      <c r="H547" s="297" t="s">
        <v>2107</v>
      </c>
      <c r="I547" s="297" t="s">
        <v>2108</v>
      </c>
      <c r="J547" s="854" t="s">
        <v>2109</v>
      </c>
      <c r="K547" s="863">
        <f>+(0.018*100)/1</f>
        <v>1.7999999999999998</v>
      </c>
      <c r="L547" s="863" t="s">
        <v>2110</v>
      </c>
      <c r="M547" s="792"/>
      <c r="N547" s="793">
        <v>1</v>
      </c>
      <c r="O547" s="850">
        <v>0</v>
      </c>
      <c r="P547" s="119">
        <f t="shared" si="95"/>
        <v>0</v>
      </c>
      <c r="Q547" s="297" t="s">
        <v>2108</v>
      </c>
      <c r="R547" s="793" t="s">
        <v>2111</v>
      </c>
      <c r="S547" s="793" t="s">
        <v>460</v>
      </c>
      <c r="T547" s="793" t="s">
        <v>89</v>
      </c>
      <c r="U547" s="852">
        <v>50000000</v>
      </c>
      <c r="V547" s="793"/>
      <c r="W547" s="793" t="s">
        <v>55</v>
      </c>
      <c r="X547" s="793"/>
      <c r="Y547" s="793"/>
      <c r="Z547" s="793"/>
      <c r="AA547" s="793"/>
      <c r="AB547" s="793"/>
      <c r="AC547" s="793"/>
      <c r="AD547" s="793"/>
      <c r="AE547" s="793"/>
      <c r="AF547" s="852">
        <v>50000000</v>
      </c>
      <c r="AG547" s="853">
        <v>0</v>
      </c>
      <c r="AH547" s="162">
        <f t="shared" si="97"/>
        <v>0</v>
      </c>
      <c r="AI547" s="793"/>
      <c r="AJ547" s="793"/>
      <c r="AK547" s="792" t="s">
        <v>1821</v>
      </c>
      <c r="AL547" s="792" t="s">
        <v>247</v>
      </c>
      <c r="AM547" s="793">
        <v>1</v>
      </c>
    </row>
    <row r="548" spans="1:39" ht="90" x14ac:dyDescent="0.25">
      <c r="A548" s="351"/>
      <c r="B548" s="352"/>
      <c r="C548" s="352"/>
      <c r="D548" s="210"/>
      <c r="E548" s="210"/>
      <c r="F548" s="854"/>
      <c r="G548" s="297" t="s">
        <v>2106</v>
      </c>
      <c r="H548" s="297" t="s">
        <v>2112</v>
      </c>
      <c r="I548" s="297" t="s">
        <v>2113</v>
      </c>
      <c r="J548" s="792" t="s">
        <v>2109</v>
      </c>
      <c r="K548" s="863"/>
      <c r="L548" s="863"/>
      <c r="M548" s="792"/>
      <c r="N548" s="793">
        <v>1</v>
      </c>
      <c r="O548" s="793">
        <v>0</v>
      </c>
      <c r="P548" s="800">
        <f t="shared" si="95"/>
        <v>0</v>
      </c>
      <c r="Q548" s="793" t="s">
        <v>2106</v>
      </c>
      <c r="R548" s="793" t="s">
        <v>1270</v>
      </c>
      <c r="S548" s="793" t="s">
        <v>331</v>
      </c>
      <c r="T548" s="793" t="s">
        <v>286</v>
      </c>
      <c r="U548" s="852">
        <v>50000000</v>
      </c>
      <c r="V548" s="852">
        <v>50000000</v>
      </c>
      <c r="W548" s="793"/>
      <c r="X548" s="793"/>
      <c r="Y548" s="793"/>
      <c r="Z548" s="793" t="s">
        <v>55</v>
      </c>
      <c r="AA548" s="793"/>
      <c r="AB548" s="793"/>
      <c r="AC548" s="793"/>
      <c r="AD548" s="793"/>
      <c r="AE548" s="793"/>
      <c r="AF548" s="852">
        <v>50000000</v>
      </c>
      <c r="AG548" s="793">
        <v>0</v>
      </c>
      <c r="AH548" s="162">
        <f t="shared" si="97"/>
        <v>0</v>
      </c>
      <c r="AI548" s="793" t="s">
        <v>1443</v>
      </c>
      <c r="AJ548" s="793"/>
      <c r="AK548" s="792"/>
      <c r="AL548" s="792"/>
      <c r="AM548" s="793"/>
    </row>
    <row r="549" spans="1:39" ht="56.25" x14ac:dyDescent="0.25">
      <c r="A549" s="351"/>
      <c r="B549" s="352"/>
      <c r="C549" s="352"/>
      <c r="D549" s="210"/>
      <c r="E549" s="210"/>
      <c r="F549" s="854"/>
      <c r="G549" s="854"/>
      <c r="H549" s="854"/>
      <c r="I549" s="854"/>
      <c r="J549" s="792" t="s">
        <v>2114</v>
      </c>
      <c r="K549" s="849">
        <f>+(0.011*100)/1</f>
        <v>1.0999999999999999</v>
      </c>
      <c r="L549" s="792" t="s">
        <v>2115</v>
      </c>
      <c r="M549" s="792"/>
      <c r="N549" s="792"/>
      <c r="O549" s="792"/>
      <c r="P549" s="864"/>
      <c r="Q549" s="792"/>
      <c r="R549" s="792"/>
      <c r="S549" s="792"/>
      <c r="T549" s="792"/>
      <c r="U549" s="792"/>
      <c r="V549" s="792"/>
      <c r="W549" s="792"/>
      <c r="X549" s="792"/>
      <c r="Y549" s="792"/>
      <c r="Z549" s="792"/>
      <c r="AA549" s="792"/>
      <c r="AB549" s="792"/>
      <c r="AC549" s="792"/>
      <c r="AD549" s="792"/>
      <c r="AE549" s="792"/>
      <c r="AF549" s="792"/>
      <c r="AG549" s="792"/>
      <c r="AH549" s="864"/>
      <c r="AI549" s="792"/>
      <c r="AJ549" s="792"/>
      <c r="AK549" s="792" t="s">
        <v>1821</v>
      </c>
      <c r="AL549" s="865" t="s">
        <v>1044</v>
      </c>
      <c r="AM549" s="793">
        <v>20</v>
      </c>
    </row>
    <row r="550" spans="1:39" ht="56.25" x14ac:dyDescent="0.25">
      <c r="A550" s="351"/>
      <c r="B550" s="352"/>
      <c r="C550" s="352"/>
      <c r="D550" s="210"/>
      <c r="E550" s="210"/>
      <c r="F550" s="854"/>
      <c r="G550" s="854"/>
      <c r="H550" s="854"/>
      <c r="I550" s="854"/>
      <c r="J550" s="792" t="s">
        <v>2116</v>
      </c>
      <c r="K550" s="849">
        <f>+(0.077*100)/1</f>
        <v>7.7</v>
      </c>
      <c r="L550" s="792" t="s">
        <v>2117</v>
      </c>
      <c r="M550" s="792"/>
      <c r="N550" s="792"/>
      <c r="O550" s="792"/>
      <c r="P550" s="864"/>
      <c r="Q550" s="792"/>
      <c r="R550" s="792"/>
      <c r="S550" s="792"/>
      <c r="T550" s="792"/>
      <c r="U550" s="792"/>
      <c r="V550" s="792"/>
      <c r="W550" s="792"/>
      <c r="X550" s="792"/>
      <c r="Y550" s="792"/>
      <c r="Z550" s="792"/>
      <c r="AA550" s="792"/>
      <c r="AB550" s="792"/>
      <c r="AC550" s="792"/>
      <c r="AD550" s="792"/>
      <c r="AE550" s="792"/>
      <c r="AF550" s="792"/>
      <c r="AG550" s="792"/>
      <c r="AH550" s="864"/>
      <c r="AI550" s="792"/>
      <c r="AJ550" s="792"/>
      <c r="AK550" s="792" t="s">
        <v>1821</v>
      </c>
      <c r="AL550" s="865" t="s">
        <v>1044</v>
      </c>
      <c r="AM550" s="793">
        <v>1.2391304347826086</v>
      </c>
    </row>
    <row r="551" spans="1:39" ht="56.25" x14ac:dyDescent="0.25">
      <c r="A551" s="351"/>
      <c r="B551" s="352"/>
      <c r="C551" s="352"/>
      <c r="D551" s="210"/>
      <c r="E551" s="210"/>
      <c r="F551" s="854"/>
      <c r="G551" s="854"/>
      <c r="H551" s="854"/>
      <c r="I551" s="854"/>
      <c r="J551" s="792" t="s">
        <v>2118</v>
      </c>
      <c r="K551" s="849">
        <f>+(0.051*100)/1</f>
        <v>5.0999999999999996</v>
      </c>
      <c r="L551" s="792" t="s">
        <v>2119</v>
      </c>
      <c r="M551" s="792"/>
      <c r="N551" s="792"/>
      <c r="O551" s="792"/>
      <c r="P551" s="864"/>
      <c r="Q551" s="792"/>
      <c r="R551" s="792"/>
      <c r="S551" s="792"/>
      <c r="T551" s="792"/>
      <c r="U551" s="792"/>
      <c r="V551" s="792"/>
      <c r="W551" s="792"/>
      <c r="X551" s="792"/>
      <c r="Y551" s="792"/>
      <c r="Z551" s="792"/>
      <c r="AA551" s="792"/>
      <c r="AB551" s="792"/>
      <c r="AC551" s="792"/>
      <c r="AD551" s="792"/>
      <c r="AE551" s="792"/>
      <c r="AF551" s="792"/>
      <c r="AG551" s="792"/>
      <c r="AH551" s="864"/>
      <c r="AI551" s="792"/>
      <c r="AJ551" s="792"/>
      <c r="AK551" s="792" t="s">
        <v>1821</v>
      </c>
      <c r="AL551" s="865" t="s">
        <v>1044</v>
      </c>
      <c r="AM551" s="793">
        <v>1400</v>
      </c>
    </row>
    <row r="552" spans="1:39" ht="56.25" x14ac:dyDescent="0.25">
      <c r="A552" s="351"/>
      <c r="B552" s="352"/>
      <c r="C552" s="352"/>
      <c r="D552" s="210"/>
      <c r="E552" s="210"/>
      <c r="F552" s="854"/>
      <c r="G552" s="854"/>
      <c r="H552" s="854"/>
      <c r="I552" s="854"/>
      <c r="J552" s="792" t="s">
        <v>2120</v>
      </c>
      <c r="K552" s="849">
        <f>+(0.051*100)/1</f>
        <v>5.0999999999999996</v>
      </c>
      <c r="L552" s="792" t="s">
        <v>2121</v>
      </c>
      <c r="M552" s="792"/>
      <c r="N552" s="792"/>
      <c r="O552" s="792"/>
      <c r="P552" s="864"/>
      <c r="Q552" s="792"/>
      <c r="R552" s="792"/>
      <c r="S552" s="792"/>
      <c r="T552" s="792"/>
      <c r="U552" s="792"/>
      <c r="V552" s="792"/>
      <c r="W552" s="792"/>
      <c r="X552" s="792"/>
      <c r="Y552" s="792"/>
      <c r="Z552" s="792"/>
      <c r="AA552" s="792"/>
      <c r="AB552" s="792"/>
      <c r="AC552" s="792"/>
      <c r="AD552" s="792"/>
      <c r="AE552" s="792"/>
      <c r="AF552" s="792"/>
      <c r="AG552" s="792"/>
      <c r="AH552" s="864"/>
      <c r="AI552" s="792"/>
      <c r="AJ552" s="792"/>
      <c r="AK552" s="792" t="s">
        <v>1821</v>
      </c>
      <c r="AL552" s="865" t="s">
        <v>1044</v>
      </c>
      <c r="AM552" s="793">
        <v>1400</v>
      </c>
    </row>
    <row r="553" spans="1:39" ht="56.25" x14ac:dyDescent="0.25">
      <c r="A553" s="351"/>
      <c r="B553" s="352"/>
      <c r="C553" s="352"/>
      <c r="D553" s="210"/>
      <c r="E553" s="210"/>
      <c r="F553" s="854"/>
      <c r="G553" s="854"/>
      <c r="H553" s="854"/>
      <c r="I553" s="854"/>
      <c r="J553" s="792" t="s">
        <v>2122</v>
      </c>
      <c r="K553" s="849">
        <f>+(0.04*100)/1</f>
        <v>4</v>
      </c>
      <c r="L553" s="792" t="s">
        <v>2123</v>
      </c>
      <c r="M553" s="792"/>
      <c r="N553" s="792"/>
      <c r="O553" s="792"/>
      <c r="P553" s="864"/>
      <c r="Q553" s="792"/>
      <c r="R553" s="792"/>
      <c r="S553" s="792"/>
      <c r="T553" s="792"/>
      <c r="U553" s="792"/>
      <c r="V553" s="792"/>
      <c r="W553" s="792"/>
      <c r="X553" s="792"/>
      <c r="Y553" s="792"/>
      <c r="Z553" s="792"/>
      <c r="AA553" s="792"/>
      <c r="AB553" s="792"/>
      <c r="AC553" s="792"/>
      <c r="AD553" s="792"/>
      <c r="AE553" s="792"/>
      <c r="AF553" s="792"/>
      <c r="AG553" s="792"/>
      <c r="AH553" s="864"/>
      <c r="AI553" s="792"/>
      <c r="AJ553" s="792"/>
      <c r="AK553" s="792" t="s">
        <v>1821</v>
      </c>
      <c r="AL553" s="865" t="s">
        <v>1044</v>
      </c>
      <c r="AM553" s="793">
        <v>0</v>
      </c>
    </row>
    <row r="554" spans="1:39" ht="78.75" x14ac:dyDescent="0.25">
      <c r="A554" s="351"/>
      <c r="B554" s="352"/>
      <c r="C554" s="352"/>
      <c r="D554" s="210"/>
      <c r="E554" s="210"/>
      <c r="F554" s="854"/>
      <c r="G554" s="297" t="s">
        <v>2124</v>
      </c>
      <c r="H554" s="297" t="s">
        <v>2125</v>
      </c>
      <c r="I554" s="297" t="s">
        <v>2126</v>
      </c>
      <c r="J554" s="792" t="s">
        <v>2127</v>
      </c>
      <c r="K554" s="849">
        <f>+(0.051*100)/1</f>
        <v>5.0999999999999996</v>
      </c>
      <c r="L554" s="792" t="s">
        <v>2128</v>
      </c>
      <c r="M554" s="792"/>
      <c r="N554" s="793">
        <v>1</v>
      </c>
      <c r="O554" s="793">
        <v>1</v>
      </c>
      <c r="P554" s="800">
        <f t="shared" ref="P554:P557" si="98">+O554/N554</f>
        <v>1</v>
      </c>
      <c r="Q554" s="793" t="s">
        <v>2124</v>
      </c>
      <c r="R554" s="793" t="s">
        <v>2129</v>
      </c>
      <c r="S554" s="793" t="s">
        <v>54</v>
      </c>
      <c r="T554" s="793" t="s">
        <v>90</v>
      </c>
      <c r="U554" s="852">
        <v>80000000</v>
      </c>
      <c r="V554" s="852">
        <v>80000000</v>
      </c>
      <c r="W554" s="793"/>
      <c r="X554" s="793"/>
      <c r="Y554" s="793"/>
      <c r="Z554" s="793" t="s">
        <v>55</v>
      </c>
      <c r="AA554" s="793"/>
      <c r="AB554" s="793"/>
      <c r="AC554" s="793"/>
      <c r="AD554" s="793"/>
      <c r="AE554" s="793"/>
      <c r="AF554" s="852">
        <v>80000000</v>
      </c>
      <c r="AG554" s="852">
        <v>80000000</v>
      </c>
      <c r="AH554" s="162">
        <f t="shared" ref="AH554:AH556" si="99">+AG554/AF554</f>
        <v>1</v>
      </c>
      <c r="AI554" s="793" t="s">
        <v>2130</v>
      </c>
      <c r="AJ554" s="793"/>
      <c r="AK554" s="792" t="s">
        <v>1821</v>
      </c>
      <c r="AL554" s="865" t="s">
        <v>1044</v>
      </c>
      <c r="AM554" s="793">
        <v>1</v>
      </c>
    </row>
    <row r="555" spans="1:39" ht="90" x14ac:dyDescent="0.25">
      <c r="A555" s="351"/>
      <c r="B555" s="352"/>
      <c r="C555" s="352"/>
      <c r="D555" s="210"/>
      <c r="E555" s="210"/>
      <c r="F555" s="854"/>
      <c r="G555" s="297" t="s">
        <v>2131</v>
      </c>
      <c r="H555" s="297" t="s">
        <v>2132</v>
      </c>
      <c r="I555" s="297" t="s">
        <v>2133</v>
      </c>
      <c r="J555" s="792" t="s">
        <v>2134</v>
      </c>
      <c r="K555" s="849">
        <f>+(0.018*100)/1</f>
        <v>1.7999999999999998</v>
      </c>
      <c r="L555" s="792" t="s">
        <v>2135</v>
      </c>
      <c r="M555" s="792"/>
      <c r="N555" s="793">
        <v>10</v>
      </c>
      <c r="O555" s="793">
        <v>10</v>
      </c>
      <c r="P555" s="800">
        <f t="shared" si="98"/>
        <v>1</v>
      </c>
      <c r="Q555" s="793" t="s">
        <v>2131</v>
      </c>
      <c r="R555" s="793" t="s">
        <v>1270</v>
      </c>
      <c r="S555" s="793" t="s">
        <v>386</v>
      </c>
      <c r="T555" s="793" t="s">
        <v>90</v>
      </c>
      <c r="U555" s="852">
        <v>100000000</v>
      </c>
      <c r="V555" s="852">
        <v>100000000</v>
      </c>
      <c r="W555" s="793"/>
      <c r="X555" s="793"/>
      <c r="Y555" s="793"/>
      <c r="Z555" s="793" t="s">
        <v>55</v>
      </c>
      <c r="AA555" s="793"/>
      <c r="AB555" s="793"/>
      <c r="AC555" s="793"/>
      <c r="AD555" s="793"/>
      <c r="AE555" s="793"/>
      <c r="AF555" s="852">
        <v>100000000</v>
      </c>
      <c r="AG555" s="852">
        <v>100000000</v>
      </c>
      <c r="AH555" s="162">
        <f t="shared" si="99"/>
        <v>1</v>
      </c>
      <c r="AI555" s="793" t="s">
        <v>2130</v>
      </c>
      <c r="AJ555" s="793"/>
      <c r="AK555" s="792" t="s">
        <v>1821</v>
      </c>
      <c r="AL555" s="865" t="s">
        <v>1044</v>
      </c>
      <c r="AM555" s="793">
        <v>10</v>
      </c>
    </row>
    <row r="556" spans="1:39" ht="157.5" x14ac:dyDescent="0.25">
      <c r="A556" s="351"/>
      <c r="B556" s="352"/>
      <c r="C556" s="352"/>
      <c r="D556" s="210"/>
      <c r="E556" s="210"/>
      <c r="F556" s="854"/>
      <c r="G556" s="792" t="s">
        <v>2136</v>
      </c>
      <c r="H556" s="792" t="s">
        <v>2137</v>
      </c>
      <c r="I556" s="792" t="s">
        <v>2138</v>
      </c>
      <c r="J556" s="792" t="s">
        <v>2139</v>
      </c>
      <c r="K556" s="849">
        <f>+(0.025*100)/1</f>
        <v>2.5</v>
      </c>
      <c r="L556" s="792" t="s">
        <v>2140</v>
      </c>
      <c r="M556" s="792"/>
      <c r="N556" s="793">
        <v>2</v>
      </c>
      <c r="O556" s="850">
        <v>2</v>
      </c>
      <c r="P556" s="119">
        <f t="shared" si="98"/>
        <v>1</v>
      </c>
      <c r="Q556" s="851" t="s">
        <v>2141</v>
      </c>
      <c r="R556" s="793" t="s">
        <v>1948</v>
      </c>
      <c r="S556" s="793" t="s">
        <v>90</v>
      </c>
      <c r="T556" s="793" t="s">
        <v>201</v>
      </c>
      <c r="U556" s="795">
        <v>60000000</v>
      </c>
      <c r="V556" s="795"/>
      <c r="W556" s="795"/>
      <c r="X556" s="795"/>
      <c r="Y556" s="795" t="s">
        <v>55</v>
      </c>
      <c r="Z556" s="795"/>
      <c r="AA556" s="795"/>
      <c r="AB556" s="795"/>
      <c r="AC556" s="795"/>
      <c r="AD556" s="795"/>
      <c r="AE556" s="795"/>
      <c r="AF556" s="795">
        <v>60000000</v>
      </c>
      <c r="AG556" s="795">
        <v>59999840</v>
      </c>
      <c r="AH556" s="26">
        <f t="shared" si="99"/>
        <v>0.99999733333333329</v>
      </c>
      <c r="AI556" s="795" t="s">
        <v>2096</v>
      </c>
      <c r="AJ556" s="795" t="s">
        <v>2142</v>
      </c>
      <c r="AK556" s="795" t="s">
        <v>1821</v>
      </c>
      <c r="AL556" s="795" t="s">
        <v>247</v>
      </c>
      <c r="AM556" s="793">
        <v>2</v>
      </c>
    </row>
    <row r="557" spans="1:39" ht="56.25" x14ac:dyDescent="0.25">
      <c r="A557" s="351"/>
      <c r="B557" s="352"/>
      <c r="C557" s="352"/>
      <c r="D557" s="210"/>
      <c r="E557" s="210"/>
      <c r="F557" s="854"/>
      <c r="G557" s="854"/>
      <c r="H557" s="854"/>
      <c r="I557" s="854"/>
      <c r="J557" s="792" t="s">
        <v>2143</v>
      </c>
      <c r="K557" s="849">
        <f>+(0.019*100)/1</f>
        <v>1.9</v>
      </c>
      <c r="L557" s="792" t="s">
        <v>2144</v>
      </c>
      <c r="M557" s="792"/>
      <c r="N557" s="793">
        <v>6</v>
      </c>
      <c r="O557" s="850">
        <v>6</v>
      </c>
      <c r="P557" s="119">
        <f t="shared" si="98"/>
        <v>1</v>
      </c>
      <c r="Q557" s="851" t="s">
        <v>2145</v>
      </c>
      <c r="R557" s="793" t="s">
        <v>2146</v>
      </c>
      <c r="S557" s="793" t="s">
        <v>90</v>
      </c>
      <c r="T557" s="793" t="s">
        <v>201</v>
      </c>
      <c r="U557" s="792"/>
      <c r="V557" s="792"/>
      <c r="W557" s="792"/>
      <c r="X557" s="792"/>
      <c r="Y557" s="792"/>
      <c r="Z557" s="792"/>
      <c r="AA557" s="792"/>
      <c r="AB557" s="792"/>
      <c r="AC557" s="792"/>
      <c r="AD557" s="792"/>
      <c r="AE557" s="792"/>
      <c r="AF557" s="792"/>
      <c r="AG557" s="792"/>
      <c r="AH557" s="864"/>
      <c r="AI557" s="792"/>
      <c r="AJ557" s="792"/>
      <c r="AK557" s="792" t="s">
        <v>1821</v>
      </c>
      <c r="AL557" s="865" t="s">
        <v>247</v>
      </c>
      <c r="AM557" s="793">
        <v>6</v>
      </c>
    </row>
    <row r="558" spans="1:39" ht="56.25" x14ac:dyDescent="0.25">
      <c r="A558" s="351"/>
      <c r="B558" s="352"/>
      <c r="C558" s="352"/>
      <c r="D558" s="210"/>
      <c r="E558" s="210"/>
      <c r="F558" s="854"/>
      <c r="G558" s="854"/>
      <c r="H558" s="854"/>
      <c r="I558" s="854"/>
      <c r="J558" s="792" t="s">
        <v>2147</v>
      </c>
      <c r="K558" s="849">
        <f>+(0.007*100)/1</f>
        <v>0.70000000000000007</v>
      </c>
      <c r="L558" s="792" t="s">
        <v>2148</v>
      </c>
      <c r="M558" s="792"/>
      <c r="N558" s="792"/>
      <c r="O558" s="792"/>
      <c r="P558" s="864"/>
      <c r="Q558" s="792"/>
      <c r="R558" s="792"/>
      <c r="S558" s="792"/>
      <c r="T558" s="792"/>
      <c r="U558" s="792"/>
      <c r="V558" s="792"/>
      <c r="W558" s="792"/>
      <c r="X558" s="792"/>
      <c r="Y558" s="792"/>
      <c r="Z558" s="792"/>
      <c r="AA558" s="792"/>
      <c r="AB558" s="792"/>
      <c r="AC558" s="792"/>
      <c r="AD558" s="792"/>
      <c r="AE558" s="792"/>
      <c r="AF558" s="792"/>
      <c r="AG558" s="792"/>
      <c r="AH558" s="864"/>
      <c r="AI558" s="792"/>
      <c r="AJ558" s="792"/>
      <c r="AK558" s="792" t="s">
        <v>1821</v>
      </c>
      <c r="AL558" s="865" t="s">
        <v>247</v>
      </c>
      <c r="AM558" s="793">
        <v>0</v>
      </c>
    </row>
    <row r="559" spans="1:39" ht="56.25" x14ac:dyDescent="0.25">
      <c r="A559" s="351"/>
      <c r="B559" s="352"/>
      <c r="C559" s="352"/>
      <c r="D559" s="210"/>
      <c r="E559" s="210"/>
      <c r="F559" s="854"/>
      <c r="G559" s="854"/>
      <c r="H559" s="854"/>
      <c r="I559" s="854"/>
      <c r="J559" s="792" t="s">
        <v>2149</v>
      </c>
      <c r="K559" s="849">
        <f>+(0.003*100)/1</f>
        <v>0.3</v>
      </c>
      <c r="L559" s="792" t="s">
        <v>2150</v>
      </c>
      <c r="M559" s="792"/>
      <c r="N559" s="792"/>
      <c r="O559" s="792"/>
      <c r="P559" s="864"/>
      <c r="Q559" s="792"/>
      <c r="R559" s="792"/>
      <c r="S559" s="792"/>
      <c r="T559" s="792"/>
      <c r="U559" s="792"/>
      <c r="V559" s="792"/>
      <c r="W559" s="792"/>
      <c r="X559" s="792"/>
      <c r="Y559" s="792"/>
      <c r="Z559" s="792"/>
      <c r="AA559" s="792"/>
      <c r="AB559" s="792"/>
      <c r="AC559" s="792"/>
      <c r="AD559" s="792"/>
      <c r="AE559" s="792"/>
      <c r="AF559" s="792"/>
      <c r="AG559" s="792"/>
      <c r="AH559" s="864"/>
      <c r="AI559" s="792"/>
      <c r="AJ559" s="792"/>
      <c r="AK559" s="792" t="s">
        <v>1821</v>
      </c>
      <c r="AL559" s="865" t="s">
        <v>247</v>
      </c>
      <c r="AM559" s="793">
        <v>0</v>
      </c>
    </row>
    <row r="560" spans="1:39" ht="101.25" x14ac:dyDescent="0.25">
      <c r="A560" s="351"/>
      <c r="B560" s="352"/>
      <c r="C560" s="352"/>
      <c r="D560" s="210"/>
      <c r="E560" s="210"/>
      <c r="F560" s="866"/>
      <c r="G560" s="297" t="s">
        <v>2151</v>
      </c>
      <c r="H560" s="297" t="s">
        <v>2152</v>
      </c>
      <c r="I560" s="297" t="s">
        <v>2153</v>
      </c>
      <c r="J560" s="792" t="s">
        <v>2154</v>
      </c>
      <c r="K560" s="849">
        <f>+(0.013*100)/1</f>
        <v>1.3</v>
      </c>
      <c r="L560" s="792" t="s">
        <v>2155</v>
      </c>
      <c r="M560" s="792"/>
      <c r="N560" s="793">
        <v>1</v>
      </c>
      <c r="O560" s="850">
        <v>1</v>
      </c>
      <c r="P560" s="119">
        <f t="shared" ref="P560" si="100">+O560/N560</f>
        <v>1</v>
      </c>
      <c r="Q560" s="851" t="s">
        <v>2156</v>
      </c>
      <c r="R560" s="793" t="s">
        <v>2157</v>
      </c>
      <c r="S560" s="793" t="s">
        <v>316</v>
      </c>
      <c r="T560" s="793" t="s">
        <v>966</v>
      </c>
      <c r="U560" s="852">
        <v>70000000</v>
      </c>
      <c r="V560" s="793" t="s">
        <v>55</v>
      </c>
      <c r="W560" s="793"/>
      <c r="X560" s="793"/>
      <c r="Y560" s="793"/>
      <c r="Z560" s="793"/>
      <c r="AA560" s="793"/>
      <c r="AB560" s="793"/>
      <c r="AC560" s="793"/>
      <c r="AD560" s="793"/>
      <c r="AE560" s="793"/>
      <c r="AF560" s="853">
        <v>70000000</v>
      </c>
      <c r="AG560" s="853">
        <v>70000000</v>
      </c>
      <c r="AH560" s="162">
        <f t="shared" ref="AH560" si="101">+AG560/AF560</f>
        <v>1</v>
      </c>
      <c r="AI560" s="793" t="s">
        <v>2096</v>
      </c>
      <c r="AJ560" s="793" t="s">
        <v>2158</v>
      </c>
      <c r="AK560" s="792" t="s">
        <v>1821</v>
      </c>
      <c r="AL560" s="792" t="s">
        <v>247</v>
      </c>
      <c r="AM560" s="793">
        <v>1</v>
      </c>
    </row>
    <row r="561" spans="1:39" ht="78.75" x14ac:dyDescent="0.25">
      <c r="A561" s="351"/>
      <c r="B561" s="352"/>
      <c r="C561" s="352"/>
      <c r="D561" s="210"/>
      <c r="E561" s="210"/>
      <c r="F561" s="854"/>
      <c r="G561" s="854"/>
      <c r="H561" s="854"/>
      <c r="I561" s="854"/>
      <c r="J561" s="792" t="s">
        <v>2159</v>
      </c>
      <c r="K561" s="849">
        <f>+(0.052*100)/1</f>
        <v>5.2</v>
      </c>
      <c r="L561" s="792" t="s">
        <v>2160</v>
      </c>
      <c r="M561" s="792"/>
      <c r="N561" s="792"/>
      <c r="O561" s="792"/>
      <c r="P561" s="864"/>
      <c r="Q561" s="792"/>
      <c r="R561" s="792"/>
      <c r="S561" s="792"/>
      <c r="T561" s="792"/>
      <c r="U561" s="792"/>
      <c r="V561" s="792"/>
      <c r="W561" s="792"/>
      <c r="X561" s="792"/>
      <c r="Y561" s="792"/>
      <c r="Z561" s="792"/>
      <c r="AA561" s="792"/>
      <c r="AB561" s="792"/>
      <c r="AC561" s="792"/>
      <c r="AD561" s="792"/>
      <c r="AE561" s="792"/>
      <c r="AF561" s="792"/>
      <c r="AG561" s="792"/>
      <c r="AH561" s="864"/>
      <c r="AI561" s="792"/>
      <c r="AJ561" s="792"/>
      <c r="AK561" s="792" t="s">
        <v>1821</v>
      </c>
      <c r="AL561" s="865" t="s">
        <v>247</v>
      </c>
      <c r="AM561" s="793">
        <v>6</v>
      </c>
    </row>
    <row r="562" spans="1:39" ht="78.75" x14ac:dyDescent="0.25">
      <c r="A562" s="351"/>
      <c r="B562" s="352"/>
      <c r="C562" s="352"/>
      <c r="D562" s="210"/>
      <c r="E562" s="210"/>
      <c r="F562" s="854"/>
      <c r="G562" s="854"/>
      <c r="H562" s="854"/>
      <c r="I562" s="854"/>
      <c r="J562" s="792" t="s">
        <v>2161</v>
      </c>
      <c r="K562" s="849">
        <f>+(0.015*100)/1</f>
        <v>1.5</v>
      </c>
      <c r="L562" s="792" t="s">
        <v>2102</v>
      </c>
      <c r="M562" s="792"/>
      <c r="N562" s="792"/>
      <c r="O562" s="792"/>
      <c r="P562" s="864"/>
      <c r="Q562" s="792"/>
      <c r="R562" s="792"/>
      <c r="S562" s="792"/>
      <c r="T562" s="792"/>
      <c r="U562" s="792"/>
      <c r="V562" s="792"/>
      <c r="W562" s="792"/>
      <c r="X562" s="792"/>
      <c r="Y562" s="792"/>
      <c r="Z562" s="792"/>
      <c r="AA562" s="792"/>
      <c r="AB562" s="792"/>
      <c r="AC562" s="792"/>
      <c r="AD562" s="792"/>
      <c r="AE562" s="792"/>
      <c r="AF562" s="792"/>
      <c r="AG562" s="792"/>
      <c r="AH562" s="864"/>
      <c r="AI562" s="792"/>
      <c r="AJ562" s="792"/>
      <c r="AK562" s="792" t="s">
        <v>1821</v>
      </c>
      <c r="AL562" s="865" t="s">
        <v>535</v>
      </c>
      <c r="AM562" s="793">
        <v>1</v>
      </c>
    </row>
    <row r="563" spans="1:39" ht="112.5" x14ac:dyDescent="0.25">
      <c r="A563" s="351"/>
      <c r="B563" s="352"/>
      <c r="C563" s="352"/>
      <c r="D563" s="210"/>
      <c r="E563" s="210"/>
      <c r="F563" s="854"/>
      <c r="G563" s="297" t="s">
        <v>2162</v>
      </c>
      <c r="H563" s="297" t="s">
        <v>2163</v>
      </c>
      <c r="I563" s="297" t="s">
        <v>2164</v>
      </c>
      <c r="J563" s="792" t="s">
        <v>2165</v>
      </c>
      <c r="K563" s="849">
        <f>+(0.005*100)/1</f>
        <v>0.5</v>
      </c>
      <c r="L563" s="792" t="s">
        <v>2166</v>
      </c>
      <c r="M563" s="792"/>
      <c r="N563" s="793">
        <v>1</v>
      </c>
      <c r="O563" s="793">
        <v>1</v>
      </c>
      <c r="P563" s="800">
        <f>+O563/N563</f>
        <v>1</v>
      </c>
      <c r="Q563" s="297" t="s">
        <v>2167</v>
      </c>
      <c r="R563" s="793" t="s">
        <v>2168</v>
      </c>
      <c r="S563" s="793" t="s">
        <v>944</v>
      </c>
      <c r="T563" s="793" t="s">
        <v>2169</v>
      </c>
      <c r="U563" s="852">
        <v>60000000</v>
      </c>
      <c r="V563" s="852">
        <v>60000000</v>
      </c>
      <c r="W563" s="793" t="s">
        <v>55</v>
      </c>
      <c r="X563" s="793"/>
      <c r="Y563" s="793"/>
      <c r="Z563" s="793"/>
      <c r="AA563" s="793"/>
      <c r="AB563" s="793"/>
      <c r="AC563" s="793"/>
      <c r="AD563" s="793"/>
      <c r="AE563" s="793"/>
      <c r="AF563" s="852">
        <v>60000000</v>
      </c>
      <c r="AG563" s="852">
        <v>60000000</v>
      </c>
      <c r="AH563" s="800">
        <f>+AG563/AF563</f>
        <v>1</v>
      </c>
      <c r="AI563" s="793"/>
      <c r="AJ563" s="793"/>
      <c r="AK563" s="792" t="s">
        <v>1821</v>
      </c>
      <c r="AL563" s="792" t="s">
        <v>535</v>
      </c>
      <c r="AM563" s="793">
        <v>0</v>
      </c>
    </row>
    <row r="564" spans="1:39" ht="56.25" x14ac:dyDescent="0.25">
      <c r="A564" s="351"/>
      <c r="B564" s="352"/>
      <c r="C564" s="352"/>
      <c r="D564" s="210"/>
      <c r="E564" s="210"/>
      <c r="F564" s="854"/>
      <c r="G564" s="854"/>
      <c r="H564" s="854"/>
      <c r="I564" s="854"/>
      <c r="J564" s="792" t="s">
        <v>2170</v>
      </c>
      <c r="K564" s="849">
        <f>+(0.004*100)/1</f>
        <v>0.4</v>
      </c>
      <c r="L564" s="792" t="s">
        <v>2171</v>
      </c>
      <c r="M564" s="792"/>
      <c r="N564" s="792"/>
      <c r="O564" s="792"/>
      <c r="P564" s="864"/>
      <c r="Q564" s="792"/>
      <c r="R564" s="792"/>
      <c r="S564" s="792"/>
      <c r="T564" s="792"/>
      <c r="U564" s="792"/>
      <c r="V564" s="792"/>
      <c r="W564" s="792"/>
      <c r="X564" s="792"/>
      <c r="Y564" s="792"/>
      <c r="Z564" s="792"/>
      <c r="AA564" s="792"/>
      <c r="AB564" s="792"/>
      <c r="AC564" s="792"/>
      <c r="AD564" s="792"/>
      <c r="AE564" s="792"/>
      <c r="AF564" s="792"/>
      <c r="AG564" s="792"/>
      <c r="AH564" s="864"/>
      <c r="AI564" s="792"/>
      <c r="AJ564" s="792"/>
      <c r="AK564" s="792" t="s">
        <v>1821</v>
      </c>
      <c r="AL564" s="865" t="s">
        <v>535</v>
      </c>
      <c r="AM564" s="867">
        <v>1</v>
      </c>
    </row>
    <row r="565" spans="1:39" ht="56.25" x14ac:dyDescent="0.25">
      <c r="A565" s="351"/>
      <c r="B565" s="352"/>
      <c r="C565" s="352"/>
      <c r="D565" s="210"/>
      <c r="E565" s="210"/>
      <c r="F565" s="854"/>
      <c r="G565" s="854"/>
      <c r="H565" s="854"/>
      <c r="I565" s="854"/>
      <c r="J565" s="792" t="s">
        <v>2172</v>
      </c>
      <c r="K565" s="849">
        <f>+(0.004*100)/1</f>
        <v>0.4</v>
      </c>
      <c r="L565" s="792" t="s">
        <v>2173</v>
      </c>
      <c r="M565" s="792"/>
      <c r="N565" s="792"/>
      <c r="O565" s="792"/>
      <c r="P565" s="864"/>
      <c r="Q565" s="792"/>
      <c r="R565" s="792"/>
      <c r="S565" s="792"/>
      <c r="T565" s="792"/>
      <c r="U565" s="792"/>
      <c r="V565" s="792"/>
      <c r="W565" s="792"/>
      <c r="X565" s="792"/>
      <c r="Y565" s="792"/>
      <c r="Z565" s="792"/>
      <c r="AA565" s="792"/>
      <c r="AB565" s="792"/>
      <c r="AC565" s="792"/>
      <c r="AD565" s="792"/>
      <c r="AE565" s="792"/>
      <c r="AF565" s="792"/>
      <c r="AG565" s="792"/>
      <c r="AH565" s="864"/>
      <c r="AI565" s="792"/>
      <c r="AJ565" s="792"/>
      <c r="AK565" s="792" t="s">
        <v>1821</v>
      </c>
      <c r="AL565" s="865" t="s">
        <v>535</v>
      </c>
      <c r="AM565" s="867">
        <v>1</v>
      </c>
    </row>
    <row r="566" spans="1:39" ht="101.25" x14ac:dyDescent="0.25">
      <c r="A566" s="351"/>
      <c r="B566" s="352"/>
      <c r="C566" s="352"/>
      <c r="D566" s="210"/>
      <c r="E566" s="210"/>
      <c r="F566" s="854"/>
      <c r="G566" s="854"/>
      <c r="H566" s="854"/>
      <c r="I566" s="854"/>
      <c r="J566" s="792" t="s">
        <v>2174</v>
      </c>
      <c r="K566" s="849">
        <f>+(0.026*100)/1</f>
        <v>2.6</v>
      </c>
      <c r="L566" s="792" t="s">
        <v>2175</v>
      </c>
      <c r="M566" s="792"/>
      <c r="N566" s="792"/>
      <c r="O566" s="792"/>
      <c r="P566" s="864"/>
      <c r="Q566" s="792"/>
      <c r="R566" s="792"/>
      <c r="S566" s="792"/>
      <c r="T566" s="792"/>
      <c r="U566" s="792"/>
      <c r="V566" s="792"/>
      <c r="W566" s="792"/>
      <c r="X566" s="792"/>
      <c r="Y566" s="792"/>
      <c r="Z566" s="792"/>
      <c r="AA566" s="792"/>
      <c r="AB566" s="792"/>
      <c r="AC566" s="792"/>
      <c r="AD566" s="792"/>
      <c r="AE566" s="792"/>
      <c r="AF566" s="792"/>
      <c r="AG566" s="792"/>
      <c r="AH566" s="864"/>
      <c r="AI566" s="792"/>
      <c r="AJ566" s="792"/>
      <c r="AK566" s="792" t="s">
        <v>1821</v>
      </c>
      <c r="AL566" s="865" t="s">
        <v>535</v>
      </c>
      <c r="AM566" s="793">
        <v>0</v>
      </c>
    </row>
    <row r="567" spans="1:39" ht="56.25" x14ac:dyDescent="0.25">
      <c r="A567" s="351"/>
      <c r="B567" s="352"/>
      <c r="C567" s="352"/>
      <c r="D567" s="210"/>
      <c r="E567" s="210"/>
      <c r="F567" s="854"/>
      <c r="G567" s="854"/>
      <c r="H567" s="854"/>
      <c r="I567" s="854"/>
      <c r="J567" s="792" t="s">
        <v>2176</v>
      </c>
      <c r="K567" s="849">
        <f>+(0.022*100)/1</f>
        <v>2.1999999999999997</v>
      </c>
      <c r="L567" s="792" t="s">
        <v>2177</v>
      </c>
      <c r="M567" s="792"/>
      <c r="N567" s="792"/>
      <c r="O567" s="792"/>
      <c r="P567" s="864"/>
      <c r="Q567" s="792"/>
      <c r="R567" s="792"/>
      <c r="S567" s="792"/>
      <c r="T567" s="792"/>
      <c r="U567" s="792"/>
      <c r="V567" s="792"/>
      <c r="W567" s="792"/>
      <c r="X567" s="792"/>
      <c r="Y567" s="792"/>
      <c r="Z567" s="792"/>
      <c r="AA567" s="792"/>
      <c r="AB567" s="792"/>
      <c r="AC567" s="792"/>
      <c r="AD567" s="792"/>
      <c r="AE567" s="792"/>
      <c r="AF567" s="792"/>
      <c r="AG567" s="792"/>
      <c r="AH567" s="864"/>
      <c r="AI567" s="792"/>
      <c r="AJ567" s="792"/>
      <c r="AK567" s="792" t="s">
        <v>1821</v>
      </c>
      <c r="AL567" s="865" t="s">
        <v>535</v>
      </c>
      <c r="AM567" s="793">
        <v>0</v>
      </c>
    </row>
    <row r="568" spans="1:39" ht="67.5" x14ac:dyDescent="0.25">
      <c r="A568" s="351"/>
      <c r="B568" s="352"/>
      <c r="C568" s="352"/>
      <c r="D568" s="210"/>
      <c r="E568" s="210"/>
      <c r="F568" s="854"/>
      <c r="G568" s="854"/>
      <c r="H568" s="854"/>
      <c r="I568" s="854"/>
      <c r="J568" s="792" t="s">
        <v>2178</v>
      </c>
      <c r="K568" s="849">
        <f>+(0.026*100)/1</f>
        <v>2.6</v>
      </c>
      <c r="L568" s="792" t="s">
        <v>113</v>
      </c>
      <c r="M568" s="792"/>
      <c r="N568" s="792"/>
      <c r="O568" s="792"/>
      <c r="P568" s="864"/>
      <c r="Q568" s="792"/>
      <c r="R568" s="792"/>
      <c r="S568" s="792"/>
      <c r="T568" s="792"/>
      <c r="U568" s="792"/>
      <c r="V568" s="792"/>
      <c r="W568" s="792"/>
      <c r="X568" s="792"/>
      <c r="Y568" s="792"/>
      <c r="Z568" s="792"/>
      <c r="AA568" s="792"/>
      <c r="AB568" s="792"/>
      <c r="AC568" s="792"/>
      <c r="AD568" s="792"/>
      <c r="AE568" s="792"/>
      <c r="AF568" s="792"/>
      <c r="AG568" s="792"/>
      <c r="AH568" s="864"/>
      <c r="AI568" s="792"/>
      <c r="AJ568" s="792"/>
      <c r="AK568" s="792" t="s">
        <v>1821</v>
      </c>
      <c r="AL568" s="865" t="s">
        <v>535</v>
      </c>
      <c r="AM568" s="793">
        <v>0</v>
      </c>
    </row>
    <row r="569" spans="1:39" ht="67.5" x14ac:dyDescent="0.25">
      <c r="A569" s="351"/>
      <c r="B569" s="352"/>
      <c r="C569" s="352"/>
      <c r="D569" s="210"/>
      <c r="E569" s="210"/>
      <c r="F569" s="854"/>
      <c r="G569" s="854"/>
      <c r="H569" s="854"/>
      <c r="I569" s="854"/>
      <c r="J569" s="792" t="s">
        <v>2179</v>
      </c>
      <c r="K569" s="849">
        <f>+(0.027*100)/1</f>
        <v>2.7</v>
      </c>
      <c r="L569" s="792" t="s">
        <v>113</v>
      </c>
      <c r="M569" s="792"/>
      <c r="N569" s="792"/>
      <c r="O569" s="792"/>
      <c r="P569" s="864"/>
      <c r="Q569" s="792"/>
      <c r="R569" s="792"/>
      <c r="S569" s="792"/>
      <c r="T569" s="792"/>
      <c r="U569" s="792"/>
      <c r="V569" s="792"/>
      <c r="W569" s="792"/>
      <c r="X569" s="792"/>
      <c r="Y569" s="792"/>
      <c r="Z569" s="792"/>
      <c r="AA569" s="792"/>
      <c r="AB569" s="792"/>
      <c r="AC569" s="792"/>
      <c r="AD569" s="792"/>
      <c r="AE569" s="792"/>
      <c r="AF569" s="792"/>
      <c r="AG569" s="792"/>
      <c r="AH569" s="864"/>
      <c r="AI569" s="792"/>
      <c r="AJ569" s="792"/>
      <c r="AK569" s="792" t="s">
        <v>1821</v>
      </c>
      <c r="AL569" s="865" t="s">
        <v>293</v>
      </c>
      <c r="AM569" s="793">
        <v>0</v>
      </c>
    </row>
    <row r="570" spans="1:39" ht="56.25" x14ac:dyDescent="0.25">
      <c r="A570" s="351"/>
      <c r="B570" s="352"/>
      <c r="C570" s="352"/>
      <c r="D570" s="210"/>
      <c r="E570" s="210"/>
      <c r="F570" s="854"/>
      <c r="G570" s="854"/>
      <c r="H570" s="854"/>
      <c r="I570" s="854"/>
      <c r="J570" s="792" t="s">
        <v>2180</v>
      </c>
      <c r="K570" s="849">
        <f>+(0.072*100)/1</f>
        <v>7.1999999999999993</v>
      </c>
      <c r="L570" s="792" t="s">
        <v>2181</v>
      </c>
      <c r="M570" s="792"/>
      <c r="N570" s="792"/>
      <c r="O570" s="792"/>
      <c r="P570" s="864"/>
      <c r="Q570" s="792"/>
      <c r="R570" s="792"/>
      <c r="S570" s="792"/>
      <c r="T570" s="792"/>
      <c r="U570" s="792"/>
      <c r="V570" s="792"/>
      <c r="W570" s="792"/>
      <c r="X570" s="792"/>
      <c r="Y570" s="792"/>
      <c r="Z570" s="792"/>
      <c r="AA570" s="792"/>
      <c r="AB570" s="792"/>
      <c r="AC570" s="792"/>
      <c r="AD570" s="792"/>
      <c r="AE570" s="792"/>
      <c r="AF570" s="792"/>
      <c r="AG570" s="792"/>
      <c r="AH570" s="864"/>
      <c r="AI570" s="792"/>
      <c r="AJ570" s="792"/>
      <c r="AK570" s="792" t="s">
        <v>1821</v>
      </c>
      <c r="AL570" s="865" t="s">
        <v>390</v>
      </c>
      <c r="AM570" s="793">
        <v>1</v>
      </c>
    </row>
    <row r="571" spans="1:39" ht="56.25" x14ac:dyDescent="0.25">
      <c r="A571" s="351"/>
      <c r="B571" s="352"/>
      <c r="C571" s="352"/>
      <c r="D571" s="210"/>
      <c r="E571" s="210"/>
      <c r="F571" s="854"/>
      <c r="G571" s="854"/>
      <c r="H571" s="854"/>
      <c r="I571" s="854"/>
      <c r="J571" s="792" t="s">
        <v>2182</v>
      </c>
      <c r="K571" s="849">
        <f>+(0.038*100)/1</f>
        <v>3.8</v>
      </c>
      <c r="L571" s="792" t="s">
        <v>2183</v>
      </c>
      <c r="M571" s="792"/>
      <c r="N571" s="792"/>
      <c r="O571" s="792"/>
      <c r="P571" s="864"/>
      <c r="Q571" s="792"/>
      <c r="R571" s="792"/>
      <c r="S571" s="792"/>
      <c r="T571" s="792"/>
      <c r="U571" s="792"/>
      <c r="V571" s="792"/>
      <c r="W571" s="792"/>
      <c r="X571" s="792"/>
      <c r="Y571" s="792"/>
      <c r="Z571" s="792"/>
      <c r="AA571" s="792"/>
      <c r="AB571" s="792"/>
      <c r="AC571" s="792"/>
      <c r="AD571" s="792"/>
      <c r="AE571" s="792"/>
      <c r="AF571" s="792"/>
      <c r="AG571" s="792"/>
      <c r="AH571" s="864"/>
      <c r="AI571" s="792"/>
      <c r="AJ571" s="792"/>
      <c r="AK571" s="792" t="s">
        <v>1821</v>
      </c>
      <c r="AL571" s="865" t="s">
        <v>390</v>
      </c>
      <c r="AM571" s="793">
        <v>1</v>
      </c>
    </row>
    <row r="572" spans="1:39" ht="56.25" x14ac:dyDescent="0.25">
      <c r="A572" s="351"/>
      <c r="B572" s="352"/>
      <c r="C572" s="352"/>
      <c r="D572" s="210"/>
      <c r="E572" s="210"/>
      <c r="F572" s="854"/>
      <c r="G572" s="854"/>
      <c r="H572" s="854"/>
      <c r="I572" s="854"/>
      <c r="J572" s="792" t="s">
        <v>2184</v>
      </c>
      <c r="K572" s="849">
        <f>+(0.006*100)/1</f>
        <v>0.6</v>
      </c>
      <c r="L572" s="792" t="s">
        <v>2185</v>
      </c>
      <c r="M572" s="792"/>
      <c r="N572" s="792"/>
      <c r="O572" s="792"/>
      <c r="P572" s="864"/>
      <c r="Q572" s="792"/>
      <c r="R572" s="792"/>
      <c r="S572" s="792"/>
      <c r="T572" s="792"/>
      <c r="U572" s="792"/>
      <c r="V572" s="792"/>
      <c r="W572" s="792"/>
      <c r="X572" s="792"/>
      <c r="Y572" s="792"/>
      <c r="Z572" s="792"/>
      <c r="AA572" s="792"/>
      <c r="AB572" s="792"/>
      <c r="AC572" s="792"/>
      <c r="AD572" s="792"/>
      <c r="AE572" s="792"/>
      <c r="AF572" s="792"/>
      <c r="AG572" s="792"/>
      <c r="AH572" s="864"/>
      <c r="AI572" s="792"/>
      <c r="AJ572" s="792"/>
      <c r="AK572" s="792" t="s">
        <v>1821</v>
      </c>
      <c r="AL572" s="865" t="s">
        <v>247</v>
      </c>
      <c r="AM572" s="793">
        <v>0</v>
      </c>
    </row>
    <row r="573" spans="1:39" ht="56.25" x14ac:dyDescent="0.25">
      <c r="A573" s="351"/>
      <c r="B573" s="352"/>
      <c r="C573" s="352"/>
      <c r="D573" s="210"/>
      <c r="E573" s="210"/>
      <c r="F573" s="854"/>
      <c r="G573" s="854"/>
      <c r="H573" s="854"/>
      <c r="I573" s="854"/>
      <c r="J573" s="792" t="s">
        <v>2186</v>
      </c>
      <c r="K573" s="849">
        <f>+(0.015*100)/1</f>
        <v>1.5</v>
      </c>
      <c r="L573" s="792" t="s">
        <v>2187</v>
      </c>
      <c r="M573" s="792"/>
      <c r="N573" s="792"/>
      <c r="O573" s="792"/>
      <c r="P573" s="864"/>
      <c r="Q573" s="792"/>
      <c r="R573" s="792"/>
      <c r="S573" s="792"/>
      <c r="T573" s="792"/>
      <c r="U573" s="792"/>
      <c r="V573" s="792"/>
      <c r="W573" s="792"/>
      <c r="X573" s="792"/>
      <c r="Y573" s="792"/>
      <c r="Z573" s="792"/>
      <c r="AA573" s="792"/>
      <c r="AB573" s="792"/>
      <c r="AC573" s="792"/>
      <c r="AD573" s="792"/>
      <c r="AE573" s="792"/>
      <c r="AF573" s="792"/>
      <c r="AG573" s="792"/>
      <c r="AH573" s="864"/>
      <c r="AI573" s="792"/>
      <c r="AJ573" s="792"/>
      <c r="AK573" s="792" t="s">
        <v>1821</v>
      </c>
      <c r="AL573" s="865" t="s">
        <v>1355</v>
      </c>
      <c r="AM573" s="793">
        <v>1</v>
      </c>
    </row>
    <row r="574" spans="1:39" ht="56.25" x14ac:dyDescent="0.25">
      <c r="A574" s="351"/>
      <c r="B574" s="352"/>
      <c r="C574" s="352"/>
      <c r="D574" s="210"/>
      <c r="E574" s="210"/>
      <c r="F574" s="854"/>
      <c r="G574" s="854"/>
      <c r="H574" s="854"/>
      <c r="I574" s="854"/>
      <c r="J574" s="792" t="s">
        <v>2188</v>
      </c>
      <c r="K574" s="849">
        <f>+(0.004*100)/1</f>
        <v>0.4</v>
      </c>
      <c r="L574" s="792" t="s">
        <v>2189</v>
      </c>
      <c r="M574" s="792"/>
      <c r="N574" s="792"/>
      <c r="O574" s="792"/>
      <c r="P574" s="864"/>
      <c r="Q574" s="792"/>
      <c r="R574" s="792"/>
      <c r="S574" s="792"/>
      <c r="T574" s="792"/>
      <c r="U574" s="792"/>
      <c r="V574" s="792"/>
      <c r="W574" s="792"/>
      <c r="X574" s="792"/>
      <c r="Y574" s="792"/>
      <c r="Z574" s="792"/>
      <c r="AA574" s="792"/>
      <c r="AB574" s="792"/>
      <c r="AC574" s="792"/>
      <c r="AD574" s="792"/>
      <c r="AE574" s="792"/>
      <c r="AF574" s="792"/>
      <c r="AG574" s="792"/>
      <c r="AH574" s="864"/>
      <c r="AI574" s="792"/>
      <c r="AJ574" s="792"/>
      <c r="AK574" s="792" t="s">
        <v>1821</v>
      </c>
      <c r="AL574" s="865" t="s">
        <v>247</v>
      </c>
      <c r="AM574" s="793">
        <v>1</v>
      </c>
    </row>
    <row r="575" spans="1:39" ht="315" x14ac:dyDescent="0.25">
      <c r="A575" s="351"/>
      <c r="B575" s="352"/>
      <c r="C575" s="352"/>
      <c r="D575" s="210"/>
      <c r="E575" s="210"/>
      <c r="F575" s="854"/>
      <c r="G575" s="297" t="s">
        <v>2190</v>
      </c>
      <c r="H575" s="297" t="s">
        <v>2191</v>
      </c>
      <c r="I575" s="297"/>
      <c r="J575" s="792" t="s">
        <v>2190</v>
      </c>
      <c r="K575" s="849">
        <f>+(0.022*100)/1</f>
        <v>2.1999999999999997</v>
      </c>
      <c r="L575" s="792" t="s">
        <v>229</v>
      </c>
      <c r="M575" s="792"/>
      <c r="N575" s="793">
        <v>1</v>
      </c>
      <c r="O575" s="850">
        <v>1</v>
      </c>
      <c r="P575" s="119">
        <f t="shared" ref="P575:P579" si="102">+O575/N575</f>
        <v>1</v>
      </c>
      <c r="Q575" s="851" t="s">
        <v>2192</v>
      </c>
      <c r="R575" s="793" t="s">
        <v>2193</v>
      </c>
      <c r="S575" s="793" t="s">
        <v>194</v>
      </c>
      <c r="T575" s="793" t="s">
        <v>2194</v>
      </c>
      <c r="U575" s="852">
        <f>+'[2]POAI '!$K$43</f>
        <v>123390000</v>
      </c>
      <c r="V575" s="793" t="s">
        <v>55</v>
      </c>
      <c r="W575" s="793"/>
      <c r="X575" s="793"/>
      <c r="Y575" s="793" t="s">
        <v>55</v>
      </c>
      <c r="Z575" s="793"/>
      <c r="AA575" s="793"/>
      <c r="AB575" s="793"/>
      <c r="AC575" s="793"/>
      <c r="AD575" s="793"/>
      <c r="AE575" s="793"/>
      <c r="AF575" s="852">
        <f>+'[2]POAI '!$K$43</f>
        <v>123390000</v>
      </c>
      <c r="AG575" s="852">
        <f>+'[2]POAI '!$K$43</f>
        <v>123390000</v>
      </c>
      <c r="AH575" s="162">
        <f t="shared" ref="AH575:AH576" si="103">+AG575/AF575</f>
        <v>1</v>
      </c>
      <c r="AI575" s="793" t="s">
        <v>2096</v>
      </c>
      <c r="AJ575" s="793" t="s">
        <v>2195</v>
      </c>
      <c r="AK575" s="792" t="s">
        <v>1821</v>
      </c>
      <c r="AL575" s="792" t="s">
        <v>247</v>
      </c>
      <c r="AM575" s="793">
        <v>1</v>
      </c>
    </row>
    <row r="576" spans="1:39" ht="123.75" x14ac:dyDescent="0.25">
      <c r="A576" s="351"/>
      <c r="B576" s="352"/>
      <c r="C576" s="352"/>
      <c r="D576" s="210"/>
      <c r="E576" s="210"/>
      <c r="F576" s="854"/>
      <c r="G576" s="792" t="s">
        <v>2196</v>
      </c>
      <c r="H576" s="792" t="s">
        <v>2197</v>
      </c>
      <c r="I576" s="792" t="s">
        <v>2198</v>
      </c>
      <c r="J576" s="792" t="s">
        <v>2199</v>
      </c>
      <c r="K576" s="849">
        <f>+(0.013*100)/1</f>
        <v>1.3</v>
      </c>
      <c r="L576" s="792" t="s">
        <v>2200</v>
      </c>
      <c r="M576" s="792"/>
      <c r="N576" s="793">
        <v>1</v>
      </c>
      <c r="O576" s="850">
        <v>0</v>
      </c>
      <c r="P576" s="119">
        <f t="shared" si="102"/>
        <v>0</v>
      </c>
      <c r="Q576" s="851" t="s">
        <v>2201</v>
      </c>
      <c r="R576" s="793" t="s">
        <v>2202</v>
      </c>
      <c r="S576" s="792" t="s">
        <v>74</v>
      </c>
      <c r="T576" s="792" t="s">
        <v>1166</v>
      </c>
      <c r="U576" s="796">
        <v>60000000</v>
      </c>
      <c r="V576" s="796" t="s">
        <v>55</v>
      </c>
      <c r="W576" s="796"/>
      <c r="X576" s="796"/>
      <c r="Y576" s="796"/>
      <c r="Z576" s="796"/>
      <c r="AA576" s="796"/>
      <c r="AB576" s="796"/>
      <c r="AC576" s="796"/>
      <c r="AD576" s="796"/>
      <c r="AE576" s="796"/>
      <c r="AF576" s="796">
        <v>60000000</v>
      </c>
      <c r="AG576" s="796">
        <v>60000000</v>
      </c>
      <c r="AH576" s="26">
        <f t="shared" si="103"/>
        <v>1</v>
      </c>
      <c r="AI576" s="792" t="s">
        <v>2096</v>
      </c>
      <c r="AJ576" s="792" t="s">
        <v>2203</v>
      </c>
      <c r="AK576" s="792" t="s">
        <v>1821</v>
      </c>
      <c r="AL576" s="792" t="s">
        <v>247</v>
      </c>
      <c r="AM576" s="793">
        <v>1</v>
      </c>
    </row>
    <row r="577" spans="1:39" ht="56.25" x14ac:dyDescent="0.25">
      <c r="A577" s="351"/>
      <c r="B577" s="352"/>
      <c r="C577" s="352"/>
      <c r="D577" s="210"/>
      <c r="E577" s="210"/>
      <c r="F577" s="854"/>
      <c r="G577" s="857"/>
      <c r="H577" s="857"/>
      <c r="I577" s="857"/>
      <c r="J577" s="792" t="s">
        <v>2204</v>
      </c>
      <c r="K577" s="849">
        <f>+(0.026*100)/1</f>
        <v>2.6</v>
      </c>
      <c r="L577" s="792" t="s">
        <v>113</v>
      </c>
      <c r="M577" s="792"/>
      <c r="N577" s="793">
        <v>1</v>
      </c>
      <c r="O577" s="850">
        <v>0</v>
      </c>
      <c r="P577" s="119">
        <f t="shared" si="102"/>
        <v>0</v>
      </c>
      <c r="Q577" s="851" t="s">
        <v>2205</v>
      </c>
      <c r="R577" s="793" t="s">
        <v>1919</v>
      </c>
      <c r="S577" s="857"/>
      <c r="T577" s="857"/>
      <c r="U577" s="857"/>
      <c r="V577" s="857"/>
      <c r="W577" s="857"/>
      <c r="X577" s="857"/>
      <c r="Y577" s="857"/>
      <c r="Z577" s="857"/>
      <c r="AA577" s="857"/>
      <c r="AB577" s="857"/>
      <c r="AC577" s="857"/>
      <c r="AD577" s="857"/>
      <c r="AE577" s="857"/>
      <c r="AF577" s="857"/>
      <c r="AG577" s="857"/>
      <c r="AH577" s="162"/>
      <c r="AI577" s="857"/>
      <c r="AJ577" s="857"/>
      <c r="AK577" s="857"/>
      <c r="AL577" s="857"/>
      <c r="AM577" s="793">
        <v>1</v>
      </c>
    </row>
    <row r="578" spans="1:39" ht="157.5" x14ac:dyDescent="0.25">
      <c r="A578" s="351"/>
      <c r="B578" s="352"/>
      <c r="C578" s="352"/>
      <c r="D578" s="210"/>
      <c r="E578" s="210"/>
      <c r="F578" s="854"/>
      <c r="G578" s="297" t="s">
        <v>2206</v>
      </c>
      <c r="H578" s="297" t="s">
        <v>2207</v>
      </c>
      <c r="I578" s="297" t="s">
        <v>2208</v>
      </c>
      <c r="J578" s="792" t="s">
        <v>2209</v>
      </c>
      <c r="K578" s="849">
        <f>+(0.026*100)/1</f>
        <v>2.6</v>
      </c>
      <c r="L578" s="792" t="s">
        <v>2210</v>
      </c>
      <c r="M578" s="792"/>
      <c r="N578" s="867">
        <v>0.8</v>
      </c>
      <c r="O578" s="868">
        <v>0</v>
      </c>
      <c r="P578" s="119">
        <f t="shared" si="102"/>
        <v>0</v>
      </c>
      <c r="Q578" s="869" t="s">
        <v>2211</v>
      </c>
      <c r="R578" s="867" t="s">
        <v>52</v>
      </c>
      <c r="S578" s="867" t="s">
        <v>417</v>
      </c>
      <c r="T578" s="867" t="s">
        <v>130</v>
      </c>
      <c r="U578" s="870">
        <v>150000000</v>
      </c>
      <c r="V578" s="867"/>
      <c r="W578" s="867"/>
      <c r="X578" s="867"/>
      <c r="Y578" s="867" t="s">
        <v>55</v>
      </c>
      <c r="Z578" s="867"/>
      <c r="AA578" s="867"/>
      <c r="AB578" s="867"/>
      <c r="AC578" s="867"/>
      <c r="AD578" s="867"/>
      <c r="AE578" s="867"/>
      <c r="AF578" s="870">
        <v>150000000</v>
      </c>
      <c r="AG578" s="870">
        <v>0</v>
      </c>
      <c r="AH578" s="162">
        <f t="shared" ref="AH578:AH579" si="104">+AG578/AF578</f>
        <v>0</v>
      </c>
      <c r="AI578" s="793" t="s">
        <v>2096</v>
      </c>
      <c r="AJ578" s="867" t="s">
        <v>2212</v>
      </c>
      <c r="AK578" s="792" t="s">
        <v>1821</v>
      </c>
      <c r="AL578" s="792" t="s">
        <v>247</v>
      </c>
      <c r="AM578" s="867">
        <v>0.8</v>
      </c>
    </row>
    <row r="579" spans="1:39" ht="123.75" x14ac:dyDescent="0.25">
      <c r="A579" s="351"/>
      <c r="B579" s="352"/>
      <c r="C579" s="352"/>
      <c r="D579" s="210"/>
      <c r="E579" s="210"/>
      <c r="F579" s="857"/>
      <c r="G579" s="297" t="s">
        <v>2213</v>
      </c>
      <c r="H579" s="297" t="s">
        <v>2214</v>
      </c>
      <c r="I579" s="297" t="s">
        <v>2215</v>
      </c>
      <c r="J579" s="792" t="s">
        <v>2216</v>
      </c>
      <c r="K579" s="849">
        <f>+(0.024*100)/1</f>
        <v>2.4</v>
      </c>
      <c r="L579" s="792" t="s">
        <v>1475</v>
      </c>
      <c r="M579" s="792"/>
      <c r="N579" s="793">
        <v>1</v>
      </c>
      <c r="O579" s="850">
        <v>0</v>
      </c>
      <c r="P579" s="119">
        <f t="shared" si="102"/>
        <v>0</v>
      </c>
      <c r="Q579" s="851" t="s">
        <v>2217</v>
      </c>
      <c r="R579" s="793" t="s">
        <v>2218</v>
      </c>
      <c r="S579" s="793" t="s">
        <v>89</v>
      </c>
      <c r="T579" s="793" t="s">
        <v>366</v>
      </c>
      <c r="U579" s="852">
        <v>50000000</v>
      </c>
      <c r="V579" s="793"/>
      <c r="W579" s="793"/>
      <c r="X579" s="793"/>
      <c r="Y579" s="793" t="s">
        <v>55</v>
      </c>
      <c r="Z579" s="793"/>
      <c r="AA579" s="793"/>
      <c r="AB579" s="793"/>
      <c r="AC579" s="793"/>
      <c r="AD579" s="793"/>
      <c r="AE579" s="793"/>
      <c r="AF579" s="852">
        <v>50000000</v>
      </c>
      <c r="AG579" s="853">
        <v>49999712</v>
      </c>
      <c r="AH579" s="162">
        <f t="shared" si="104"/>
        <v>0.99999424000000003</v>
      </c>
      <c r="AI579" s="793" t="s">
        <v>2096</v>
      </c>
      <c r="AJ579" s="867" t="s">
        <v>2219</v>
      </c>
      <c r="AK579" s="792" t="s">
        <v>1821</v>
      </c>
      <c r="AL579" s="792" t="s">
        <v>247</v>
      </c>
      <c r="AM579" s="793">
        <v>1</v>
      </c>
    </row>
    <row r="580" spans="1:39" ht="33.75" x14ac:dyDescent="0.25">
      <c r="A580" s="351"/>
      <c r="B580" s="352"/>
      <c r="C580" s="352"/>
      <c r="D580" s="210"/>
      <c r="E580" s="210"/>
      <c r="F580" s="110" t="s">
        <v>158</v>
      </c>
      <c r="G580" s="110"/>
      <c r="H580" s="110"/>
      <c r="I580" s="110"/>
      <c r="J580" s="871"/>
      <c r="K580" s="872">
        <f>SUM(K541:K579)</f>
        <v>99.800000000000011</v>
      </c>
      <c r="L580" s="871"/>
      <c r="M580" s="871"/>
      <c r="N580" s="871"/>
      <c r="O580" s="871"/>
      <c r="P580" s="871"/>
      <c r="Q580" s="871"/>
      <c r="R580" s="871"/>
      <c r="S580" s="871"/>
      <c r="T580" s="871"/>
      <c r="U580" s="871"/>
      <c r="V580" s="871"/>
      <c r="W580" s="871"/>
      <c r="X580" s="871"/>
      <c r="Y580" s="871"/>
      <c r="Z580" s="871"/>
      <c r="AA580" s="871"/>
      <c r="AB580" s="871"/>
      <c r="AC580" s="871"/>
      <c r="AD580" s="871"/>
      <c r="AE580" s="871"/>
      <c r="AF580" s="871"/>
      <c r="AG580" s="871"/>
      <c r="AH580" s="871"/>
      <c r="AI580" s="871"/>
      <c r="AJ580" s="871"/>
      <c r="AK580" s="871"/>
      <c r="AL580" s="871"/>
      <c r="AM580" s="871"/>
    </row>
    <row r="581" spans="1:39" ht="101.25" x14ac:dyDescent="0.25">
      <c r="A581" s="351"/>
      <c r="B581" s="352"/>
      <c r="C581" s="352"/>
      <c r="D581" s="210"/>
      <c r="E581" s="210"/>
      <c r="F581" s="792" t="s">
        <v>2220</v>
      </c>
      <c r="G581" s="297" t="s">
        <v>2221</v>
      </c>
      <c r="H581" s="297" t="s">
        <v>1092</v>
      </c>
      <c r="I581" s="297" t="s">
        <v>1092</v>
      </c>
      <c r="J581" s="792" t="s">
        <v>2222</v>
      </c>
      <c r="K581" s="849">
        <f>+(0.027*100)/0.5</f>
        <v>5.4</v>
      </c>
      <c r="L581" s="792" t="s">
        <v>2223</v>
      </c>
      <c r="M581" s="792"/>
      <c r="N581" s="793">
        <v>15</v>
      </c>
      <c r="O581" s="793">
        <v>0</v>
      </c>
      <c r="P581" s="800">
        <f>+O581/N581</f>
        <v>0</v>
      </c>
      <c r="Q581" s="793" t="s">
        <v>1092</v>
      </c>
      <c r="R581" s="793" t="s">
        <v>1092</v>
      </c>
      <c r="S581" s="793"/>
      <c r="T581" s="793"/>
      <c r="U581" s="852">
        <v>100000000</v>
      </c>
      <c r="V581" s="852">
        <v>100000000</v>
      </c>
      <c r="W581" s="793"/>
      <c r="X581" s="793"/>
      <c r="Y581" s="793"/>
      <c r="Z581" s="793" t="s">
        <v>55</v>
      </c>
      <c r="AA581" s="793"/>
      <c r="AB581" s="793"/>
      <c r="AC581" s="793"/>
      <c r="AD581" s="793"/>
      <c r="AE581" s="793"/>
      <c r="AF581" s="852">
        <v>100000000</v>
      </c>
      <c r="AG581" s="853">
        <v>0</v>
      </c>
      <c r="AH581" s="162">
        <f t="shared" ref="AH581" si="105">+AG581/AF581</f>
        <v>0</v>
      </c>
      <c r="AI581" s="793"/>
      <c r="AJ581" s="793" t="s">
        <v>2224</v>
      </c>
      <c r="AK581" s="792" t="s">
        <v>1821</v>
      </c>
      <c r="AL581" s="865" t="s">
        <v>1044</v>
      </c>
      <c r="AM581" s="793">
        <v>15</v>
      </c>
    </row>
    <row r="582" spans="1:39" ht="56.25" x14ac:dyDescent="0.25">
      <c r="A582" s="351"/>
      <c r="B582" s="352"/>
      <c r="C582" s="352"/>
      <c r="D582" s="210"/>
      <c r="E582" s="210"/>
      <c r="F582" s="854"/>
      <c r="G582" s="854"/>
      <c r="H582" s="854"/>
      <c r="I582" s="854"/>
      <c r="J582" s="792" t="s">
        <v>2225</v>
      </c>
      <c r="K582" s="849">
        <f>+(0.013*100)/0.5</f>
        <v>2.6</v>
      </c>
      <c r="L582" s="792" t="s">
        <v>2226</v>
      </c>
      <c r="M582" s="792"/>
      <c r="N582" s="792"/>
      <c r="O582" s="792"/>
      <c r="P582" s="864"/>
      <c r="Q582" s="792"/>
      <c r="R582" s="792"/>
      <c r="S582" s="792"/>
      <c r="T582" s="792"/>
      <c r="U582" s="792"/>
      <c r="V582" s="792"/>
      <c r="W582" s="792"/>
      <c r="X582" s="792"/>
      <c r="Y582" s="792"/>
      <c r="Z582" s="792"/>
      <c r="AA582" s="792"/>
      <c r="AB582" s="792"/>
      <c r="AC582" s="792"/>
      <c r="AD582" s="792"/>
      <c r="AE582" s="792"/>
      <c r="AF582" s="792"/>
      <c r="AG582" s="792"/>
      <c r="AH582" s="864"/>
      <c r="AI582" s="792"/>
      <c r="AJ582" s="792"/>
      <c r="AK582" s="792" t="s">
        <v>1821</v>
      </c>
      <c r="AL582" s="865" t="s">
        <v>535</v>
      </c>
      <c r="AM582" s="867">
        <v>1</v>
      </c>
    </row>
    <row r="583" spans="1:39" ht="123.75" x14ac:dyDescent="0.25">
      <c r="A583" s="351"/>
      <c r="B583" s="352"/>
      <c r="C583" s="352"/>
      <c r="D583" s="210"/>
      <c r="E583" s="210"/>
      <c r="F583" s="854"/>
      <c r="G583" s="854" t="s">
        <v>2227</v>
      </c>
      <c r="H583" s="854" t="s">
        <v>2228</v>
      </c>
      <c r="I583" s="854"/>
      <c r="J583" s="792" t="s">
        <v>2229</v>
      </c>
      <c r="K583" s="849">
        <f>+(0.005*100)/0.5</f>
        <v>1</v>
      </c>
      <c r="L583" s="792" t="s">
        <v>2230</v>
      </c>
      <c r="M583" s="792"/>
      <c r="N583" s="793">
        <v>1</v>
      </c>
      <c r="O583" s="793">
        <v>0</v>
      </c>
      <c r="P583" s="800">
        <f>+O583/N583</f>
        <v>0</v>
      </c>
      <c r="Q583" s="792" t="s">
        <v>2231</v>
      </c>
      <c r="R583" s="792" t="s">
        <v>2232</v>
      </c>
      <c r="S583" s="792" t="s">
        <v>331</v>
      </c>
      <c r="T583" s="792" t="s">
        <v>54</v>
      </c>
      <c r="U583" s="873">
        <v>50000000</v>
      </c>
      <c r="V583" s="873">
        <v>50000000</v>
      </c>
      <c r="W583" s="873"/>
      <c r="X583" s="873"/>
      <c r="Y583" s="873"/>
      <c r="Z583" s="873" t="s">
        <v>55</v>
      </c>
      <c r="AA583" s="873"/>
      <c r="AB583" s="873"/>
      <c r="AC583" s="873"/>
      <c r="AD583" s="873"/>
      <c r="AE583" s="873"/>
      <c r="AF583" s="873">
        <v>50000000</v>
      </c>
      <c r="AG583" s="873">
        <v>50000000</v>
      </c>
      <c r="AH583" s="874">
        <f t="shared" ref="AH583" si="106">+AG583/AF583</f>
        <v>1</v>
      </c>
      <c r="AI583" s="792" t="s">
        <v>1443</v>
      </c>
      <c r="AJ583" s="792"/>
      <c r="AK583" s="792" t="s">
        <v>1821</v>
      </c>
      <c r="AL583" s="865" t="s">
        <v>1044</v>
      </c>
      <c r="AM583" s="793">
        <v>1</v>
      </c>
    </row>
    <row r="584" spans="1:39" ht="33.75" x14ac:dyDescent="0.25">
      <c r="A584" s="351"/>
      <c r="B584" s="352"/>
      <c r="C584" s="352"/>
      <c r="D584" s="210"/>
      <c r="E584" s="210"/>
      <c r="F584" s="854"/>
      <c r="G584" s="854"/>
      <c r="H584" s="854"/>
      <c r="I584" s="854"/>
      <c r="J584" s="792" t="s">
        <v>2233</v>
      </c>
      <c r="K584" s="849">
        <f>+(0.017*100)/0.5</f>
        <v>3.4000000000000004</v>
      </c>
      <c r="L584" s="792" t="s">
        <v>2234</v>
      </c>
      <c r="M584" s="792"/>
      <c r="N584" s="793">
        <v>1</v>
      </c>
      <c r="O584" s="793">
        <v>1</v>
      </c>
      <c r="P584" s="800">
        <f>+O584/N584</f>
        <v>1</v>
      </c>
      <c r="Q584" s="857"/>
      <c r="R584" s="857"/>
      <c r="S584" s="857"/>
      <c r="T584" s="857"/>
      <c r="U584" s="857"/>
      <c r="V584" s="857"/>
      <c r="W584" s="857"/>
      <c r="X584" s="857"/>
      <c r="Y584" s="857"/>
      <c r="Z584" s="857"/>
      <c r="AA584" s="857"/>
      <c r="AB584" s="857"/>
      <c r="AC584" s="857"/>
      <c r="AD584" s="857"/>
      <c r="AE584" s="857"/>
      <c r="AF584" s="857"/>
      <c r="AG584" s="857"/>
      <c r="AH584" s="841"/>
      <c r="AI584" s="857"/>
      <c r="AJ584" s="857"/>
      <c r="AK584" s="857"/>
      <c r="AL584" s="865" t="s">
        <v>1044</v>
      </c>
      <c r="AM584" s="793">
        <v>1</v>
      </c>
    </row>
    <row r="585" spans="1:39" ht="157.5" x14ac:dyDescent="0.25">
      <c r="A585" s="351"/>
      <c r="B585" s="352"/>
      <c r="C585" s="352"/>
      <c r="D585" s="210"/>
      <c r="E585" s="210"/>
      <c r="F585" s="854"/>
      <c r="G585" s="297" t="s">
        <v>2235</v>
      </c>
      <c r="H585" s="297" t="s">
        <v>1092</v>
      </c>
      <c r="I585" s="297" t="s">
        <v>1092</v>
      </c>
      <c r="J585" s="792" t="s">
        <v>2236</v>
      </c>
      <c r="K585" s="849">
        <f>+(0.025*100)/0.5</f>
        <v>5</v>
      </c>
      <c r="L585" s="792" t="s">
        <v>2237</v>
      </c>
      <c r="M585" s="792"/>
      <c r="N585" s="793">
        <v>1</v>
      </c>
      <c r="O585" s="793">
        <v>0</v>
      </c>
      <c r="P585" s="800">
        <f>+O585/N585</f>
        <v>0</v>
      </c>
      <c r="Q585" s="793" t="s">
        <v>2238</v>
      </c>
      <c r="R585" s="793"/>
      <c r="S585" s="793"/>
      <c r="T585" s="793"/>
      <c r="U585" s="852">
        <v>70000000</v>
      </c>
      <c r="V585" s="852">
        <v>70000000</v>
      </c>
      <c r="W585" s="793"/>
      <c r="X585" s="793"/>
      <c r="Y585" s="793"/>
      <c r="Z585" s="793" t="s">
        <v>55</v>
      </c>
      <c r="AA585" s="793"/>
      <c r="AB585" s="793"/>
      <c r="AC585" s="793"/>
      <c r="AD585" s="793"/>
      <c r="AE585" s="793"/>
      <c r="AF585" s="852">
        <v>70000000</v>
      </c>
      <c r="AG585" s="853">
        <v>0</v>
      </c>
      <c r="AH585" s="162">
        <f t="shared" ref="AH585" si="107">+AG585/AF585</f>
        <v>0</v>
      </c>
      <c r="AI585" s="793"/>
      <c r="AJ585" s="793" t="s">
        <v>2239</v>
      </c>
      <c r="AK585" s="792" t="s">
        <v>1821</v>
      </c>
      <c r="AL585" s="865" t="s">
        <v>1044</v>
      </c>
      <c r="AM585" s="793">
        <v>1</v>
      </c>
    </row>
    <row r="586" spans="1:39" ht="56.25" x14ac:dyDescent="0.25">
      <c r="A586" s="351"/>
      <c r="B586" s="352"/>
      <c r="C586" s="352"/>
      <c r="D586" s="210"/>
      <c r="E586" s="210"/>
      <c r="F586" s="854"/>
      <c r="G586" s="854"/>
      <c r="H586" s="854"/>
      <c r="I586" s="854"/>
      <c r="J586" s="792" t="s">
        <v>2240</v>
      </c>
      <c r="K586" s="849">
        <f>+(0.041*100)/0.5</f>
        <v>8.2000000000000011</v>
      </c>
      <c r="L586" s="792" t="s">
        <v>2241</v>
      </c>
      <c r="M586" s="792"/>
      <c r="N586" s="792"/>
      <c r="O586" s="792"/>
      <c r="P586" s="864"/>
      <c r="Q586" s="792"/>
      <c r="R586" s="792"/>
      <c r="S586" s="792"/>
      <c r="T586" s="792"/>
      <c r="U586" s="792"/>
      <c r="V586" s="792"/>
      <c r="W586" s="792"/>
      <c r="X586" s="792"/>
      <c r="Y586" s="792"/>
      <c r="Z586" s="792"/>
      <c r="AA586" s="792"/>
      <c r="AB586" s="792"/>
      <c r="AC586" s="792"/>
      <c r="AD586" s="792"/>
      <c r="AE586" s="792"/>
      <c r="AF586" s="792"/>
      <c r="AG586" s="792"/>
      <c r="AH586" s="864"/>
      <c r="AI586" s="792"/>
      <c r="AJ586" s="792"/>
      <c r="AK586" s="792" t="s">
        <v>1821</v>
      </c>
      <c r="AL586" s="865" t="s">
        <v>390</v>
      </c>
      <c r="AM586" s="793">
        <v>50</v>
      </c>
    </row>
    <row r="587" spans="1:39" ht="56.25" x14ac:dyDescent="0.25">
      <c r="A587" s="351"/>
      <c r="B587" s="352"/>
      <c r="C587" s="352"/>
      <c r="D587" s="210"/>
      <c r="E587" s="210"/>
      <c r="F587" s="854"/>
      <c r="G587" s="854"/>
      <c r="H587" s="854"/>
      <c r="I587" s="854"/>
      <c r="J587" s="792" t="s">
        <v>2242</v>
      </c>
      <c r="K587" s="849">
        <f>+(0.026*100)/0.5</f>
        <v>5.2</v>
      </c>
      <c r="L587" s="792" t="s">
        <v>2243</v>
      </c>
      <c r="M587" s="792"/>
      <c r="N587" s="792"/>
      <c r="O587" s="792"/>
      <c r="P587" s="864"/>
      <c r="Q587" s="792"/>
      <c r="R587" s="792"/>
      <c r="S587" s="792"/>
      <c r="T587" s="792"/>
      <c r="U587" s="792"/>
      <c r="V587" s="792"/>
      <c r="W587" s="792"/>
      <c r="X587" s="792"/>
      <c r="Y587" s="792"/>
      <c r="Z587" s="792"/>
      <c r="AA587" s="792"/>
      <c r="AB587" s="792"/>
      <c r="AC587" s="792"/>
      <c r="AD587" s="792"/>
      <c r="AE587" s="792"/>
      <c r="AF587" s="792"/>
      <c r="AG587" s="792"/>
      <c r="AH587" s="864"/>
      <c r="AI587" s="792"/>
      <c r="AJ587" s="792"/>
      <c r="AK587" s="792" t="s">
        <v>1821</v>
      </c>
      <c r="AL587" s="865" t="s">
        <v>390</v>
      </c>
      <c r="AM587" s="793">
        <v>50</v>
      </c>
    </row>
    <row r="588" spans="1:39" ht="56.25" x14ac:dyDescent="0.25">
      <c r="A588" s="351"/>
      <c r="B588" s="352"/>
      <c r="C588" s="352"/>
      <c r="D588" s="210"/>
      <c r="E588" s="210"/>
      <c r="F588" s="854"/>
      <c r="G588" s="854"/>
      <c r="H588" s="854"/>
      <c r="I588" s="854"/>
      <c r="J588" s="792" t="s">
        <v>2244</v>
      </c>
      <c r="K588" s="849">
        <f>+(0.146*100)/0.5</f>
        <v>29.2</v>
      </c>
      <c r="L588" s="792" t="s">
        <v>2245</v>
      </c>
      <c r="M588" s="792"/>
      <c r="N588" s="792"/>
      <c r="O588" s="792"/>
      <c r="P588" s="864"/>
      <c r="Q588" s="792"/>
      <c r="R588" s="792"/>
      <c r="S588" s="792"/>
      <c r="T588" s="792"/>
      <c r="U588" s="792"/>
      <c r="V588" s="792"/>
      <c r="W588" s="792"/>
      <c r="X588" s="792"/>
      <c r="Y588" s="792"/>
      <c r="Z588" s="792"/>
      <c r="AA588" s="792"/>
      <c r="AB588" s="792"/>
      <c r="AC588" s="792"/>
      <c r="AD588" s="792"/>
      <c r="AE588" s="792"/>
      <c r="AF588" s="792"/>
      <c r="AG588" s="792"/>
      <c r="AH588" s="864"/>
      <c r="AI588" s="792"/>
      <c r="AJ588" s="792"/>
      <c r="AK588" s="792" t="s">
        <v>1821</v>
      </c>
      <c r="AL588" s="865" t="s">
        <v>293</v>
      </c>
      <c r="AM588" s="793">
        <v>0</v>
      </c>
    </row>
    <row r="589" spans="1:39" ht="56.25" x14ac:dyDescent="0.25">
      <c r="A589" s="351"/>
      <c r="B589" s="352"/>
      <c r="C589" s="352"/>
      <c r="D589" s="210"/>
      <c r="E589" s="210"/>
      <c r="F589" s="854"/>
      <c r="G589" s="854"/>
      <c r="H589" s="854"/>
      <c r="I589" s="854"/>
      <c r="J589" s="792" t="s">
        <v>2246</v>
      </c>
      <c r="K589" s="849">
        <f>+(0.06*100)/0.5</f>
        <v>12</v>
      </c>
      <c r="L589" s="792" t="s">
        <v>2247</v>
      </c>
      <c r="M589" s="792"/>
      <c r="N589" s="792"/>
      <c r="O589" s="792"/>
      <c r="P589" s="864"/>
      <c r="Q589" s="792"/>
      <c r="R589" s="792"/>
      <c r="S589" s="792"/>
      <c r="T589" s="792"/>
      <c r="U589" s="792"/>
      <c r="V589" s="792"/>
      <c r="W589" s="792"/>
      <c r="X589" s="792"/>
      <c r="Y589" s="792"/>
      <c r="Z589" s="792"/>
      <c r="AA589" s="792"/>
      <c r="AB589" s="792"/>
      <c r="AC589" s="792"/>
      <c r="AD589" s="792"/>
      <c r="AE589" s="792"/>
      <c r="AF589" s="792"/>
      <c r="AG589" s="792"/>
      <c r="AH589" s="864"/>
      <c r="AI589" s="792"/>
      <c r="AJ589" s="792"/>
      <c r="AK589" s="792" t="s">
        <v>1821</v>
      </c>
      <c r="AL589" s="865" t="s">
        <v>1444</v>
      </c>
      <c r="AM589" s="793">
        <v>0</v>
      </c>
    </row>
    <row r="590" spans="1:39" ht="56.25" x14ac:dyDescent="0.25">
      <c r="A590" s="351"/>
      <c r="B590" s="352"/>
      <c r="C590" s="352"/>
      <c r="D590" s="210"/>
      <c r="E590" s="210"/>
      <c r="F590" s="854"/>
      <c r="G590" s="854"/>
      <c r="H590" s="854"/>
      <c r="I590" s="854"/>
      <c r="J590" s="792" t="s">
        <v>2248</v>
      </c>
      <c r="K590" s="849">
        <f>+(0.017*100)/0.5</f>
        <v>3.4000000000000004</v>
      </c>
      <c r="L590" s="792" t="s">
        <v>2249</v>
      </c>
      <c r="M590" s="792"/>
      <c r="N590" s="792"/>
      <c r="O590" s="792"/>
      <c r="P590" s="864"/>
      <c r="Q590" s="792"/>
      <c r="R590" s="792"/>
      <c r="S590" s="792"/>
      <c r="T590" s="792"/>
      <c r="U590" s="792"/>
      <c r="V590" s="792"/>
      <c r="W590" s="792"/>
      <c r="X590" s="792"/>
      <c r="Y590" s="792"/>
      <c r="Z590" s="792"/>
      <c r="AA590" s="792"/>
      <c r="AB590" s="792"/>
      <c r="AC590" s="792"/>
      <c r="AD590" s="792"/>
      <c r="AE590" s="792"/>
      <c r="AF590" s="792"/>
      <c r="AG590" s="792"/>
      <c r="AH590" s="864"/>
      <c r="AI590" s="792"/>
      <c r="AJ590" s="792"/>
      <c r="AK590" s="792" t="s">
        <v>1821</v>
      </c>
      <c r="AL590" s="865" t="s">
        <v>58</v>
      </c>
      <c r="AM590" s="793">
        <v>3</v>
      </c>
    </row>
    <row r="591" spans="1:39" ht="56.25" x14ac:dyDescent="0.25">
      <c r="A591" s="351"/>
      <c r="B591" s="352"/>
      <c r="C591" s="352"/>
      <c r="D591" s="210"/>
      <c r="E591" s="210"/>
      <c r="F591" s="854"/>
      <c r="G591" s="854"/>
      <c r="H591" s="854"/>
      <c r="I591" s="854"/>
      <c r="J591" s="792" t="s">
        <v>2250</v>
      </c>
      <c r="K591" s="849">
        <f>+(0.012*100)/0.5</f>
        <v>2.4</v>
      </c>
      <c r="L591" s="792" t="s">
        <v>2251</v>
      </c>
      <c r="M591" s="792"/>
      <c r="N591" s="792"/>
      <c r="O591" s="792"/>
      <c r="P591" s="864"/>
      <c r="Q591" s="792"/>
      <c r="R591" s="792"/>
      <c r="S591" s="792"/>
      <c r="T591" s="792"/>
      <c r="U591" s="792"/>
      <c r="V591" s="792"/>
      <c r="W591" s="792"/>
      <c r="X591" s="792"/>
      <c r="Y591" s="792"/>
      <c r="Z591" s="792"/>
      <c r="AA591" s="792"/>
      <c r="AB591" s="792"/>
      <c r="AC591" s="792"/>
      <c r="AD591" s="792"/>
      <c r="AE591" s="792"/>
      <c r="AF591" s="792"/>
      <c r="AG591" s="792"/>
      <c r="AH591" s="864"/>
      <c r="AI591" s="792"/>
      <c r="AJ591" s="792"/>
      <c r="AK591" s="792" t="s">
        <v>1821</v>
      </c>
      <c r="AL591" s="865" t="s">
        <v>1444</v>
      </c>
      <c r="AM591" s="793">
        <v>1</v>
      </c>
    </row>
    <row r="592" spans="1:39" ht="303.75" x14ac:dyDescent="0.25">
      <c r="A592" s="351"/>
      <c r="B592" s="352"/>
      <c r="C592" s="352"/>
      <c r="D592" s="210"/>
      <c r="E592" s="210"/>
      <c r="F592" s="854"/>
      <c r="G592" s="854" t="s">
        <v>2252</v>
      </c>
      <c r="H592" s="875" t="s">
        <v>2253</v>
      </c>
      <c r="I592" s="854" t="s">
        <v>2254</v>
      </c>
      <c r="J592" s="792" t="s">
        <v>2255</v>
      </c>
      <c r="K592" s="849">
        <f>+(0.003*100)/0.5</f>
        <v>0.6</v>
      </c>
      <c r="L592" s="792" t="s">
        <v>2256</v>
      </c>
      <c r="M592" s="792"/>
      <c r="N592" s="793">
        <v>3</v>
      </c>
      <c r="O592" s="793">
        <v>3</v>
      </c>
      <c r="P592" s="119">
        <f t="shared" ref="P592" si="108">+O592/N592</f>
        <v>1</v>
      </c>
      <c r="Q592" s="792" t="s">
        <v>2257</v>
      </c>
      <c r="R592" s="792" t="s">
        <v>2258</v>
      </c>
      <c r="S592" s="792" t="s">
        <v>2259</v>
      </c>
      <c r="T592" s="792" t="s">
        <v>460</v>
      </c>
      <c r="U592" s="796">
        <v>140000000</v>
      </c>
      <c r="V592" s="796" t="s">
        <v>55</v>
      </c>
      <c r="W592" s="796"/>
      <c r="X592" s="796"/>
      <c r="Y592" s="796"/>
      <c r="Z592" s="796"/>
      <c r="AA592" s="853"/>
      <c r="AB592" s="796"/>
      <c r="AC592" s="796"/>
      <c r="AD592" s="796"/>
      <c r="AE592" s="796"/>
      <c r="AF592" s="796">
        <v>140000000</v>
      </c>
      <c r="AG592" s="796">
        <v>140000000</v>
      </c>
      <c r="AH592" s="26">
        <f t="shared" ref="AH592" si="109">+AG592/AF592</f>
        <v>1</v>
      </c>
      <c r="AI592" s="792" t="s">
        <v>2260</v>
      </c>
      <c r="AJ592" s="792" t="s">
        <v>2261</v>
      </c>
      <c r="AK592" s="792" t="s">
        <v>1821</v>
      </c>
      <c r="AL592" s="792" t="s">
        <v>247</v>
      </c>
      <c r="AM592" s="793">
        <v>3</v>
      </c>
    </row>
    <row r="593" spans="1:39" ht="56.25" x14ac:dyDescent="0.25">
      <c r="A593" s="351"/>
      <c r="B593" s="352"/>
      <c r="C593" s="352"/>
      <c r="D593" s="210"/>
      <c r="E593" s="210"/>
      <c r="F593" s="854"/>
      <c r="G593" s="854"/>
      <c r="H593" s="854"/>
      <c r="I593" s="854"/>
      <c r="J593" s="792" t="s">
        <v>2262</v>
      </c>
      <c r="K593" s="849">
        <f>+(0.004*100)/0.5</f>
        <v>0.8</v>
      </c>
      <c r="L593" s="864" t="s">
        <v>2263</v>
      </c>
      <c r="M593" s="864"/>
      <c r="N593" s="864"/>
      <c r="O593" s="864"/>
      <c r="P593" s="864"/>
      <c r="Q593" s="864"/>
      <c r="R593" s="864"/>
      <c r="S593" s="864"/>
      <c r="T593" s="864"/>
      <c r="U593" s="864"/>
      <c r="V593" s="864"/>
      <c r="W593" s="864"/>
      <c r="X593" s="864"/>
      <c r="Y593" s="864"/>
      <c r="Z593" s="864"/>
      <c r="AA593" s="864"/>
      <c r="AB593" s="864"/>
      <c r="AC593" s="864"/>
      <c r="AD593" s="864"/>
      <c r="AE593" s="864"/>
      <c r="AF593" s="864"/>
      <c r="AG593" s="864"/>
      <c r="AH593" s="864"/>
      <c r="AI593" s="864"/>
      <c r="AJ593" s="864"/>
      <c r="AK593" s="792" t="s">
        <v>1821</v>
      </c>
      <c r="AL593" s="865" t="s">
        <v>58</v>
      </c>
      <c r="AM593" s="793">
        <v>1</v>
      </c>
    </row>
    <row r="594" spans="1:39" ht="56.25" x14ac:dyDescent="0.25">
      <c r="A594" s="351"/>
      <c r="B594" s="352"/>
      <c r="C594" s="352"/>
      <c r="D594" s="210"/>
      <c r="E594" s="210"/>
      <c r="F594" s="854"/>
      <c r="G594" s="854"/>
      <c r="H594" s="854"/>
      <c r="I594" s="854"/>
      <c r="J594" s="792" t="s">
        <v>2264</v>
      </c>
      <c r="K594" s="849">
        <f>+(0.027*100)/0.5</f>
        <v>5.4</v>
      </c>
      <c r="L594" s="792" t="s">
        <v>2265</v>
      </c>
      <c r="M594" s="792"/>
      <c r="N594" s="792"/>
      <c r="O594" s="792"/>
      <c r="P594" s="864"/>
      <c r="Q594" s="792"/>
      <c r="R594" s="792"/>
      <c r="S594" s="792"/>
      <c r="T594" s="792"/>
      <c r="U594" s="792"/>
      <c r="V594" s="792"/>
      <c r="W594" s="792"/>
      <c r="X594" s="792"/>
      <c r="Y594" s="792"/>
      <c r="Z594" s="792"/>
      <c r="AA594" s="792"/>
      <c r="AB594" s="792"/>
      <c r="AC594" s="792"/>
      <c r="AD594" s="792"/>
      <c r="AE594" s="792"/>
      <c r="AF594" s="792"/>
      <c r="AG594" s="792"/>
      <c r="AH594" s="864"/>
      <c r="AI594" s="792"/>
      <c r="AJ594" s="792"/>
      <c r="AK594" s="792" t="s">
        <v>1821</v>
      </c>
      <c r="AL594" s="865" t="s">
        <v>247</v>
      </c>
      <c r="AM594" s="793">
        <v>200</v>
      </c>
    </row>
    <row r="595" spans="1:39" ht="56.25" x14ac:dyDescent="0.25">
      <c r="A595" s="351"/>
      <c r="B595" s="352"/>
      <c r="C595" s="352"/>
      <c r="D595" s="210"/>
      <c r="E595" s="210"/>
      <c r="F595" s="854"/>
      <c r="G595" s="854"/>
      <c r="H595" s="854"/>
      <c r="I595" s="854"/>
      <c r="J595" s="792" t="s">
        <v>2266</v>
      </c>
      <c r="K595" s="849">
        <f>+(0.024*100)/0.5</f>
        <v>4.8</v>
      </c>
      <c r="L595" s="792" t="s">
        <v>2267</v>
      </c>
      <c r="M595" s="792"/>
      <c r="N595" s="876">
        <v>1</v>
      </c>
      <c r="O595" s="876">
        <v>1</v>
      </c>
      <c r="P595" s="119">
        <f t="shared" ref="P595" si="110">+O595/N595</f>
        <v>1</v>
      </c>
      <c r="Q595" s="792"/>
      <c r="R595" s="792"/>
      <c r="S595" s="792"/>
      <c r="T595" s="792"/>
      <c r="U595" s="792"/>
      <c r="V595" s="792"/>
      <c r="W595" s="792"/>
      <c r="X595" s="792"/>
      <c r="Y595" s="792"/>
      <c r="Z595" s="792"/>
      <c r="AA595" s="792"/>
      <c r="AB595" s="792"/>
      <c r="AC595" s="792"/>
      <c r="AD595" s="792"/>
      <c r="AE595" s="792"/>
      <c r="AF595" s="792"/>
      <c r="AG595" s="792"/>
      <c r="AH595" s="864"/>
      <c r="AI595" s="792"/>
      <c r="AJ595" s="792"/>
      <c r="AK595" s="792" t="s">
        <v>1821</v>
      </c>
      <c r="AL595" s="865" t="s">
        <v>247</v>
      </c>
      <c r="AM595" s="876">
        <v>1</v>
      </c>
    </row>
    <row r="596" spans="1:39" ht="56.25" x14ac:dyDescent="0.25">
      <c r="A596" s="351"/>
      <c r="B596" s="352"/>
      <c r="C596" s="352"/>
      <c r="D596" s="210"/>
      <c r="E596" s="210"/>
      <c r="F596" s="854"/>
      <c r="G596" s="854"/>
      <c r="H596" s="854"/>
      <c r="I596" s="854"/>
      <c r="J596" s="792" t="s">
        <v>2268</v>
      </c>
      <c r="K596" s="849">
        <f>+(0.029*100)/0.5</f>
        <v>5.8000000000000007</v>
      </c>
      <c r="L596" s="792" t="s">
        <v>2269</v>
      </c>
      <c r="M596" s="792"/>
      <c r="N596" s="792"/>
      <c r="O596" s="792"/>
      <c r="P596" s="864"/>
      <c r="Q596" s="792"/>
      <c r="R596" s="792"/>
      <c r="S596" s="792"/>
      <c r="T596" s="792"/>
      <c r="U596" s="792"/>
      <c r="V596" s="792"/>
      <c r="W596" s="792"/>
      <c r="X596" s="792"/>
      <c r="Y596" s="792"/>
      <c r="Z596" s="792"/>
      <c r="AA596" s="792"/>
      <c r="AB596" s="792"/>
      <c r="AC596" s="792"/>
      <c r="AD596" s="792"/>
      <c r="AE596" s="792"/>
      <c r="AF596" s="792"/>
      <c r="AG596" s="792"/>
      <c r="AH596" s="864"/>
      <c r="AI596" s="792"/>
      <c r="AJ596" s="792"/>
      <c r="AK596" s="792" t="s">
        <v>1821</v>
      </c>
      <c r="AL596" s="865" t="s">
        <v>58</v>
      </c>
      <c r="AM596" s="793">
        <v>1</v>
      </c>
    </row>
    <row r="597" spans="1:39" ht="56.25" x14ac:dyDescent="0.25">
      <c r="A597" s="351"/>
      <c r="B597" s="352"/>
      <c r="C597" s="352"/>
      <c r="D597" s="210"/>
      <c r="E597" s="210"/>
      <c r="F597" s="857"/>
      <c r="G597" s="857"/>
      <c r="H597" s="857"/>
      <c r="I597" s="857"/>
      <c r="J597" s="792" t="s">
        <v>2270</v>
      </c>
      <c r="K597" s="849">
        <f>+(0.025*100)/0.5</f>
        <v>5</v>
      </c>
      <c r="L597" s="792" t="s">
        <v>2271</v>
      </c>
      <c r="M597" s="792"/>
      <c r="N597" s="792"/>
      <c r="O597" s="792"/>
      <c r="P597" s="864"/>
      <c r="Q597" s="792"/>
      <c r="R597" s="792"/>
      <c r="S597" s="792"/>
      <c r="T597" s="792"/>
      <c r="U597" s="792"/>
      <c r="V597" s="792"/>
      <c r="W597" s="792"/>
      <c r="X597" s="792"/>
      <c r="Y597" s="792"/>
      <c r="Z597" s="792"/>
      <c r="AA597" s="792"/>
      <c r="AB597" s="792"/>
      <c r="AC597" s="792"/>
      <c r="AD597" s="792"/>
      <c r="AE597" s="792"/>
      <c r="AF597" s="792"/>
      <c r="AG597" s="792"/>
      <c r="AH597" s="864"/>
      <c r="AI597" s="792"/>
      <c r="AJ597" s="792"/>
      <c r="AK597" s="792" t="s">
        <v>1821</v>
      </c>
      <c r="AL597" s="865" t="s">
        <v>247</v>
      </c>
      <c r="AM597" s="793">
        <v>1</v>
      </c>
    </row>
    <row r="598" spans="1:39" ht="33.75" x14ac:dyDescent="0.25">
      <c r="A598" s="351"/>
      <c r="B598" s="352"/>
      <c r="C598" s="352"/>
      <c r="D598" s="210"/>
      <c r="E598" s="210"/>
      <c r="F598" s="110" t="s">
        <v>158</v>
      </c>
      <c r="G598" s="110"/>
      <c r="H598" s="110"/>
      <c r="I598" s="110"/>
      <c r="J598" s="871"/>
      <c r="K598" s="872">
        <f>SUM(K581:K597)</f>
        <v>100.2</v>
      </c>
      <c r="L598" s="871"/>
      <c r="M598" s="871"/>
      <c r="N598" s="871"/>
      <c r="O598" s="871"/>
      <c r="P598" s="871"/>
      <c r="Q598" s="871"/>
      <c r="R598" s="871"/>
      <c r="S598" s="871"/>
      <c r="T598" s="871"/>
      <c r="U598" s="871"/>
      <c r="V598" s="871"/>
      <c r="W598" s="871"/>
      <c r="X598" s="871"/>
      <c r="Y598" s="871"/>
      <c r="Z598" s="871"/>
      <c r="AA598" s="871"/>
      <c r="AB598" s="871"/>
      <c r="AC598" s="871"/>
      <c r="AD598" s="871"/>
      <c r="AE598" s="871"/>
      <c r="AF598" s="871"/>
      <c r="AG598" s="871"/>
      <c r="AH598" s="871"/>
      <c r="AI598" s="871"/>
      <c r="AJ598" s="871"/>
      <c r="AK598" s="871"/>
      <c r="AL598" s="871"/>
      <c r="AM598" s="871"/>
    </row>
    <row r="599" spans="1:39" ht="56.25" x14ac:dyDescent="0.25">
      <c r="A599" s="351"/>
      <c r="B599" s="352"/>
      <c r="C599" s="352"/>
      <c r="D599" s="210"/>
      <c r="E599" s="210"/>
      <c r="F599" s="792" t="s">
        <v>2272</v>
      </c>
      <c r="G599" s="854"/>
      <c r="H599" s="854"/>
      <c r="I599" s="854"/>
      <c r="J599" s="792" t="s">
        <v>2273</v>
      </c>
      <c r="K599" s="849">
        <f>+(0.028*100)/0.5</f>
        <v>5.6000000000000005</v>
      </c>
      <c r="L599" s="792" t="s">
        <v>2274</v>
      </c>
      <c r="M599" s="792"/>
      <c r="N599" s="792"/>
      <c r="O599" s="792"/>
      <c r="P599" s="864"/>
      <c r="Q599" s="792"/>
      <c r="R599" s="792"/>
      <c r="S599" s="792"/>
      <c r="T599" s="792"/>
      <c r="U599" s="792"/>
      <c r="V599" s="792"/>
      <c r="W599" s="792"/>
      <c r="X599" s="792"/>
      <c r="Y599" s="792"/>
      <c r="Z599" s="792"/>
      <c r="AA599" s="792"/>
      <c r="AB599" s="792"/>
      <c r="AC599" s="792"/>
      <c r="AD599" s="792"/>
      <c r="AE599" s="792"/>
      <c r="AF599" s="792"/>
      <c r="AG599" s="792"/>
      <c r="AH599" s="864"/>
      <c r="AI599" s="792"/>
      <c r="AJ599" s="792"/>
      <c r="AK599" s="792" t="s">
        <v>1821</v>
      </c>
      <c r="AL599" s="865" t="s">
        <v>247</v>
      </c>
      <c r="AM599" s="793">
        <v>1</v>
      </c>
    </row>
    <row r="600" spans="1:39" ht="56.25" x14ac:dyDescent="0.25">
      <c r="A600" s="351"/>
      <c r="B600" s="352"/>
      <c r="C600" s="352"/>
      <c r="D600" s="210"/>
      <c r="E600" s="210"/>
      <c r="F600" s="854"/>
      <c r="G600" s="854"/>
      <c r="H600" s="854"/>
      <c r="I600" s="854"/>
      <c r="J600" s="792" t="s">
        <v>2275</v>
      </c>
      <c r="K600" s="849">
        <f>+(0.015*100)/0.5</f>
        <v>3</v>
      </c>
      <c r="L600" s="792" t="s">
        <v>2276</v>
      </c>
      <c r="M600" s="792"/>
      <c r="N600" s="792"/>
      <c r="O600" s="792"/>
      <c r="P600" s="864"/>
      <c r="Q600" s="792"/>
      <c r="R600" s="792"/>
      <c r="S600" s="792"/>
      <c r="T600" s="792"/>
      <c r="U600" s="792"/>
      <c r="V600" s="792"/>
      <c r="W600" s="792"/>
      <c r="X600" s="792"/>
      <c r="Y600" s="792"/>
      <c r="Z600" s="792"/>
      <c r="AA600" s="792"/>
      <c r="AB600" s="792"/>
      <c r="AC600" s="792"/>
      <c r="AD600" s="792"/>
      <c r="AE600" s="792"/>
      <c r="AF600" s="792"/>
      <c r="AG600" s="792"/>
      <c r="AH600" s="864"/>
      <c r="AI600" s="792"/>
      <c r="AJ600" s="792"/>
      <c r="AK600" s="792" t="s">
        <v>1821</v>
      </c>
      <c r="AL600" s="865" t="s">
        <v>1044</v>
      </c>
      <c r="AM600" s="793">
        <v>0</v>
      </c>
    </row>
    <row r="601" spans="1:39" ht="56.25" x14ac:dyDescent="0.25">
      <c r="A601" s="351"/>
      <c r="B601" s="352"/>
      <c r="C601" s="352"/>
      <c r="D601" s="210"/>
      <c r="E601" s="210"/>
      <c r="F601" s="854"/>
      <c r="G601" s="854"/>
      <c r="H601" s="854"/>
      <c r="I601" s="854"/>
      <c r="J601" s="792" t="s">
        <v>2277</v>
      </c>
      <c r="K601" s="849">
        <f>+(0.311*100)/0.5</f>
        <v>62.2</v>
      </c>
      <c r="L601" s="792" t="s">
        <v>2278</v>
      </c>
      <c r="M601" s="792"/>
      <c r="N601" s="792"/>
      <c r="O601" s="792"/>
      <c r="P601" s="864"/>
      <c r="Q601" s="792"/>
      <c r="R601" s="792"/>
      <c r="S601" s="792"/>
      <c r="T601" s="792"/>
      <c r="U601" s="792"/>
      <c r="V601" s="792"/>
      <c r="W601" s="792"/>
      <c r="X601" s="792"/>
      <c r="Y601" s="792"/>
      <c r="Z601" s="792"/>
      <c r="AA601" s="792"/>
      <c r="AB601" s="792"/>
      <c r="AC601" s="792"/>
      <c r="AD601" s="792"/>
      <c r="AE601" s="792"/>
      <c r="AF601" s="792"/>
      <c r="AG601" s="792"/>
      <c r="AH601" s="864"/>
      <c r="AI601" s="792"/>
      <c r="AJ601" s="792"/>
      <c r="AK601" s="792" t="s">
        <v>1821</v>
      </c>
      <c r="AL601" s="865" t="s">
        <v>293</v>
      </c>
      <c r="AM601" s="793">
        <v>100</v>
      </c>
    </row>
    <row r="602" spans="1:39" ht="56.25" x14ac:dyDescent="0.25">
      <c r="A602" s="351"/>
      <c r="B602" s="352"/>
      <c r="C602" s="352"/>
      <c r="D602" s="210"/>
      <c r="E602" s="210"/>
      <c r="F602" s="854"/>
      <c r="G602" s="854"/>
      <c r="H602" s="854"/>
      <c r="I602" s="854"/>
      <c r="J602" s="792" t="s">
        <v>2279</v>
      </c>
      <c r="K602" s="849">
        <f>+(0.014*100)/0.5</f>
        <v>2.8000000000000003</v>
      </c>
      <c r="L602" s="792" t="s">
        <v>2280</v>
      </c>
      <c r="M602" s="792"/>
      <c r="N602" s="792"/>
      <c r="O602" s="792"/>
      <c r="P602" s="864"/>
      <c r="Q602" s="792"/>
      <c r="R602" s="792"/>
      <c r="S602" s="792"/>
      <c r="T602" s="792"/>
      <c r="U602" s="792"/>
      <c r="V602" s="792"/>
      <c r="W602" s="792"/>
      <c r="X602" s="792"/>
      <c r="Y602" s="792"/>
      <c r="Z602" s="792"/>
      <c r="AA602" s="792"/>
      <c r="AB602" s="792"/>
      <c r="AC602" s="792"/>
      <c r="AD602" s="792"/>
      <c r="AE602" s="792"/>
      <c r="AF602" s="792"/>
      <c r="AG602" s="792"/>
      <c r="AH602" s="864"/>
      <c r="AI602" s="792"/>
      <c r="AJ602" s="792"/>
      <c r="AK602" s="792" t="s">
        <v>1821</v>
      </c>
      <c r="AL602" s="865" t="s">
        <v>293</v>
      </c>
      <c r="AM602" s="793">
        <v>0</v>
      </c>
    </row>
    <row r="603" spans="1:39" ht="56.25" x14ac:dyDescent="0.25">
      <c r="A603" s="351"/>
      <c r="B603" s="352"/>
      <c r="C603" s="352"/>
      <c r="D603" s="210"/>
      <c r="E603" s="210"/>
      <c r="F603" s="854"/>
      <c r="G603" s="854"/>
      <c r="H603" s="854"/>
      <c r="I603" s="854"/>
      <c r="J603" s="792" t="s">
        <v>2281</v>
      </c>
      <c r="K603" s="849">
        <f>+(0.038*100)/0.5</f>
        <v>7.6</v>
      </c>
      <c r="L603" s="792" t="s">
        <v>2282</v>
      </c>
      <c r="M603" s="792"/>
      <c r="N603" s="792"/>
      <c r="O603" s="792"/>
      <c r="P603" s="864"/>
      <c r="Q603" s="792"/>
      <c r="R603" s="792"/>
      <c r="S603" s="792"/>
      <c r="T603" s="792"/>
      <c r="U603" s="792"/>
      <c r="V603" s="792"/>
      <c r="W603" s="792"/>
      <c r="X603" s="792"/>
      <c r="Y603" s="792"/>
      <c r="Z603" s="792"/>
      <c r="AA603" s="792"/>
      <c r="AB603" s="792"/>
      <c r="AC603" s="792"/>
      <c r="AD603" s="792"/>
      <c r="AE603" s="792"/>
      <c r="AF603" s="792"/>
      <c r="AG603" s="792"/>
      <c r="AH603" s="864"/>
      <c r="AI603" s="792"/>
      <c r="AJ603" s="792"/>
      <c r="AK603" s="792" t="s">
        <v>1821</v>
      </c>
      <c r="AL603" s="865" t="s">
        <v>535</v>
      </c>
      <c r="AM603" s="793">
        <v>1</v>
      </c>
    </row>
    <row r="604" spans="1:39" ht="90.75" thickBot="1" x14ac:dyDescent="0.3">
      <c r="A604" s="351"/>
      <c r="B604" s="352"/>
      <c r="C604" s="352"/>
      <c r="D604" s="210"/>
      <c r="E604" s="210"/>
      <c r="F604" s="854"/>
      <c r="G604" s="854" t="s">
        <v>2272</v>
      </c>
      <c r="H604" s="297" t="s">
        <v>2283</v>
      </c>
      <c r="I604" s="297" t="s">
        <v>2284</v>
      </c>
      <c r="J604" s="792" t="s">
        <v>2285</v>
      </c>
      <c r="K604" s="849">
        <f>+(0.015*100)/0.5</f>
        <v>3</v>
      </c>
      <c r="L604" s="792" t="s">
        <v>2286</v>
      </c>
      <c r="M604" s="792"/>
      <c r="N604" s="793">
        <v>1</v>
      </c>
      <c r="O604" s="793">
        <v>1</v>
      </c>
      <c r="P604" s="800">
        <f>+O604/N604</f>
        <v>1</v>
      </c>
      <c r="Q604" s="793" t="s">
        <v>2287</v>
      </c>
      <c r="R604" s="793" t="s">
        <v>2288</v>
      </c>
      <c r="S604" s="793" t="s">
        <v>460</v>
      </c>
      <c r="T604" s="793" t="s">
        <v>74</v>
      </c>
      <c r="U604" s="852">
        <v>50000000</v>
      </c>
      <c r="V604" s="852">
        <v>50000000</v>
      </c>
      <c r="W604" s="793" t="s">
        <v>55</v>
      </c>
      <c r="X604" s="793"/>
      <c r="Y604" s="793"/>
      <c r="Z604" s="793"/>
      <c r="AA604" s="793"/>
      <c r="AB604" s="793"/>
      <c r="AC604" s="793"/>
      <c r="AD604" s="793"/>
      <c r="AE604" s="793"/>
      <c r="AF604" s="852">
        <v>50000000</v>
      </c>
      <c r="AG604" s="852">
        <v>50000000</v>
      </c>
      <c r="AH604" s="800">
        <f t="shared" ref="AH604:AH605" si="111">+AG604/AF604</f>
        <v>1</v>
      </c>
      <c r="AI604" s="606" t="s">
        <v>1353</v>
      </c>
      <c r="AJ604" s="793"/>
      <c r="AK604" s="792" t="s">
        <v>1821</v>
      </c>
      <c r="AL604" s="792" t="s">
        <v>1355</v>
      </c>
      <c r="AM604" s="793">
        <v>1</v>
      </c>
    </row>
    <row r="605" spans="1:39" ht="90" x14ac:dyDescent="0.25">
      <c r="A605" s="351"/>
      <c r="B605" s="352"/>
      <c r="C605" s="352"/>
      <c r="D605" s="210"/>
      <c r="E605" s="210"/>
      <c r="F605" s="854"/>
      <c r="G605" s="576" t="s">
        <v>2289</v>
      </c>
      <c r="H605" s="576" t="s">
        <v>2290</v>
      </c>
      <c r="I605" s="576" t="s">
        <v>2291</v>
      </c>
      <c r="J605" s="792" t="s">
        <v>2292</v>
      </c>
      <c r="K605" s="849">
        <f>+(0.02*100)/0.5</f>
        <v>4</v>
      </c>
      <c r="L605" s="792" t="s">
        <v>2293</v>
      </c>
      <c r="M605" s="792"/>
      <c r="N605" s="576">
        <v>1</v>
      </c>
      <c r="O605" s="577">
        <v>1</v>
      </c>
      <c r="P605" s="647">
        <f>+O605/N605</f>
        <v>1</v>
      </c>
      <c r="Q605" s="577" t="s">
        <v>2294</v>
      </c>
      <c r="R605" s="577" t="s">
        <v>2295</v>
      </c>
      <c r="S605" s="577" t="s">
        <v>1536</v>
      </c>
      <c r="T605" s="577" t="s">
        <v>417</v>
      </c>
      <c r="U605" s="658">
        <v>50000000</v>
      </c>
      <c r="V605" s="658">
        <v>50000000</v>
      </c>
      <c r="W605" s="577"/>
      <c r="X605" s="577" t="s">
        <v>55</v>
      </c>
      <c r="Y605" s="577"/>
      <c r="Z605" s="577"/>
      <c r="AA605" s="577"/>
      <c r="AB605" s="577"/>
      <c r="AC605" s="577"/>
      <c r="AD605" s="577"/>
      <c r="AE605" s="577"/>
      <c r="AF605" s="658">
        <v>50000000</v>
      </c>
      <c r="AG605" s="658">
        <v>50000000</v>
      </c>
      <c r="AH605" s="647">
        <f t="shared" si="111"/>
        <v>1</v>
      </c>
      <c r="AI605" s="577" t="s">
        <v>1443</v>
      </c>
      <c r="AJ605" s="577" t="s">
        <v>2296</v>
      </c>
      <c r="AK605" s="792" t="s">
        <v>1821</v>
      </c>
      <c r="AL605" s="865" t="s">
        <v>1444</v>
      </c>
      <c r="AM605" s="793">
        <v>1</v>
      </c>
    </row>
    <row r="606" spans="1:39" ht="56.25" x14ac:dyDescent="0.25">
      <c r="A606" s="351"/>
      <c r="B606" s="352"/>
      <c r="C606" s="352"/>
      <c r="D606" s="210"/>
      <c r="E606" s="210"/>
      <c r="F606" s="854"/>
      <c r="G606" s="854"/>
      <c r="H606" s="854"/>
      <c r="I606" s="854"/>
      <c r="J606" s="792" t="s">
        <v>2297</v>
      </c>
      <c r="K606" s="849">
        <f>+(0.027*100)/0.5</f>
        <v>5.4</v>
      </c>
      <c r="L606" s="792" t="s">
        <v>2298</v>
      </c>
      <c r="M606" s="792"/>
      <c r="N606" s="792"/>
      <c r="O606" s="792"/>
      <c r="P606" s="864"/>
      <c r="Q606" s="792"/>
      <c r="R606" s="792"/>
      <c r="S606" s="792"/>
      <c r="T606" s="792"/>
      <c r="U606" s="792"/>
      <c r="V606" s="792"/>
      <c r="W606" s="792"/>
      <c r="X606" s="792"/>
      <c r="Y606" s="792"/>
      <c r="Z606" s="792"/>
      <c r="AA606" s="792"/>
      <c r="AB606" s="792"/>
      <c r="AC606" s="792"/>
      <c r="AD606" s="792"/>
      <c r="AE606" s="792"/>
      <c r="AF606" s="792"/>
      <c r="AG606" s="792"/>
      <c r="AH606" s="864"/>
      <c r="AI606" s="792"/>
      <c r="AJ606" s="792"/>
      <c r="AK606" s="792" t="s">
        <v>1821</v>
      </c>
      <c r="AL606" s="865" t="s">
        <v>247</v>
      </c>
      <c r="AM606" s="867">
        <v>0.05</v>
      </c>
    </row>
    <row r="607" spans="1:39" ht="123.75" x14ac:dyDescent="0.25">
      <c r="A607" s="351"/>
      <c r="B607" s="352"/>
      <c r="C607" s="352"/>
      <c r="D607" s="210"/>
      <c r="E607" s="210"/>
      <c r="F607" s="854"/>
      <c r="G607" s="792" t="s">
        <v>2299</v>
      </c>
      <c r="H607" s="792" t="s">
        <v>2300</v>
      </c>
      <c r="I607" s="297" t="s">
        <v>2301</v>
      </c>
      <c r="J607" s="792" t="s">
        <v>2302</v>
      </c>
      <c r="K607" s="849">
        <f>+(0.014*100)/0.5</f>
        <v>2.8000000000000003</v>
      </c>
      <c r="L607" s="792" t="s">
        <v>2303</v>
      </c>
      <c r="M607" s="792"/>
      <c r="N607" s="793">
        <v>1</v>
      </c>
      <c r="O607" s="793">
        <v>1</v>
      </c>
      <c r="P607" s="119">
        <f t="shared" ref="P607" si="112">+O607/N607</f>
        <v>1</v>
      </c>
      <c r="Q607" s="793" t="s">
        <v>2304</v>
      </c>
      <c r="R607" s="793" t="s">
        <v>321</v>
      </c>
      <c r="S607" s="794">
        <v>41883</v>
      </c>
      <c r="T607" s="794">
        <v>41944</v>
      </c>
      <c r="U607" s="852">
        <v>60000000</v>
      </c>
      <c r="V607" s="793"/>
      <c r="W607" s="793"/>
      <c r="X607" s="793"/>
      <c r="Y607" s="793" t="s">
        <v>55</v>
      </c>
      <c r="Z607" s="793"/>
      <c r="AA607" s="793"/>
      <c r="AB607" s="793"/>
      <c r="AC607" s="793"/>
      <c r="AD607" s="793"/>
      <c r="AE607" s="793"/>
      <c r="AF607" s="852">
        <v>60000000</v>
      </c>
      <c r="AG607" s="853">
        <v>60000000</v>
      </c>
      <c r="AH607" s="162">
        <f t="shared" ref="AH607" si="113">+AG607/AF607</f>
        <v>1</v>
      </c>
      <c r="AI607" s="793" t="s">
        <v>2305</v>
      </c>
      <c r="AJ607" s="793"/>
      <c r="AK607" s="792" t="s">
        <v>1821</v>
      </c>
      <c r="AL607" s="792" t="s">
        <v>247</v>
      </c>
      <c r="AM607" s="793">
        <v>0</v>
      </c>
    </row>
    <row r="608" spans="1:39" ht="56.25" x14ac:dyDescent="0.25">
      <c r="A608" s="351"/>
      <c r="B608" s="352"/>
      <c r="C608" s="352"/>
      <c r="D608" s="210"/>
      <c r="E608" s="210"/>
      <c r="F608" s="857"/>
      <c r="G608" s="857"/>
      <c r="H608" s="857"/>
      <c r="I608" s="857"/>
      <c r="J608" s="792" t="s">
        <v>2306</v>
      </c>
      <c r="K608" s="849">
        <f>+(0.018*100)/0.5</f>
        <v>3.5999999999999996</v>
      </c>
      <c r="L608" s="792" t="s">
        <v>2307</v>
      </c>
      <c r="M608" s="792"/>
      <c r="N608" s="792"/>
      <c r="O608" s="792"/>
      <c r="P608" s="864"/>
      <c r="Q608" s="792"/>
      <c r="R608" s="792"/>
      <c r="S608" s="792"/>
      <c r="T608" s="792"/>
      <c r="U608" s="792"/>
      <c r="V608" s="792"/>
      <c r="W608" s="792"/>
      <c r="X608" s="792"/>
      <c r="Y608" s="792"/>
      <c r="Z608" s="792"/>
      <c r="AA608" s="792"/>
      <c r="AB608" s="792"/>
      <c r="AC608" s="792"/>
      <c r="AD608" s="792"/>
      <c r="AE608" s="792"/>
      <c r="AF608" s="792"/>
      <c r="AG608" s="792"/>
      <c r="AH608" s="864"/>
      <c r="AI608" s="792"/>
      <c r="AJ608" s="792"/>
      <c r="AK608" s="792" t="s">
        <v>1821</v>
      </c>
      <c r="AL608" s="865" t="s">
        <v>247</v>
      </c>
      <c r="AM608" s="793">
        <v>0</v>
      </c>
    </row>
    <row r="609" spans="1:39" ht="33.75" x14ac:dyDescent="0.25">
      <c r="A609" s="351"/>
      <c r="B609" s="352"/>
      <c r="C609" s="352"/>
      <c r="D609" s="210"/>
      <c r="E609" s="210"/>
      <c r="F609" s="110" t="s">
        <v>158</v>
      </c>
      <c r="G609" s="110"/>
      <c r="H609" s="110"/>
      <c r="I609" s="110"/>
      <c r="J609" s="864"/>
      <c r="K609" s="877">
        <f t="shared" ref="K609" si="114">SUM(K599:K608)</f>
        <v>100</v>
      </c>
      <c r="L609" s="864"/>
      <c r="M609" s="864"/>
      <c r="N609" s="864"/>
      <c r="O609" s="864"/>
      <c r="P609" s="864"/>
      <c r="Q609" s="864"/>
      <c r="R609" s="864"/>
      <c r="S609" s="864"/>
      <c r="T609" s="864"/>
      <c r="U609" s="864"/>
      <c r="V609" s="864"/>
      <c r="W609" s="864"/>
      <c r="X609" s="864"/>
      <c r="Y609" s="864"/>
      <c r="Z609" s="864"/>
      <c r="AA609" s="864"/>
      <c r="AB609" s="864"/>
      <c r="AC609" s="864"/>
      <c r="AD609" s="864"/>
      <c r="AE609" s="864"/>
      <c r="AF609" s="864"/>
      <c r="AG609" s="864"/>
      <c r="AH609" s="864"/>
      <c r="AI609" s="864"/>
      <c r="AJ609" s="864"/>
      <c r="AK609" s="864"/>
      <c r="AL609" s="878"/>
      <c r="AM609" s="821"/>
    </row>
    <row r="610" spans="1:39" ht="112.5" x14ac:dyDescent="0.25">
      <c r="A610" s="351"/>
      <c r="B610" s="352"/>
      <c r="C610" s="352"/>
      <c r="D610" s="210"/>
      <c r="E610" s="210"/>
      <c r="F610" s="792" t="s">
        <v>2308</v>
      </c>
      <c r="G610" s="792" t="s">
        <v>2309</v>
      </c>
      <c r="H610" s="792" t="s">
        <v>2310</v>
      </c>
      <c r="I610" s="792" t="s">
        <v>2311</v>
      </c>
      <c r="J610" s="792" t="s">
        <v>2312</v>
      </c>
      <c r="K610" s="849">
        <f>+(0.013*100)/0.5</f>
        <v>2.6</v>
      </c>
      <c r="L610" s="792" t="s">
        <v>2313</v>
      </c>
      <c r="M610" s="792"/>
      <c r="N610" s="793">
        <v>1</v>
      </c>
      <c r="O610" s="793">
        <v>1</v>
      </c>
      <c r="P610" s="800">
        <f t="shared" ref="P610" si="115">+O610/N610</f>
        <v>1</v>
      </c>
      <c r="Q610" s="793" t="s">
        <v>2314</v>
      </c>
      <c r="R610" s="793" t="s">
        <v>2315</v>
      </c>
      <c r="S610" s="794">
        <v>41883</v>
      </c>
      <c r="T610" s="794">
        <v>41944</v>
      </c>
      <c r="U610" s="795">
        <v>28794000</v>
      </c>
      <c r="V610" s="792" t="s">
        <v>55</v>
      </c>
      <c r="W610" s="792"/>
      <c r="X610" s="792"/>
      <c r="Y610" s="792"/>
      <c r="Z610" s="792"/>
      <c r="AA610" s="792"/>
      <c r="AB610" s="792"/>
      <c r="AC610" s="792"/>
      <c r="AD610" s="792"/>
      <c r="AE610" s="792"/>
      <c r="AF610" s="796">
        <v>28794000</v>
      </c>
      <c r="AG610" s="796">
        <v>27312000</v>
      </c>
      <c r="AH610" s="26">
        <f t="shared" ref="AH610" si="116">+AG610/AF610</f>
        <v>0.9485309439466556</v>
      </c>
      <c r="AI610" s="792" t="s">
        <v>2305</v>
      </c>
      <c r="AJ610" s="792"/>
      <c r="AK610" s="792" t="s">
        <v>1821</v>
      </c>
      <c r="AL610" s="792" t="s">
        <v>247</v>
      </c>
      <c r="AM610" s="793">
        <v>1</v>
      </c>
    </row>
    <row r="611" spans="1:39" ht="56.25" x14ac:dyDescent="0.25">
      <c r="A611" s="351"/>
      <c r="B611" s="352"/>
      <c r="C611" s="352"/>
      <c r="D611" s="210"/>
      <c r="E611" s="210"/>
      <c r="F611" s="854"/>
      <c r="G611" s="854"/>
      <c r="H611" s="854"/>
      <c r="I611" s="854"/>
      <c r="J611" s="792" t="s">
        <v>2316</v>
      </c>
      <c r="K611" s="849">
        <f>+(0.256*100)/0.5</f>
        <v>51.2</v>
      </c>
      <c r="L611" s="792" t="s">
        <v>2317</v>
      </c>
      <c r="M611" s="792"/>
      <c r="N611" s="792"/>
      <c r="O611" s="792"/>
      <c r="P611" s="864"/>
      <c r="Q611" s="792"/>
      <c r="R611" s="792"/>
      <c r="S611" s="792"/>
      <c r="T611" s="792"/>
      <c r="U611" s="792"/>
      <c r="V611" s="792"/>
      <c r="W611" s="792"/>
      <c r="X611" s="792"/>
      <c r="Y611" s="792"/>
      <c r="Z611" s="792"/>
      <c r="AA611" s="792"/>
      <c r="AB611" s="792"/>
      <c r="AC611" s="792"/>
      <c r="AD611" s="792"/>
      <c r="AE611" s="792"/>
      <c r="AF611" s="792"/>
      <c r="AG611" s="792"/>
      <c r="AH611" s="864"/>
      <c r="AI611" s="792"/>
      <c r="AJ611" s="792"/>
      <c r="AK611" s="792" t="s">
        <v>1821</v>
      </c>
      <c r="AL611" s="865" t="s">
        <v>293</v>
      </c>
      <c r="AM611" s="793">
        <v>50</v>
      </c>
    </row>
    <row r="612" spans="1:39" ht="101.25" x14ac:dyDescent="0.25">
      <c r="A612" s="351"/>
      <c r="B612" s="352"/>
      <c r="C612" s="352"/>
      <c r="D612" s="210"/>
      <c r="E612" s="210"/>
      <c r="F612" s="854"/>
      <c r="G612" s="854"/>
      <c r="H612" s="854"/>
      <c r="I612" s="854"/>
      <c r="J612" s="792"/>
      <c r="K612" s="849"/>
      <c r="L612" s="792"/>
      <c r="M612" s="792"/>
      <c r="N612" s="792"/>
      <c r="O612" s="792"/>
      <c r="P612" s="864"/>
      <c r="Q612" s="793" t="s">
        <v>2318</v>
      </c>
      <c r="R612" s="793" t="s">
        <v>2319</v>
      </c>
      <c r="S612" s="879"/>
      <c r="T612" s="879"/>
      <c r="U612" s="880"/>
      <c r="V612" s="854"/>
      <c r="W612" s="854"/>
      <c r="X612" s="854"/>
      <c r="Y612" s="854"/>
      <c r="Z612" s="854"/>
      <c r="AA612" s="854"/>
      <c r="AB612" s="854"/>
      <c r="AC612" s="854"/>
      <c r="AD612" s="854"/>
      <c r="AE612" s="854"/>
      <c r="AF612" s="854"/>
      <c r="AG612" s="854"/>
      <c r="AH612" s="567"/>
      <c r="AI612" s="854"/>
      <c r="AJ612" s="854"/>
      <c r="AK612" s="854"/>
      <c r="AL612" s="854"/>
      <c r="AM612" s="793"/>
    </row>
    <row r="613" spans="1:39" ht="112.5" x14ac:dyDescent="0.25">
      <c r="A613" s="351"/>
      <c r="B613" s="352"/>
      <c r="C613" s="352"/>
      <c r="D613" s="210"/>
      <c r="E613" s="210"/>
      <c r="F613" s="854"/>
      <c r="G613" s="854"/>
      <c r="H613" s="854"/>
      <c r="I613" s="854"/>
      <c r="J613" s="792"/>
      <c r="K613" s="849"/>
      <c r="L613" s="792"/>
      <c r="M613" s="792"/>
      <c r="N613" s="792"/>
      <c r="O613" s="792"/>
      <c r="P613" s="864"/>
      <c r="Q613" s="793" t="s">
        <v>2320</v>
      </c>
      <c r="R613" s="793" t="s">
        <v>321</v>
      </c>
      <c r="S613" s="881"/>
      <c r="T613" s="881"/>
      <c r="U613" s="858"/>
      <c r="V613" s="857"/>
      <c r="W613" s="857"/>
      <c r="X613" s="857"/>
      <c r="Y613" s="857"/>
      <c r="Z613" s="857"/>
      <c r="AA613" s="857"/>
      <c r="AB613" s="857"/>
      <c r="AC613" s="857"/>
      <c r="AD613" s="857"/>
      <c r="AE613" s="857"/>
      <c r="AF613" s="857"/>
      <c r="AG613" s="857"/>
      <c r="AH613" s="162"/>
      <c r="AI613" s="857"/>
      <c r="AJ613" s="857"/>
      <c r="AK613" s="857"/>
      <c r="AL613" s="857"/>
      <c r="AM613" s="793"/>
    </row>
    <row r="614" spans="1:39" ht="112.5" x14ac:dyDescent="0.25">
      <c r="A614" s="351"/>
      <c r="B614" s="352"/>
      <c r="C614" s="352"/>
      <c r="D614" s="210"/>
      <c r="E614" s="210"/>
      <c r="F614" s="854"/>
      <c r="G614" s="297" t="s">
        <v>2321</v>
      </c>
      <c r="H614" s="297" t="s">
        <v>2310</v>
      </c>
      <c r="I614" s="297" t="s">
        <v>2322</v>
      </c>
      <c r="J614" s="792"/>
      <c r="K614" s="849"/>
      <c r="L614" s="792"/>
      <c r="M614" s="792"/>
      <c r="N614" s="792"/>
      <c r="O614" s="792"/>
      <c r="P614" s="864"/>
      <c r="Q614" s="793" t="s">
        <v>2323</v>
      </c>
      <c r="R614" s="793" t="s">
        <v>2324</v>
      </c>
      <c r="S614" s="794">
        <v>41974</v>
      </c>
      <c r="T614" s="794">
        <v>42095</v>
      </c>
      <c r="U614" s="852">
        <f>+'[2]POAI '!$K$58</f>
        <v>375322449.94</v>
      </c>
      <c r="V614" s="793"/>
      <c r="W614" s="793"/>
      <c r="X614" s="793"/>
      <c r="Y614" s="793"/>
      <c r="Z614" s="793" t="s">
        <v>55</v>
      </c>
      <c r="AA614" s="793"/>
      <c r="AB614" s="793"/>
      <c r="AC614" s="793"/>
      <c r="AD614" s="793"/>
      <c r="AE614" s="793"/>
      <c r="AF614" s="852">
        <f>+'[2]POAI '!$K$58</f>
        <v>375322449.94</v>
      </c>
      <c r="AG614" s="853">
        <v>375190000</v>
      </c>
      <c r="AH614" s="162">
        <f t="shared" ref="AH614:AH620" si="117">+AG614/AF614</f>
        <v>0.99964710360379139</v>
      </c>
      <c r="AI614" s="793"/>
      <c r="AJ614" s="793" t="s">
        <v>2325</v>
      </c>
      <c r="AK614" s="792"/>
      <c r="AL614" s="792"/>
      <c r="AM614" s="793"/>
    </row>
    <row r="615" spans="1:39" ht="67.5" x14ac:dyDescent="0.25">
      <c r="A615" s="351"/>
      <c r="B615" s="352"/>
      <c r="C615" s="352"/>
      <c r="D615" s="210"/>
      <c r="E615" s="210"/>
      <c r="F615" s="854"/>
      <c r="G615" s="297" t="s">
        <v>2326</v>
      </c>
      <c r="H615" s="297" t="s">
        <v>2327</v>
      </c>
      <c r="I615" s="297" t="s">
        <v>2328</v>
      </c>
      <c r="J615" s="792" t="s">
        <v>2329</v>
      </c>
      <c r="K615" s="792">
        <f>+(0.18*100)/0.5</f>
        <v>36</v>
      </c>
      <c r="L615" s="792" t="s">
        <v>2330</v>
      </c>
      <c r="M615" s="792"/>
      <c r="N615" s="793">
        <v>2</v>
      </c>
      <c r="O615" s="793">
        <v>2</v>
      </c>
      <c r="P615" s="350">
        <f t="shared" ref="P615" si="118">+O615/N615</f>
        <v>1</v>
      </c>
      <c r="Q615" s="793" t="s">
        <v>2331</v>
      </c>
      <c r="R615" s="793" t="s">
        <v>2332</v>
      </c>
      <c r="S615" s="793" t="s">
        <v>460</v>
      </c>
      <c r="T615" s="793" t="s">
        <v>89</v>
      </c>
      <c r="U615" s="852">
        <v>218250000</v>
      </c>
      <c r="V615" s="793"/>
      <c r="W615" s="793"/>
      <c r="X615" s="793"/>
      <c r="Y615" s="793"/>
      <c r="Z615" s="793" t="s">
        <v>55</v>
      </c>
      <c r="AA615" s="793"/>
      <c r="AB615" s="793"/>
      <c r="AC615" s="793"/>
      <c r="AD615" s="793"/>
      <c r="AE615" s="793"/>
      <c r="AF615" s="852">
        <v>218250000</v>
      </c>
      <c r="AG615" s="853">
        <v>218248788.58000001</v>
      </c>
      <c r="AH615" s="162">
        <f t="shared" si="117"/>
        <v>0.99999444939289817</v>
      </c>
      <c r="AI615" s="792" t="s">
        <v>2305</v>
      </c>
      <c r="AJ615" s="793"/>
      <c r="AK615" s="792" t="s">
        <v>1821</v>
      </c>
      <c r="AL615" s="792" t="s">
        <v>247</v>
      </c>
      <c r="AM615" s="793">
        <v>0</v>
      </c>
    </row>
    <row r="616" spans="1:39" ht="180" x14ac:dyDescent="0.25">
      <c r="A616" s="351"/>
      <c r="B616" s="352"/>
      <c r="C616" s="352"/>
      <c r="D616" s="210"/>
      <c r="E616" s="210"/>
      <c r="F616" s="854"/>
      <c r="G616" s="792" t="s">
        <v>2333</v>
      </c>
      <c r="H616" s="792" t="s">
        <v>2310</v>
      </c>
      <c r="I616" s="792" t="s">
        <v>2322</v>
      </c>
      <c r="J616" s="854"/>
      <c r="K616" s="854"/>
      <c r="L616" s="854"/>
      <c r="M616" s="854"/>
      <c r="N616" s="854"/>
      <c r="O616" s="854"/>
      <c r="P616" s="652"/>
      <c r="Q616" s="793" t="s">
        <v>2334</v>
      </c>
      <c r="R616" s="793" t="s">
        <v>2324</v>
      </c>
      <c r="S616" s="882">
        <v>41883</v>
      </c>
      <c r="T616" s="882">
        <v>41944</v>
      </c>
      <c r="U616" s="795">
        <v>509250000</v>
      </c>
      <c r="V616" s="795"/>
      <c r="W616" s="795"/>
      <c r="X616" s="795"/>
      <c r="Y616" s="795"/>
      <c r="Z616" s="795" t="s">
        <v>55</v>
      </c>
      <c r="AA616" s="795"/>
      <c r="AB616" s="795"/>
      <c r="AC616" s="795"/>
      <c r="AD616" s="795"/>
      <c r="AE616" s="795"/>
      <c r="AF616" s="795">
        <v>509250000</v>
      </c>
      <c r="AG616" s="795">
        <v>509002000</v>
      </c>
      <c r="AH616" s="162">
        <f t="shared" si="117"/>
        <v>0.99951300932744236</v>
      </c>
      <c r="AI616" s="792" t="s">
        <v>2305</v>
      </c>
      <c r="AJ616" s="795" t="s">
        <v>2335</v>
      </c>
      <c r="AK616" s="792" t="s">
        <v>1821</v>
      </c>
      <c r="AL616" s="792" t="s">
        <v>247</v>
      </c>
      <c r="AM616" s="793"/>
    </row>
    <row r="617" spans="1:39" ht="33.75" x14ac:dyDescent="0.25">
      <c r="A617" s="351"/>
      <c r="B617" s="352"/>
      <c r="C617" s="352"/>
      <c r="D617" s="210"/>
      <c r="E617" s="210"/>
      <c r="F617" s="854"/>
      <c r="G617" s="857"/>
      <c r="H617" s="857"/>
      <c r="I617" s="857"/>
      <c r="J617" s="854"/>
      <c r="K617" s="854"/>
      <c r="L617" s="854"/>
      <c r="M617" s="854"/>
      <c r="N617" s="854"/>
      <c r="O617" s="854"/>
      <c r="P617" s="652"/>
      <c r="Q617" s="793" t="s">
        <v>2336</v>
      </c>
      <c r="R617" s="793" t="s">
        <v>2337</v>
      </c>
      <c r="S617" s="881"/>
      <c r="T617" s="881"/>
      <c r="U617" s="858"/>
      <c r="V617" s="858"/>
      <c r="W617" s="858"/>
      <c r="X617" s="858"/>
      <c r="Y617" s="858"/>
      <c r="Z617" s="858"/>
      <c r="AA617" s="858"/>
      <c r="AB617" s="858"/>
      <c r="AC617" s="858"/>
      <c r="AD617" s="858"/>
      <c r="AE617" s="858"/>
      <c r="AF617" s="858"/>
      <c r="AG617" s="858"/>
      <c r="AH617" s="162" t="e">
        <f t="shared" si="117"/>
        <v>#DIV/0!</v>
      </c>
      <c r="AI617" s="858"/>
      <c r="AJ617" s="858"/>
      <c r="AK617" s="858"/>
      <c r="AL617" s="858"/>
      <c r="AM617" s="793"/>
    </row>
    <row r="618" spans="1:39" ht="78.75" x14ac:dyDescent="0.25">
      <c r="A618" s="351"/>
      <c r="B618" s="352"/>
      <c r="C618" s="352"/>
      <c r="D618" s="210"/>
      <c r="E618" s="210"/>
      <c r="F618" s="854"/>
      <c r="G618" s="792" t="s">
        <v>2338</v>
      </c>
      <c r="H618" s="792" t="s">
        <v>2339</v>
      </c>
      <c r="I618" s="792" t="s">
        <v>2340</v>
      </c>
      <c r="J618" s="854"/>
      <c r="K618" s="854"/>
      <c r="L618" s="854"/>
      <c r="M618" s="854"/>
      <c r="N618" s="854"/>
      <c r="O618" s="854"/>
      <c r="P618" s="652"/>
      <c r="Q618" s="793" t="s">
        <v>2341</v>
      </c>
      <c r="R618" s="793" t="s">
        <v>948</v>
      </c>
      <c r="S618" s="794">
        <v>41974</v>
      </c>
      <c r="T618" s="794">
        <v>41974</v>
      </c>
      <c r="U618" s="852">
        <v>546227699.24000001</v>
      </c>
      <c r="V618" s="793"/>
      <c r="W618" s="793"/>
      <c r="X618" s="793"/>
      <c r="Y618" s="793"/>
      <c r="Z618" s="793" t="s">
        <v>55</v>
      </c>
      <c r="AA618" s="793"/>
      <c r="AB618" s="793"/>
      <c r="AC618" s="793"/>
      <c r="AD618" s="793"/>
      <c r="AE618" s="793"/>
      <c r="AF618" s="852">
        <v>546227699.24000001</v>
      </c>
      <c r="AG618" s="853">
        <v>542229452.03000009</v>
      </c>
      <c r="AH618" s="162">
        <f t="shared" si="117"/>
        <v>0.99268025547667593</v>
      </c>
      <c r="AI618" s="792" t="s">
        <v>2305</v>
      </c>
      <c r="AJ618" s="793"/>
      <c r="AK618" s="792" t="s">
        <v>1821</v>
      </c>
      <c r="AL618" s="792" t="s">
        <v>247</v>
      </c>
      <c r="AM618" s="793"/>
    </row>
    <row r="619" spans="1:39" ht="101.25" x14ac:dyDescent="0.25">
      <c r="A619" s="351"/>
      <c r="B619" s="352"/>
      <c r="C619" s="352"/>
      <c r="D619" s="210"/>
      <c r="E619" s="210"/>
      <c r="F619" s="854"/>
      <c r="G619" s="792" t="s">
        <v>2342</v>
      </c>
      <c r="H619" s="297" t="s">
        <v>2327</v>
      </c>
      <c r="I619" s="297" t="s">
        <v>2328</v>
      </c>
      <c r="J619" s="854"/>
      <c r="K619" s="854"/>
      <c r="L619" s="854"/>
      <c r="M619" s="854"/>
      <c r="N619" s="854"/>
      <c r="O619" s="854"/>
      <c r="P619" s="652"/>
      <c r="Q619" s="793" t="s">
        <v>2331</v>
      </c>
      <c r="R619" s="793"/>
      <c r="S619" s="793" t="s">
        <v>460</v>
      </c>
      <c r="T619" s="793" t="s">
        <v>89</v>
      </c>
      <c r="U619" s="852">
        <f>+'[2]POAI '!$K$59</f>
        <v>135910054.97999999</v>
      </c>
      <c r="V619" s="793"/>
      <c r="W619" s="793" t="s">
        <v>55</v>
      </c>
      <c r="X619" s="793"/>
      <c r="Y619" s="793"/>
      <c r="Z619" s="793"/>
      <c r="AA619" s="793"/>
      <c r="AB619" s="793"/>
      <c r="AC619" s="793"/>
      <c r="AD619" s="793"/>
      <c r="AE619" s="793"/>
      <c r="AF619" s="852">
        <f>+'[2]POAI '!$K$59</f>
        <v>135910054.97999999</v>
      </c>
      <c r="AG619" s="853">
        <v>135607112.00999999</v>
      </c>
      <c r="AH619" s="162">
        <f t="shared" si="117"/>
        <v>0.99777100399198149</v>
      </c>
      <c r="AI619" s="793" t="s">
        <v>169</v>
      </c>
      <c r="AJ619" s="793"/>
      <c r="AK619" s="792" t="s">
        <v>1821</v>
      </c>
      <c r="AL619" s="792" t="s">
        <v>247</v>
      </c>
      <c r="AM619" s="793"/>
    </row>
    <row r="620" spans="1:39" ht="101.25" x14ac:dyDescent="0.25">
      <c r="A620" s="351"/>
      <c r="B620" s="352"/>
      <c r="C620" s="352"/>
      <c r="D620" s="210"/>
      <c r="E620" s="210"/>
      <c r="F620" s="854"/>
      <c r="G620" s="792" t="s">
        <v>2343</v>
      </c>
      <c r="H620" s="297" t="s">
        <v>2327</v>
      </c>
      <c r="I620" s="297" t="s">
        <v>2328</v>
      </c>
      <c r="J620" s="857"/>
      <c r="K620" s="857"/>
      <c r="L620" s="857"/>
      <c r="M620" s="857"/>
      <c r="N620" s="857"/>
      <c r="O620" s="857"/>
      <c r="P620" s="191"/>
      <c r="Q620" s="793" t="s">
        <v>2331</v>
      </c>
      <c r="R620" s="793"/>
      <c r="S620" s="793" t="s">
        <v>460</v>
      </c>
      <c r="T620" s="793" t="s">
        <v>89</v>
      </c>
      <c r="U620" s="852">
        <v>619208848.30000007</v>
      </c>
      <c r="V620" s="793"/>
      <c r="W620" s="793"/>
      <c r="X620" s="793"/>
      <c r="Y620" s="793"/>
      <c r="Z620" s="793"/>
      <c r="AA620" s="793"/>
      <c r="AB620" s="793"/>
      <c r="AC620" s="793"/>
      <c r="AD620" s="793"/>
      <c r="AE620" s="793"/>
      <c r="AF620" s="852">
        <v>619208848.30000007</v>
      </c>
      <c r="AG620" s="852">
        <v>0</v>
      </c>
      <c r="AH620" s="162">
        <f t="shared" si="117"/>
        <v>0</v>
      </c>
      <c r="AI620" s="793" t="s">
        <v>169</v>
      </c>
      <c r="AJ620" s="793"/>
      <c r="AK620" s="792" t="s">
        <v>1821</v>
      </c>
      <c r="AL620" s="792" t="s">
        <v>247</v>
      </c>
      <c r="AM620" s="793">
        <v>0</v>
      </c>
    </row>
    <row r="621" spans="1:39" ht="90" x14ac:dyDescent="0.25">
      <c r="A621" s="351"/>
      <c r="B621" s="352"/>
      <c r="C621" s="352"/>
      <c r="D621" s="210"/>
      <c r="E621" s="210"/>
      <c r="F621" s="857"/>
      <c r="G621" s="857"/>
      <c r="H621" s="857"/>
      <c r="I621" s="857"/>
      <c r="J621" s="854" t="s">
        <v>2344</v>
      </c>
      <c r="K621" s="849">
        <f>+(0.05*100)/0.5</f>
        <v>10</v>
      </c>
      <c r="L621" s="792" t="s">
        <v>2345</v>
      </c>
      <c r="M621" s="792"/>
      <c r="N621" s="792"/>
      <c r="O621" s="792"/>
      <c r="P621" s="864"/>
      <c r="Q621" s="792"/>
      <c r="R621" s="792"/>
      <c r="S621" s="792"/>
      <c r="T621" s="792"/>
      <c r="U621" s="792"/>
      <c r="V621" s="792"/>
      <c r="W621" s="792"/>
      <c r="X621" s="792"/>
      <c r="Y621" s="792"/>
      <c r="Z621" s="792"/>
      <c r="AA621" s="792"/>
      <c r="AB621" s="792"/>
      <c r="AC621" s="792"/>
      <c r="AD621" s="792"/>
      <c r="AE621" s="792"/>
      <c r="AF621" s="792"/>
      <c r="AG621" s="792"/>
      <c r="AH621" s="864"/>
      <c r="AI621" s="792"/>
      <c r="AJ621" s="792"/>
      <c r="AK621" s="792" t="s">
        <v>1821</v>
      </c>
      <c r="AL621" s="865" t="s">
        <v>1355</v>
      </c>
      <c r="AM621" s="793">
        <v>200</v>
      </c>
    </row>
    <row r="622" spans="1:39" ht="33.75" x14ac:dyDescent="0.25">
      <c r="A622" s="351"/>
      <c r="B622" s="352"/>
      <c r="C622" s="352"/>
      <c r="D622" s="210"/>
      <c r="E622" s="210"/>
      <c r="F622" s="110" t="s">
        <v>158</v>
      </c>
      <c r="G622" s="110"/>
      <c r="H622" s="110"/>
      <c r="I622" s="110"/>
      <c r="J622" s="864"/>
      <c r="K622" s="883">
        <f>SUM(K610:K621)</f>
        <v>99.800000000000011</v>
      </c>
      <c r="L622" s="864"/>
      <c r="M622" s="864"/>
      <c r="N622" s="864"/>
      <c r="O622" s="864"/>
      <c r="P622" s="864"/>
      <c r="Q622" s="864"/>
      <c r="R622" s="864"/>
      <c r="S622" s="864"/>
      <c r="T622" s="864"/>
      <c r="U622" s="864"/>
      <c r="V622" s="864"/>
      <c r="W622" s="864"/>
      <c r="X622" s="864"/>
      <c r="Y622" s="864"/>
      <c r="Z622" s="864"/>
      <c r="AA622" s="864"/>
      <c r="AB622" s="864"/>
      <c r="AC622" s="864"/>
      <c r="AD622" s="864"/>
      <c r="AE622" s="864"/>
      <c r="AF622" s="864"/>
      <c r="AG622" s="864"/>
      <c r="AH622" s="864"/>
      <c r="AI622" s="864"/>
      <c r="AJ622" s="864"/>
      <c r="AK622" s="864"/>
      <c r="AL622" s="878"/>
      <c r="AM622" s="821"/>
    </row>
    <row r="623" spans="1:39" ht="112.5" x14ac:dyDescent="0.25">
      <c r="A623" s="351"/>
      <c r="B623" s="352"/>
      <c r="C623" s="352"/>
      <c r="D623" s="210"/>
      <c r="E623" s="210"/>
      <c r="F623" s="792" t="s">
        <v>2346</v>
      </c>
      <c r="G623" s="854"/>
      <c r="H623" s="854"/>
      <c r="I623" s="854"/>
      <c r="J623" s="792" t="s">
        <v>2347</v>
      </c>
      <c r="K623" s="849">
        <f>+(0.086*100)/0.25</f>
        <v>34.4</v>
      </c>
      <c r="L623" s="792" t="s">
        <v>2348</v>
      </c>
      <c r="M623" s="792"/>
      <c r="N623" s="792"/>
      <c r="O623" s="792"/>
      <c r="P623" s="864"/>
      <c r="Q623" s="792"/>
      <c r="R623" s="792"/>
      <c r="S623" s="792"/>
      <c r="T623" s="792"/>
      <c r="U623" s="792"/>
      <c r="V623" s="792"/>
      <c r="W623" s="792"/>
      <c r="X623" s="792"/>
      <c r="Y623" s="792"/>
      <c r="Z623" s="792"/>
      <c r="AA623" s="792"/>
      <c r="AB623" s="792"/>
      <c r="AC623" s="792"/>
      <c r="AD623" s="792"/>
      <c r="AE623" s="792"/>
      <c r="AF623" s="792"/>
      <c r="AG623" s="792"/>
      <c r="AH623" s="864"/>
      <c r="AI623" s="792"/>
      <c r="AJ623" s="792"/>
      <c r="AK623" s="792" t="s">
        <v>1821</v>
      </c>
      <c r="AL623" s="865" t="s">
        <v>247</v>
      </c>
      <c r="AM623" s="793">
        <v>1</v>
      </c>
    </row>
    <row r="624" spans="1:39" ht="56.25" x14ac:dyDescent="0.25">
      <c r="A624" s="351"/>
      <c r="B624" s="352"/>
      <c r="C624" s="352"/>
      <c r="D624" s="210"/>
      <c r="E624" s="210"/>
      <c r="F624" s="854"/>
      <c r="G624" s="854"/>
      <c r="H624" s="854"/>
      <c r="I624" s="854"/>
      <c r="J624" s="792" t="s">
        <v>2349</v>
      </c>
      <c r="K624" s="849">
        <f>+(0.086*100)/0.25</f>
        <v>34.4</v>
      </c>
      <c r="L624" s="792" t="s">
        <v>2350</v>
      </c>
      <c r="M624" s="792"/>
      <c r="N624" s="792"/>
      <c r="O624" s="792"/>
      <c r="P624" s="864"/>
      <c r="Q624" s="792"/>
      <c r="R624" s="792"/>
      <c r="S624" s="792"/>
      <c r="T624" s="792"/>
      <c r="U624" s="792"/>
      <c r="V624" s="792"/>
      <c r="W624" s="792"/>
      <c r="X624" s="792"/>
      <c r="Y624" s="792"/>
      <c r="Z624" s="792"/>
      <c r="AA624" s="792"/>
      <c r="AB624" s="792"/>
      <c r="AC624" s="792"/>
      <c r="AD624" s="792"/>
      <c r="AE624" s="792"/>
      <c r="AF624" s="792"/>
      <c r="AG624" s="792"/>
      <c r="AH624" s="864"/>
      <c r="AI624" s="792"/>
      <c r="AJ624" s="792"/>
      <c r="AK624" s="792" t="s">
        <v>1821</v>
      </c>
      <c r="AL624" s="865" t="s">
        <v>247</v>
      </c>
      <c r="AM624" s="793">
        <v>0</v>
      </c>
    </row>
    <row r="625" spans="1:39" ht="56.25" x14ac:dyDescent="0.25">
      <c r="A625" s="351"/>
      <c r="B625" s="352"/>
      <c r="C625" s="352"/>
      <c r="D625" s="210"/>
      <c r="E625" s="210"/>
      <c r="F625" s="854"/>
      <c r="G625" s="854"/>
      <c r="H625" s="854"/>
      <c r="I625" s="854"/>
      <c r="J625" s="792" t="s">
        <v>2351</v>
      </c>
      <c r="K625" s="849">
        <f>+(0.004*100)/0.25</f>
        <v>1.6</v>
      </c>
      <c r="L625" s="792" t="s">
        <v>2352</v>
      </c>
      <c r="M625" s="792"/>
      <c r="N625" s="792"/>
      <c r="O625" s="792"/>
      <c r="P625" s="864"/>
      <c r="Q625" s="792"/>
      <c r="R625" s="792"/>
      <c r="S625" s="792"/>
      <c r="T625" s="792"/>
      <c r="U625" s="792"/>
      <c r="V625" s="792"/>
      <c r="W625" s="792"/>
      <c r="X625" s="792"/>
      <c r="Y625" s="792"/>
      <c r="Z625" s="792"/>
      <c r="AA625" s="792"/>
      <c r="AB625" s="792"/>
      <c r="AC625" s="792"/>
      <c r="AD625" s="792"/>
      <c r="AE625" s="792"/>
      <c r="AF625" s="792"/>
      <c r="AG625" s="792"/>
      <c r="AH625" s="864"/>
      <c r="AI625" s="792"/>
      <c r="AJ625" s="792"/>
      <c r="AK625" s="792" t="s">
        <v>1821</v>
      </c>
      <c r="AL625" s="865" t="s">
        <v>247</v>
      </c>
      <c r="AM625" s="793">
        <v>0</v>
      </c>
    </row>
    <row r="626" spans="1:39" ht="112.5" x14ac:dyDescent="0.25">
      <c r="A626" s="351"/>
      <c r="B626" s="352"/>
      <c r="C626" s="352"/>
      <c r="D626" s="210"/>
      <c r="E626" s="210"/>
      <c r="F626" s="854"/>
      <c r="G626" s="792" t="s">
        <v>2353</v>
      </c>
      <c r="H626" s="792" t="s">
        <v>2354</v>
      </c>
      <c r="I626" s="792" t="s">
        <v>2355</v>
      </c>
      <c r="J626" s="792" t="s">
        <v>2356</v>
      </c>
      <c r="K626" s="849">
        <f>+(0.075*100)/0.25</f>
        <v>30</v>
      </c>
      <c r="L626" s="792" t="s">
        <v>2357</v>
      </c>
      <c r="M626" s="792"/>
      <c r="N626" s="793">
        <v>1</v>
      </c>
      <c r="O626" s="792">
        <v>1</v>
      </c>
      <c r="P626" s="800">
        <f t="shared" ref="P626" si="119">+O626/N626</f>
        <v>1</v>
      </c>
      <c r="Q626" s="793" t="s">
        <v>2358</v>
      </c>
      <c r="R626" s="793" t="s">
        <v>2359</v>
      </c>
      <c r="S626" s="795" t="s">
        <v>331</v>
      </c>
      <c r="T626" s="795" t="s">
        <v>89</v>
      </c>
      <c r="U626" s="795">
        <v>50000000</v>
      </c>
      <c r="V626" s="795" t="s">
        <v>55</v>
      </c>
      <c r="W626" s="795"/>
      <c r="X626" s="795"/>
      <c r="Y626" s="795"/>
      <c r="Z626" s="795"/>
      <c r="AA626" s="795"/>
      <c r="AB626" s="795"/>
      <c r="AC626" s="795"/>
      <c r="AD626" s="795"/>
      <c r="AE626" s="795"/>
      <c r="AF626" s="795">
        <v>50000000</v>
      </c>
      <c r="AG626" s="795">
        <v>50000000</v>
      </c>
      <c r="AH626" s="884">
        <f t="shared" ref="AH626" si="120">+AG626/AF626</f>
        <v>1</v>
      </c>
      <c r="AI626" s="795" t="s">
        <v>1922</v>
      </c>
      <c r="AJ626" s="795"/>
      <c r="AK626" s="795" t="s">
        <v>1821</v>
      </c>
      <c r="AL626" s="795" t="s">
        <v>247</v>
      </c>
      <c r="AM626" s="793"/>
    </row>
    <row r="627" spans="1:39" ht="45" x14ac:dyDescent="0.25">
      <c r="A627" s="351"/>
      <c r="B627" s="352"/>
      <c r="C627" s="352"/>
      <c r="D627" s="210"/>
      <c r="E627" s="210"/>
      <c r="F627" s="854"/>
      <c r="G627" s="854"/>
      <c r="H627" s="854"/>
      <c r="I627" s="854"/>
      <c r="J627" s="854"/>
      <c r="K627" s="854"/>
      <c r="L627" s="854"/>
      <c r="M627" s="854"/>
      <c r="N627" s="854"/>
      <c r="O627" s="854"/>
      <c r="P627" s="838"/>
      <c r="Q627" s="793" t="s">
        <v>2360</v>
      </c>
      <c r="R627" s="793" t="s">
        <v>1996</v>
      </c>
      <c r="S627" s="880"/>
      <c r="T627" s="880"/>
      <c r="U627" s="880"/>
      <c r="V627" s="880"/>
      <c r="W627" s="880"/>
      <c r="X627" s="880"/>
      <c r="Y627" s="880"/>
      <c r="Z627" s="880"/>
      <c r="AA627" s="880"/>
      <c r="AB627" s="880"/>
      <c r="AC627" s="880"/>
      <c r="AD627" s="880"/>
      <c r="AE627" s="880"/>
      <c r="AF627" s="880"/>
      <c r="AG627" s="880"/>
      <c r="AH627" s="885"/>
      <c r="AI627" s="880"/>
      <c r="AJ627" s="880"/>
      <c r="AK627" s="880"/>
      <c r="AL627" s="880"/>
      <c r="AM627" s="793"/>
    </row>
    <row r="628" spans="1:39" ht="56.25" x14ac:dyDescent="0.25">
      <c r="A628" s="351"/>
      <c r="B628" s="352"/>
      <c r="C628" s="352"/>
      <c r="D628" s="210"/>
      <c r="E628" s="210"/>
      <c r="F628" s="857"/>
      <c r="G628" s="857"/>
      <c r="H628" s="857"/>
      <c r="I628" s="857"/>
      <c r="J628" s="857"/>
      <c r="K628" s="857"/>
      <c r="L628" s="857"/>
      <c r="M628" s="857"/>
      <c r="N628" s="857"/>
      <c r="O628" s="857"/>
      <c r="P628" s="841"/>
      <c r="Q628" s="793" t="s">
        <v>2361</v>
      </c>
      <c r="R628" s="793" t="s">
        <v>2362</v>
      </c>
      <c r="S628" s="858"/>
      <c r="T628" s="858"/>
      <c r="U628" s="858"/>
      <c r="V628" s="858"/>
      <c r="W628" s="858"/>
      <c r="X628" s="858"/>
      <c r="Y628" s="858"/>
      <c r="Z628" s="858"/>
      <c r="AA628" s="858"/>
      <c r="AB628" s="858"/>
      <c r="AC628" s="858"/>
      <c r="AD628" s="858"/>
      <c r="AE628" s="858"/>
      <c r="AF628" s="858"/>
      <c r="AG628" s="858"/>
      <c r="AH628" s="885"/>
      <c r="AI628" s="858"/>
      <c r="AJ628" s="858"/>
      <c r="AK628" s="858"/>
      <c r="AL628" s="858"/>
      <c r="AM628" s="793">
        <v>1</v>
      </c>
    </row>
    <row r="629" spans="1:39" ht="33.75" x14ac:dyDescent="0.25">
      <c r="A629" s="142"/>
      <c r="B629" s="233"/>
      <c r="C629" s="233"/>
      <c r="D629" s="233"/>
      <c r="E629" s="233"/>
      <c r="F629" s="110" t="s">
        <v>158</v>
      </c>
      <c r="G629" s="110"/>
      <c r="H629" s="110"/>
      <c r="I629" s="110"/>
      <c r="J629" s="871"/>
      <c r="K629" s="886">
        <f>SUM(K623:K628)</f>
        <v>100.39999999999999</v>
      </c>
      <c r="L629" s="871"/>
      <c r="M629" s="871"/>
      <c r="N629" s="871"/>
      <c r="O629" s="871"/>
      <c r="P629" s="871"/>
      <c r="Q629" s="871"/>
      <c r="R629" s="871"/>
      <c r="S629" s="871"/>
      <c r="T629" s="871"/>
      <c r="U629" s="871"/>
      <c r="V629" s="871"/>
      <c r="W629" s="871"/>
      <c r="X629" s="871"/>
      <c r="Y629" s="871"/>
      <c r="Z629" s="871"/>
      <c r="AA629" s="871"/>
      <c r="AB629" s="871"/>
      <c r="AC629" s="871"/>
      <c r="AD629" s="871"/>
      <c r="AE629" s="871"/>
      <c r="AF629" s="871"/>
      <c r="AG629" s="871"/>
      <c r="AH629" s="871"/>
      <c r="AI629" s="871"/>
      <c r="AJ629" s="871"/>
      <c r="AK629" s="871"/>
      <c r="AL629" s="871"/>
      <c r="AM629" s="871"/>
    </row>
    <row r="630" spans="1:39" ht="22.5" x14ac:dyDescent="0.25">
      <c r="A630" s="279"/>
      <c r="B630" s="279"/>
      <c r="C630" s="279"/>
      <c r="D630" s="279" t="s">
        <v>376</v>
      </c>
      <c r="E630" s="279"/>
      <c r="F630" s="279"/>
      <c r="G630" s="279"/>
      <c r="H630" s="279"/>
      <c r="I630" s="279"/>
      <c r="J630" s="279"/>
      <c r="K630" s="281"/>
      <c r="L630" s="279"/>
      <c r="M630" s="279"/>
      <c r="N630" s="279"/>
      <c r="O630" s="279"/>
      <c r="P630" s="142"/>
      <c r="Q630" s="279"/>
      <c r="R630" s="279"/>
      <c r="S630" s="279"/>
      <c r="T630" s="279"/>
      <c r="U630" s="279"/>
      <c r="V630" s="279"/>
      <c r="W630" s="279"/>
      <c r="X630" s="279"/>
      <c r="Y630" s="279"/>
      <c r="Z630" s="279"/>
      <c r="AA630" s="279"/>
      <c r="AB630" s="279"/>
      <c r="AC630" s="279"/>
      <c r="AD630" s="279"/>
      <c r="AE630" s="279"/>
      <c r="AF630" s="279"/>
      <c r="AG630" s="279"/>
      <c r="AH630" s="142"/>
      <c r="AI630" s="279"/>
      <c r="AJ630" s="279"/>
      <c r="AK630" s="279"/>
      <c r="AL630" s="639"/>
      <c r="AM630" s="279"/>
    </row>
    <row r="631" spans="1:39" x14ac:dyDescent="0.25">
      <c r="A631" s="887" t="s">
        <v>527</v>
      </c>
      <c r="B631" s="888"/>
      <c r="C631" s="888"/>
      <c r="D631" s="888"/>
      <c r="E631" s="888"/>
      <c r="F631" s="888"/>
      <c r="G631" s="888"/>
      <c r="H631" s="888"/>
      <c r="I631" s="888"/>
      <c r="J631" s="888"/>
      <c r="K631" s="889"/>
      <c r="L631" s="888"/>
      <c r="M631" s="888"/>
      <c r="N631" s="888"/>
      <c r="O631" s="888"/>
      <c r="P631" s="871"/>
      <c r="Q631" s="888"/>
      <c r="R631" s="888"/>
      <c r="S631" s="888"/>
      <c r="T631" s="888"/>
      <c r="U631" s="888"/>
      <c r="V631" s="888"/>
      <c r="W631" s="888"/>
      <c r="X631" s="888"/>
      <c r="Y631" s="888"/>
      <c r="Z631" s="888"/>
      <c r="AA631" s="888"/>
      <c r="AB631" s="888"/>
      <c r="AC631" s="888"/>
      <c r="AD631" s="888"/>
      <c r="AE631" s="888"/>
      <c r="AF631" s="888"/>
      <c r="AG631" s="888"/>
      <c r="AH631" s="871"/>
      <c r="AI631" s="888"/>
      <c r="AJ631" s="888"/>
      <c r="AK631" s="888"/>
      <c r="AL631" s="888"/>
      <c r="AM631" s="888"/>
    </row>
    <row r="632" spans="1:39" ht="101.25" x14ac:dyDescent="0.25">
      <c r="A632" s="157" t="s">
        <v>2363</v>
      </c>
      <c r="B632" s="157" t="s">
        <v>2364</v>
      </c>
      <c r="C632" s="157"/>
      <c r="D632" s="157" t="s">
        <v>2365</v>
      </c>
      <c r="E632" s="157"/>
      <c r="F632" s="157" t="s">
        <v>2366</v>
      </c>
      <c r="G632" s="87" t="s">
        <v>2367</v>
      </c>
      <c r="H632" s="87" t="s">
        <v>2368</v>
      </c>
      <c r="I632" s="87" t="s">
        <v>2369</v>
      </c>
      <c r="J632" s="173" t="s">
        <v>2370</v>
      </c>
      <c r="K632" s="890">
        <f>+(0.0212*100)/6</f>
        <v>0.35333333333333333</v>
      </c>
      <c r="L632" s="157" t="s">
        <v>2371</v>
      </c>
      <c r="M632" s="87"/>
      <c r="N632" s="89">
        <v>1</v>
      </c>
      <c r="O632" s="89">
        <v>0</v>
      </c>
      <c r="P632" s="69">
        <f>+O632/N632</f>
        <v>0</v>
      </c>
      <c r="Q632" s="891" t="s">
        <v>2372</v>
      </c>
      <c r="R632" s="891" t="s">
        <v>2373</v>
      </c>
      <c r="S632" s="891" t="s">
        <v>90</v>
      </c>
      <c r="T632" s="891" t="s">
        <v>432</v>
      </c>
      <c r="U632" s="51">
        <v>81051821.600000009</v>
      </c>
      <c r="V632" s="51">
        <v>81051821.600000009</v>
      </c>
      <c r="W632" s="91"/>
      <c r="X632" s="92" t="s">
        <v>55</v>
      </c>
      <c r="Y632" s="92"/>
      <c r="Z632" s="92"/>
      <c r="AA632" s="92"/>
      <c r="AB632" s="92"/>
      <c r="AC632" s="92"/>
      <c r="AD632" s="92"/>
      <c r="AE632" s="92"/>
      <c r="AF632" s="51">
        <v>81051821.600000009</v>
      </c>
      <c r="AG632" s="51">
        <v>81051821.600000009</v>
      </c>
      <c r="AH632" s="69">
        <f t="shared" ref="AH632:AH636" si="121">+AG632/AF632</f>
        <v>1</v>
      </c>
      <c r="AI632" s="87" t="s">
        <v>2374</v>
      </c>
      <c r="AJ632" s="87"/>
      <c r="AK632" s="87"/>
      <c r="AL632" s="192" t="s">
        <v>58</v>
      </c>
      <c r="AM632" s="186">
        <v>0</v>
      </c>
    </row>
    <row r="633" spans="1:39" ht="45" x14ac:dyDescent="0.25">
      <c r="A633" s="158"/>
      <c r="B633" s="158"/>
      <c r="C633" s="158"/>
      <c r="D633" s="158"/>
      <c r="E633" s="158"/>
      <c r="F633" s="158"/>
      <c r="G633" s="95"/>
      <c r="H633" s="95"/>
      <c r="I633" s="95"/>
      <c r="J633" s="173"/>
      <c r="K633" s="890"/>
      <c r="L633" s="157"/>
      <c r="M633" s="95"/>
      <c r="N633" s="95"/>
      <c r="O633" s="95"/>
      <c r="P633" s="97"/>
      <c r="Q633" s="891" t="s">
        <v>2375</v>
      </c>
      <c r="R633" s="891" t="s">
        <v>137</v>
      </c>
      <c r="S633" s="891" t="s">
        <v>90</v>
      </c>
      <c r="T633" s="891" t="s">
        <v>432</v>
      </c>
      <c r="U633" s="64"/>
      <c r="V633" s="64"/>
      <c r="W633" s="103"/>
      <c r="X633" s="892"/>
      <c r="Y633" s="892"/>
      <c r="Z633" s="892"/>
      <c r="AA633" s="892"/>
      <c r="AB633" s="892"/>
      <c r="AC633" s="892"/>
      <c r="AD633" s="892"/>
      <c r="AE633" s="892"/>
      <c r="AF633" s="64"/>
      <c r="AG633" s="104"/>
      <c r="AH633" s="29"/>
      <c r="AI633" s="101"/>
      <c r="AJ633" s="101"/>
      <c r="AK633" s="101"/>
      <c r="AL633" s="192"/>
      <c r="AM633" s="186"/>
    </row>
    <row r="634" spans="1:39" ht="67.5" x14ac:dyDescent="0.25">
      <c r="A634" s="158"/>
      <c r="B634" s="158"/>
      <c r="C634" s="158"/>
      <c r="D634" s="158"/>
      <c r="E634" s="158"/>
      <c r="F634" s="158"/>
      <c r="G634" s="89" t="s">
        <v>2376</v>
      </c>
      <c r="H634" s="87" t="s">
        <v>2377</v>
      </c>
      <c r="I634" s="87" t="s">
        <v>2378</v>
      </c>
      <c r="J634" s="173"/>
      <c r="K634" s="890"/>
      <c r="L634" s="157"/>
      <c r="M634" s="95"/>
      <c r="N634" s="95"/>
      <c r="O634" s="95"/>
      <c r="P634" s="97"/>
      <c r="Q634" s="90" t="s">
        <v>2379</v>
      </c>
      <c r="R634" s="90" t="s">
        <v>137</v>
      </c>
      <c r="S634" s="90" t="s">
        <v>670</v>
      </c>
      <c r="T634" s="90" t="s">
        <v>90</v>
      </c>
      <c r="U634" s="51">
        <v>2065406204.1300001</v>
      </c>
      <c r="V634" s="51">
        <v>2065406204.1300001</v>
      </c>
      <c r="W634" s="91"/>
      <c r="X634" s="91"/>
      <c r="Y634" s="91"/>
      <c r="Z634" s="92" t="s">
        <v>55</v>
      </c>
      <c r="AA634" s="91"/>
      <c r="AB634" s="91"/>
      <c r="AC634" s="91"/>
      <c r="AD634" s="91"/>
      <c r="AE634" s="91"/>
      <c r="AF634" s="51">
        <v>2065406204.1300001</v>
      </c>
      <c r="AG634" s="68">
        <v>0</v>
      </c>
      <c r="AH634" s="69">
        <f t="shared" si="121"/>
        <v>0</v>
      </c>
      <c r="AI634" s="92" t="s">
        <v>2380</v>
      </c>
      <c r="AJ634" s="92" t="s">
        <v>2381</v>
      </c>
      <c r="AK634" s="91"/>
      <c r="AL634" s="192"/>
      <c r="AM634" s="186"/>
    </row>
    <row r="635" spans="1:39" ht="45" x14ac:dyDescent="0.25">
      <c r="A635" s="158"/>
      <c r="B635" s="158"/>
      <c r="C635" s="158"/>
      <c r="D635" s="158"/>
      <c r="E635" s="158"/>
      <c r="F635" s="158"/>
      <c r="G635" s="893"/>
      <c r="H635" s="101"/>
      <c r="I635" s="101"/>
      <c r="J635" s="173"/>
      <c r="K635" s="890"/>
      <c r="L635" s="157"/>
      <c r="M635" s="95"/>
      <c r="N635" s="95"/>
      <c r="O635" s="95"/>
      <c r="P635" s="97"/>
      <c r="Q635" s="90" t="s">
        <v>2382</v>
      </c>
      <c r="R635" s="90" t="s">
        <v>88</v>
      </c>
      <c r="S635" s="90" t="s">
        <v>670</v>
      </c>
      <c r="T635" s="90" t="s">
        <v>90</v>
      </c>
      <c r="U635" s="64"/>
      <c r="V635" s="64"/>
      <c r="W635" s="103"/>
      <c r="X635" s="103"/>
      <c r="Y635" s="103"/>
      <c r="Z635" s="103"/>
      <c r="AA635" s="103"/>
      <c r="AB635" s="103"/>
      <c r="AC635" s="103"/>
      <c r="AD635" s="103"/>
      <c r="AE635" s="103"/>
      <c r="AF635" s="103"/>
      <c r="AG635" s="103"/>
      <c r="AH635" s="29"/>
      <c r="AI635" s="103"/>
      <c r="AJ635" s="103"/>
      <c r="AK635" s="103"/>
      <c r="AL635" s="192"/>
      <c r="AM635" s="186"/>
    </row>
    <row r="636" spans="1:39" ht="90" x14ac:dyDescent="0.25">
      <c r="A636" s="158"/>
      <c r="B636" s="158"/>
      <c r="C636" s="158"/>
      <c r="D636" s="158"/>
      <c r="E636" s="158"/>
      <c r="F636" s="158"/>
      <c r="G636" s="87" t="s">
        <v>2383</v>
      </c>
      <c r="H636" s="101" t="s">
        <v>2384</v>
      </c>
      <c r="I636" s="101" t="s">
        <v>2385</v>
      </c>
      <c r="J636" s="173"/>
      <c r="K636" s="890"/>
      <c r="L636" s="157"/>
      <c r="M636" s="101"/>
      <c r="N636" s="101"/>
      <c r="O636" s="101"/>
      <c r="P636" s="894"/>
      <c r="Q636" s="90" t="s">
        <v>2386</v>
      </c>
      <c r="R636" s="90" t="s">
        <v>2387</v>
      </c>
      <c r="S636" s="90" t="s">
        <v>89</v>
      </c>
      <c r="T636" s="90" t="s">
        <v>2388</v>
      </c>
      <c r="U636" s="64">
        <v>20000000</v>
      </c>
      <c r="V636" s="64">
        <v>20000000</v>
      </c>
      <c r="W636" s="64"/>
      <c r="X636" s="64"/>
      <c r="Y636" s="64"/>
      <c r="Z636" s="64" t="s">
        <v>55</v>
      </c>
      <c r="AA636" s="64"/>
      <c r="AB636" s="64"/>
      <c r="AC636" s="64"/>
      <c r="AD636" s="64"/>
      <c r="AE636" s="103"/>
      <c r="AF636" s="64">
        <v>20000000</v>
      </c>
      <c r="AG636" s="101"/>
      <c r="AH636" s="29">
        <f t="shared" si="121"/>
        <v>0</v>
      </c>
      <c r="AI636" s="895" t="s">
        <v>2389</v>
      </c>
      <c r="AJ636" s="101" t="s">
        <v>2390</v>
      </c>
      <c r="AK636" s="101"/>
      <c r="AL636" s="192"/>
      <c r="AM636" s="186"/>
    </row>
    <row r="637" spans="1:39" ht="112.5" x14ac:dyDescent="0.25">
      <c r="A637" s="158"/>
      <c r="B637" s="158"/>
      <c r="C637" s="158"/>
      <c r="D637" s="158"/>
      <c r="E637" s="158"/>
      <c r="F637" s="158"/>
      <c r="G637" s="893" t="s">
        <v>2391</v>
      </c>
      <c r="H637" s="893" t="s">
        <v>2392</v>
      </c>
      <c r="I637" s="893" t="s">
        <v>2393</v>
      </c>
      <c r="J637" s="173" t="s">
        <v>2394</v>
      </c>
      <c r="K637" s="890">
        <f>+(0.0543*100)/6</f>
        <v>0.90499999999999992</v>
      </c>
      <c r="L637" s="157" t="s">
        <v>2395</v>
      </c>
      <c r="M637" s="896">
        <v>1</v>
      </c>
      <c r="N637" s="896">
        <v>1</v>
      </c>
      <c r="O637" s="896">
        <v>1</v>
      </c>
      <c r="P637" s="897">
        <f>+O637/N637</f>
        <v>1</v>
      </c>
      <c r="Q637" s="898" t="s">
        <v>2396</v>
      </c>
      <c r="R637" s="898" t="s">
        <v>2397</v>
      </c>
      <c r="S637" s="898" t="s">
        <v>286</v>
      </c>
      <c r="T637" s="898" t="s">
        <v>90</v>
      </c>
      <c r="U637" s="27">
        <v>200000000</v>
      </c>
      <c r="V637" s="27">
        <v>200000000</v>
      </c>
      <c r="W637" s="899"/>
      <c r="X637" s="899"/>
      <c r="Y637" s="899"/>
      <c r="Z637" s="898" t="s">
        <v>55</v>
      </c>
      <c r="AA637" s="899"/>
      <c r="AB637" s="899"/>
      <c r="AC637" s="899"/>
      <c r="AD637" s="899"/>
      <c r="AE637" s="899"/>
      <c r="AF637" s="27">
        <v>200000000</v>
      </c>
      <c r="AG637" s="27">
        <v>200000000</v>
      </c>
      <c r="AH637" s="29">
        <f>+AG637/AF637</f>
        <v>1</v>
      </c>
      <c r="AI637" s="895" t="s">
        <v>2398</v>
      </c>
      <c r="AJ637" s="893" t="s">
        <v>2399</v>
      </c>
      <c r="AK637" s="900"/>
      <c r="AL637" s="192" t="s">
        <v>58</v>
      </c>
      <c r="AM637" s="186">
        <v>1</v>
      </c>
    </row>
    <row r="638" spans="1:39" ht="45" x14ac:dyDescent="0.25">
      <c r="A638" s="158"/>
      <c r="B638" s="158"/>
      <c r="C638" s="158"/>
      <c r="D638" s="158"/>
      <c r="E638" s="158"/>
      <c r="F638" s="158"/>
      <c r="G638" s="158"/>
      <c r="H638" s="158"/>
      <c r="I638" s="158"/>
      <c r="J638" s="173" t="s">
        <v>2400</v>
      </c>
      <c r="K638" s="890">
        <f>+(0.0543*100)/6</f>
        <v>0.90499999999999992</v>
      </c>
      <c r="L638" s="157" t="s">
        <v>2401</v>
      </c>
      <c r="M638" s="157"/>
      <c r="N638" s="157"/>
      <c r="O638" s="157"/>
      <c r="P638" s="126"/>
      <c r="Q638" s="157"/>
      <c r="R638" s="157"/>
      <c r="S638" s="157"/>
      <c r="T638" s="157"/>
      <c r="U638" s="157"/>
      <c r="V638" s="157"/>
      <c r="W638" s="157"/>
      <c r="X638" s="157"/>
      <c r="Y638" s="157"/>
      <c r="Z638" s="157"/>
      <c r="AA638" s="157"/>
      <c r="AB638" s="157"/>
      <c r="AC638" s="157"/>
      <c r="AD638" s="157"/>
      <c r="AE638" s="157"/>
      <c r="AF638" s="157"/>
      <c r="AG638" s="157"/>
      <c r="AH638" s="126"/>
      <c r="AI638" s="157"/>
      <c r="AJ638" s="157"/>
      <c r="AK638" s="157" t="s">
        <v>2402</v>
      </c>
      <c r="AL638" s="192" t="s">
        <v>58</v>
      </c>
      <c r="AM638" s="186">
        <v>600</v>
      </c>
    </row>
    <row r="639" spans="1:39" ht="67.5" x14ac:dyDescent="0.25">
      <c r="A639" s="158"/>
      <c r="B639" s="158"/>
      <c r="C639" s="158"/>
      <c r="D639" s="158"/>
      <c r="E639" s="158"/>
      <c r="F639" s="158"/>
      <c r="G639" s="158"/>
      <c r="H639" s="158"/>
      <c r="I639" s="158"/>
      <c r="J639" s="173" t="s">
        <v>2403</v>
      </c>
      <c r="K639" s="890">
        <f>+(0.2353*100)/6</f>
        <v>3.9216666666666669</v>
      </c>
      <c r="L639" s="157" t="s">
        <v>2404</v>
      </c>
      <c r="M639" s="157"/>
      <c r="N639" s="157"/>
      <c r="O639" s="157"/>
      <c r="P639" s="126"/>
      <c r="Q639" s="157"/>
      <c r="R639" s="157"/>
      <c r="S639" s="157"/>
      <c r="T639" s="157"/>
      <c r="U639" s="157"/>
      <c r="V639" s="157"/>
      <c r="W639" s="157"/>
      <c r="X639" s="157"/>
      <c r="Y639" s="157"/>
      <c r="Z639" s="157"/>
      <c r="AA639" s="157"/>
      <c r="AB639" s="157"/>
      <c r="AC639" s="157"/>
      <c r="AD639" s="157"/>
      <c r="AE639" s="157"/>
      <c r="AF639" s="157"/>
      <c r="AG639" s="157"/>
      <c r="AH639" s="126"/>
      <c r="AI639" s="157"/>
      <c r="AJ639" s="157"/>
      <c r="AK639" s="157" t="s">
        <v>2402</v>
      </c>
      <c r="AL639" s="192" t="s">
        <v>58</v>
      </c>
      <c r="AM639" s="186">
        <v>2</v>
      </c>
    </row>
    <row r="640" spans="1:39" ht="45" x14ac:dyDescent="0.25">
      <c r="A640" s="158"/>
      <c r="B640" s="158"/>
      <c r="C640" s="158"/>
      <c r="D640" s="158"/>
      <c r="E640" s="158"/>
      <c r="F640" s="158"/>
      <c r="G640" s="158"/>
      <c r="H640" s="158"/>
      <c r="I640" s="158"/>
      <c r="J640" s="173" t="s">
        <v>2405</v>
      </c>
      <c r="K640" s="890">
        <f>+(0.0655*100)/6</f>
        <v>1.0916666666666668</v>
      </c>
      <c r="L640" s="157" t="s">
        <v>2406</v>
      </c>
      <c r="M640" s="157"/>
      <c r="N640" s="157"/>
      <c r="O640" s="157"/>
      <c r="P640" s="126"/>
      <c r="Q640" s="157"/>
      <c r="R640" s="157"/>
      <c r="S640" s="157"/>
      <c r="T640" s="157"/>
      <c r="U640" s="157"/>
      <c r="V640" s="157"/>
      <c r="W640" s="157"/>
      <c r="X640" s="157"/>
      <c r="Y640" s="157"/>
      <c r="Z640" s="157"/>
      <c r="AA640" s="157"/>
      <c r="AB640" s="157"/>
      <c r="AC640" s="157"/>
      <c r="AD640" s="157"/>
      <c r="AE640" s="157"/>
      <c r="AF640" s="157"/>
      <c r="AG640" s="157"/>
      <c r="AH640" s="126"/>
      <c r="AI640" s="157"/>
      <c r="AJ640" s="157"/>
      <c r="AK640" s="157" t="s">
        <v>2402</v>
      </c>
      <c r="AL640" s="192" t="s">
        <v>58</v>
      </c>
      <c r="AM640" s="186">
        <v>37</v>
      </c>
    </row>
    <row r="641" spans="1:39" ht="45" x14ac:dyDescent="0.25">
      <c r="A641" s="158"/>
      <c r="B641" s="158"/>
      <c r="C641" s="158"/>
      <c r="D641" s="158"/>
      <c r="E641" s="158"/>
      <c r="F641" s="170"/>
      <c r="G641" s="170"/>
      <c r="H641" s="170"/>
      <c r="I641" s="170"/>
      <c r="J641" s="173" t="s">
        <v>2407</v>
      </c>
      <c r="K641" s="890">
        <f>+(0.0418*100)/6</f>
        <v>0.69666666666666666</v>
      </c>
      <c r="L641" s="157" t="s">
        <v>2408</v>
      </c>
      <c r="M641" s="157"/>
      <c r="N641" s="157"/>
      <c r="O641" s="157"/>
      <c r="P641" s="126"/>
      <c r="Q641" s="157"/>
      <c r="R641" s="157"/>
      <c r="S641" s="157"/>
      <c r="T641" s="157"/>
      <c r="U641" s="157"/>
      <c r="V641" s="157"/>
      <c r="W641" s="157"/>
      <c r="X641" s="157"/>
      <c r="Y641" s="157"/>
      <c r="Z641" s="157"/>
      <c r="AA641" s="157"/>
      <c r="AB641" s="157"/>
      <c r="AC641" s="157"/>
      <c r="AD641" s="157"/>
      <c r="AE641" s="157"/>
      <c r="AF641" s="157"/>
      <c r="AG641" s="157"/>
      <c r="AH641" s="126"/>
      <c r="AI641" s="157"/>
      <c r="AJ641" s="157"/>
      <c r="AK641" s="157" t="s">
        <v>2402</v>
      </c>
      <c r="AL641" s="192" t="s">
        <v>58</v>
      </c>
      <c r="AM641" s="186">
        <v>1</v>
      </c>
    </row>
    <row r="642" spans="1:39" ht="45" x14ac:dyDescent="0.25">
      <c r="A642" s="158"/>
      <c r="B642" s="158"/>
      <c r="C642" s="158"/>
      <c r="D642" s="158"/>
      <c r="E642" s="158"/>
      <c r="F642" s="158"/>
      <c r="G642" s="158"/>
      <c r="H642" s="158"/>
      <c r="I642" s="158"/>
      <c r="J642" s="173" t="s">
        <v>2409</v>
      </c>
      <c r="K642" s="890">
        <f>+(0.2604*100)/6</f>
        <v>4.3400000000000007</v>
      </c>
      <c r="L642" s="157" t="s">
        <v>2410</v>
      </c>
      <c r="M642" s="157"/>
      <c r="N642" s="157"/>
      <c r="O642" s="157"/>
      <c r="P642" s="126"/>
      <c r="Q642" s="157"/>
      <c r="R642" s="157"/>
      <c r="S642" s="157"/>
      <c r="T642" s="157"/>
      <c r="U642" s="157"/>
      <c r="V642" s="157"/>
      <c r="W642" s="157"/>
      <c r="X642" s="157"/>
      <c r="Y642" s="157"/>
      <c r="Z642" s="157"/>
      <c r="AA642" s="157"/>
      <c r="AB642" s="157"/>
      <c r="AC642" s="157"/>
      <c r="AD642" s="157"/>
      <c r="AE642" s="157"/>
      <c r="AF642" s="157"/>
      <c r="AG642" s="157"/>
      <c r="AH642" s="126"/>
      <c r="AI642" s="157"/>
      <c r="AJ642" s="157"/>
      <c r="AK642" s="157" t="s">
        <v>1625</v>
      </c>
      <c r="AL642" s="192" t="s">
        <v>293</v>
      </c>
      <c r="AM642" s="186">
        <v>0</v>
      </c>
    </row>
    <row r="643" spans="1:39" ht="56.25" x14ac:dyDescent="0.25">
      <c r="A643" s="158"/>
      <c r="B643" s="158"/>
      <c r="C643" s="158"/>
      <c r="D643" s="158"/>
      <c r="E643" s="158"/>
      <c r="F643" s="158"/>
      <c r="G643" s="158"/>
      <c r="H643" s="158"/>
      <c r="I643" s="158"/>
      <c r="J643" s="173" t="s">
        <v>2411</v>
      </c>
      <c r="K643" s="890">
        <f>+(0.4368*100)/6</f>
        <v>7.28</v>
      </c>
      <c r="L643" s="157" t="s">
        <v>2243</v>
      </c>
      <c r="M643" s="157"/>
      <c r="N643" s="157"/>
      <c r="O643" s="157"/>
      <c r="P643" s="126"/>
      <c r="Q643" s="157"/>
      <c r="R643" s="157"/>
      <c r="S643" s="157"/>
      <c r="T643" s="157"/>
      <c r="U643" s="157"/>
      <c r="V643" s="157"/>
      <c r="W643" s="157"/>
      <c r="X643" s="157"/>
      <c r="Y643" s="157"/>
      <c r="Z643" s="157"/>
      <c r="AA643" s="157"/>
      <c r="AB643" s="157"/>
      <c r="AC643" s="157"/>
      <c r="AD643" s="157"/>
      <c r="AE643" s="157"/>
      <c r="AF643" s="157"/>
      <c r="AG643" s="157"/>
      <c r="AH643" s="126"/>
      <c r="AI643" s="157"/>
      <c r="AJ643" s="157"/>
      <c r="AK643" s="157" t="s">
        <v>1670</v>
      </c>
      <c r="AL643" s="192" t="s">
        <v>390</v>
      </c>
      <c r="AM643" s="186">
        <v>275</v>
      </c>
    </row>
    <row r="644" spans="1:39" ht="56.25" x14ac:dyDescent="0.25">
      <c r="A644" s="158"/>
      <c r="B644" s="158"/>
      <c r="C644" s="158"/>
      <c r="D644" s="158"/>
      <c r="E644" s="158"/>
      <c r="F644" s="158"/>
      <c r="G644" s="158"/>
      <c r="H644" s="158"/>
      <c r="I644" s="158"/>
      <c r="J644" s="173" t="s">
        <v>2412</v>
      </c>
      <c r="K644" s="890">
        <f>+(0.3283*100)/6</f>
        <v>5.4716666666666667</v>
      </c>
      <c r="L644" s="157" t="s">
        <v>2413</v>
      </c>
      <c r="M644" s="157"/>
      <c r="N644" s="157"/>
      <c r="O644" s="157"/>
      <c r="P644" s="126"/>
      <c r="Q644" s="157"/>
      <c r="R644" s="157"/>
      <c r="S644" s="157"/>
      <c r="T644" s="157"/>
      <c r="U644" s="157"/>
      <c r="V644" s="157"/>
      <c r="W644" s="157"/>
      <c r="X644" s="157"/>
      <c r="Y644" s="157"/>
      <c r="Z644" s="157"/>
      <c r="AA644" s="157"/>
      <c r="AB644" s="157"/>
      <c r="AC644" s="157"/>
      <c r="AD644" s="157"/>
      <c r="AE644" s="157"/>
      <c r="AF644" s="157"/>
      <c r="AG644" s="157"/>
      <c r="AH644" s="126"/>
      <c r="AI644" s="157"/>
      <c r="AJ644" s="157"/>
      <c r="AK644" s="157" t="s">
        <v>1670</v>
      </c>
      <c r="AL644" s="192" t="s">
        <v>390</v>
      </c>
      <c r="AM644" s="186">
        <v>1</v>
      </c>
    </row>
    <row r="645" spans="1:39" ht="56.25" x14ac:dyDescent="0.25">
      <c r="A645" s="158"/>
      <c r="B645" s="158"/>
      <c r="C645" s="158"/>
      <c r="D645" s="158"/>
      <c r="E645" s="158"/>
      <c r="F645" s="158"/>
      <c r="G645" s="158"/>
      <c r="H645" s="158"/>
      <c r="I645" s="158"/>
      <c r="J645" s="173" t="s">
        <v>2414</v>
      </c>
      <c r="K645" s="890">
        <f>+(0.6462*100)/6</f>
        <v>10.770000000000001</v>
      </c>
      <c r="L645" s="157" t="s">
        <v>2415</v>
      </c>
      <c r="M645" s="157"/>
      <c r="N645" s="157"/>
      <c r="O645" s="157"/>
      <c r="P645" s="126"/>
      <c r="Q645" s="157"/>
      <c r="R645" s="157"/>
      <c r="S645" s="157"/>
      <c r="T645" s="157"/>
      <c r="U645" s="157"/>
      <c r="V645" s="157"/>
      <c r="W645" s="157"/>
      <c r="X645" s="157"/>
      <c r="Y645" s="157"/>
      <c r="Z645" s="157"/>
      <c r="AA645" s="157"/>
      <c r="AB645" s="157"/>
      <c r="AC645" s="157"/>
      <c r="AD645" s="157"/>
      <c r="AE645" s="157"/>
      <c r="AF645" s="157"/>
      <c r="AG645" s="157"/>
      <c r="AH645" s="126"/>
      <c r="AI645" s="157"/>
      <c r="AJ645" s="157"/>
      <c r="AK645" s="157" t="s">
        <v>1670</v>
      </c>
      <c r="AL645" s="192" t="s">
        <v>390</v>
      </c>
      <c r="AM645" s="186">
        <v>2</v>
      </c>
    </row>
    <row r="646" spans="1:39" ht="56.25" x14ac:dyDescent="0.25">
      <c r="A646" s="158"/>
      <c r="B646" s="158"/>
      <c r="C646" s="158"/>
      <c r="D646" s="158"/>
      <c r="E646" s="158"/>
      <c r="F646" s="158"/>
      <c r="G646" s="158"/>
      <c r="H646" s="158"/>
      <c r="I646" s="158"/>
      <c r="J646" s="173" t="s">
        <v>2416</v>
      </c>
      <c r="K646" s="890">
        <f>+(0.3345*100)/6</f>
        <v>5.5750000000000002</v>
      </c>
      <c r="L646" s="157" t="s">
        <v>2241</v>
      </c>
      <c r="M646" s="157"/>
      <c r="N646" s="157"/>
      <c r="O646" s="157"/>
      <c r="P646" s="126"/>
      <c r="Q646" s="157"/>
      <c r="R646" s="157"/>
      <c r="S646" s="157"/>
      <c r="T646" s="157"/>
      <c r="U646" s="157"/>
      <c r="V646" s="157"/>
      <c r="W646" s="157"/>
      <c r="X646" s="157"/>
      <c r="Y646" s="157"/>
      <c r="Z646" s="157"/>
      <c r="AA646" s="157"/>
      <c r="AB646" s="157"/>
      <c r="AC646" s="157"/>
      <c r="AD646" s="157"/>
      <c r="AE646" s="157"/>
      <c r="AF646" s="157"/>
      <c r="AG646" s="157"/>
      <c r="AH646" s="126"/>
      <c r="AI646" s="157"/>
      <c r="AJ646" s="157"/>
      <c r="AK646" s="157" t="s">
        <v>1670</v>
      </c>
      <c r="AL646" s="192" t="s">
        <v>390</v>
      </c>
      <c r="AM646" s="186">
        <v>275</v>
      </c>
    </row>
    <row r="647" spans="1:39" ht="56.25" x14ac:dyDescent="0.25">
      <c r="A647" s="158"/>
      <c r="B647" s="158"/>
      <c r="C647" s="158"/>
      <c r="D647" s="158"/>
      <c r="E647" s="158"/>
      <c r="F647" s="158"/>
      <c r="G647" s="158"/>
      <c r="H647" s="158"/>
      <c r="I647" s="158"/>
      <c r="J647" s="173" t="s">
        <v>2417</v>
      </c>
      <c r="K647" s="890">
        <f>+(0.5598*100)/6</f>
        <v>9.33</v>
      </c>
      <c r="L647" s="157" t="s">
        <v>2418</v>
      </c>
      <c r="M647" s="157"/>
      <c r="N647" s="157"/>
      <c r="O647" s="157"/>
      <c r="P647" s="126"/>
      <c r="Q647" s="157"/>
      <c r="R647" s="157"/>
      <c r="S647" s="157"/>
      <c r="T647" s="157"/>
      <c r="U647" s="157"/>
      <c r="V647" s="157"/>
      <c r="W647" s="157"/>
      <c r="X647" s="157"/>
      <c r="Y647" s="157"/>
      <c r="Z647" s="157"/>
      <c r="AA647" s="157"/>
      <c r="AB647" s="157"/>
      <c r="AC647" s="157"/>
      <c r="AD647" s="157"/>
      <c r="AE647" s="157"/>
      <c r="AF647" s="157"/>
      <c r="AG647" s="157"/>
      <c r="AH647" s="126"/>
      <c r="AI647" s="157"/>
      <c r="AJ647" s="157"/>
      <c r="AK647" s="157" t="s">
        <v>1670</v>
      </c>
      <c r="AL647" s="192" t="s">
        <v>390</v>
      </c>
      <c r="AM647" s="186">
        <v>2</v>
      </c>
    </row>
    <row r="648" spans="1:39" ht="56.25" x14ac:dyDescent="0.25">
      <c r="A648" s="158"/>
      <c r="B648" s="158"/>
      <c r="C648" s="158"/>
      <c r="D648" s="158"/>
      <c r="E648" s="158"/>
      <c r="F648" s="158"/>
      <c r="G648" s="158"/>
      <c r="H648" s="158"/>
      <c r="I648" s="158"/>
      <c r="J648" s="173" t="s">
        <v>2419</v>
      </c>
      <c r="K648" s="890">
        <f>+(0.6741*100)/6</f>
        <v>11.234999999999999</v>
      </c>
      <c r="L648" s="157" t="s">
        <v>2420</v>
      </c>
      <c r="M648" s="157"/>
      <c r="N648" s="157"/>
      <c r="O648" s="157"/>
      <c r="P648" s="126"/>
      <c r="Q648" s="157"/>
      <c r="R648" s="157"/>
      <c r="S648" s="157"/>
      <c r="T648" s="157"/>
      <c r="U648" s="157"/>
      <c r="V648" s="157"/>
      <c r="W648" s="157"/>
      <c r="X648" s="157"/>
      <c r="Y648" s="157"/>
      <c r="Z648" s="157"/>
      <c r="AA648" s="157"/>
      <c r="AB648" s="157"/>
      <c r="AC648" s="157"/>
      <c r="AD648" s="157"/>
      <c r="AE648" s="157"/>
      <c r="AF648" s="157"/>
      <c r="AG648" s="157"/>
      <c r="AH648" s="126"/>
      <c r="AI648" s="157"/>
      <c r="AJ648" s="157"/>
      <c r="AK648" s="157" t="s">
        <v>1670</v>
      </c>
      <c r="AL648" s="192" t="s">
        <v>390</v>
      </c>
      <c r="AM648" s="186">
        <v>2</v>
      </c>
    </row>
    <row r="649" spans="1:39" ht="56.25" x14ac:dyDescent="0.25">
      <c r="A649" s="158"/>
      <c r="B649" s="158"/>
      <c r="C649" s="158"/>
      <c r="D649" s="158"/>
      <c r="E649" s="158"/>
      <c r="F649" s="158"/>
      <c r="G649" s="158"/>
      <c r="H649" s="158"/>
      <c r="I649" s="158"/>
      <c r="J649" s="173" t="s">
        <v>2421</v>
      </c>
      <c r="K649" s="890">
        <f>+(0.0716*100)/6</f>
        <v>1.1933333333333334</v>
      </c>
      <c r="L649" s="157" t="s">
        <v>2422</v>
      </c>
      <c r="M649" s="157"/>
      <c r="N649" s="157"/>
      <c r="O649" s="157"/>
      <c r="P649" s="126"/>
      <c r="Q649" s="157"/>
      <c r="R649" s="157"/>
      <c r="S649" s="157"/>
      <c r="T649" s="157"/>
      <c r="U649" s="157"/>
      <c r="V649" s="157"/>
      <c r="W649" s="157"/>
      <c r="X649" s="157"/>
      <c r="Y649" s="157"/>
      <c r="Z649" s="157"/>
      <c r="AA649" s="157"/>
      <c r="AB649" s="157"/>
      <c r="AC649" s="157"/>
      <c r="AD649" s="157"/>
      <c r="AE649" s="157"/>
      <c r="AF649" s="157"/>
      <c r="AG649" s="157"/>
      <c r="AH649" s="126"/>
      <c r="AI649" s="157"/>
      <c r="AJ649" s="157"/>
      <c r="AK649" s="157" t="s">
        <v>1670</v>
      </c>
      <c r="AL649" s="192" t="s">
        <v>390</v>
      </c>
      <c r="AM649" s="186">
        <v>100</v>
      </c>
    </row>
    <row r="650" spans="1:39" ht="101.25" x14ac:dyDescent="0.25">
      <c r="A650" s="158"/>
      <c r="B650" s="158"/>
      <c r="C650" s="158"/>
      <c r="D650" s="158"/>
      <c r="E650" s="158"/>
      <c r="F650" s="158"/>
      <c r="G650" s="901" t="s">
        <v>2423</v>
      </c>
      <c r="H650" s="901" t="s">
        <v>2424</v>
      </c>
      <c r="I650" s="901" t="s">
        <v>2425</v>
      </c>
      <c r="J650" s="173" t="s">
        <v>2426</v>
      </c>
      <c r="K650" s="890">
        <f>+(0.74*100)/6</f>
        <v>12.333333333333334</v>
      </c>
      <c r="L650" s="157" t="s">
        <v>2427</v>
      </c>
      <c r="M650" s="901"/>
      <c r="N650" s="902">
        <v>250</v>
      </c>
      <c r="O650" s="902">
        <v>150</v>
      </c>
      <c r="P650" s="55">
        <f>+O650/N650</f>
        <v>0.6</v>
      </c>
      <c r="Q650" s="731" t="s">
        <v>2428</v>
      </c>
      <c r="R650" s="731" t="s">
        <v>2429</v>
      </c>
      <c r="S650" s="731" t="s">
        <v>90</v>
      </c>
      <c r="T650" s="731" t="s">
        <v>90</v>
      </c>
      <c r="U650" s="732">
        <v>4917996436.0200005</v>
      </c>
      <c r="V650" s="732">
        <v>4917996436.0200005</v>
      </c>
      <c r="W650" s="682" t="s">
        <v>55</v>
      </c>
      <c r="X650" s="682"/>
      <c r="Y650" s="682"/>
      <c r="Z650" s="682" t="s">
        <v>55</v>
      </c>
      <c r="AA650" s="682"/>
      <c r="AB650" s="682"/>
      <c r="AC650" s="682"/>
      <c r="AD650" s="682"/>
      <c r="AE650" s="682"/>
      <c r="AF650" s="903">
        <v>4917996436.0200005</v>
      </c>
      <c r="AG650" s="903">
        <v>4783748863.1700001</v>
      </c>
      <c r="AH650" s="904">
        <f t="shared" ref="AH650" si="122">+AG650/AF650</f>
        <v>0.97270279175748176</v>
      </c>
      <c r="AI650" s="682"/>
      <c r="AJ650" s="682" t="s">
        <v>2430</v>
      </c>
      <c r="AK650" s="682"/>
      <c r="AL650" s="682"/>
      <c r="AM650" s="186">
        <v>250</v>
      </c>
    </row>
    <row r="651" spans="1:39" ht="90" x14ac:dyDescent="0.25">
      <c r="A651" s="158"/>
      <c r="B651" s="158"/>
      <c r="C651" s="158"/>
      <c r="D651" s="158"/>
      <c r="E651" s="158"/>
      <c r="F651" s="158"/>
      <c r="G651" s="158"/>
      <c r="H651" s="158"/>
      <c r="I651" s="158"/>
      <c r="J651" s="157"/>
      <c r="K651" s="890"/>
      <c r="L651" s="157"/>
      <c r="M651" s="905"/>
      <c r="N651" s="905"/>
      <c r="O651" s="905"/>
      <c r="P651" s="906"/>
      <c r="Q651" s="731" t="s">
        <v>2431</v>
      </c>
      <c r="R651" s="731" t="s">
        <v>2429</v>
      </c>
      <c r="S651" s="731" t="s">
        <v>90</v>
      </c>
      <c r="T651" s="731" t="s">
        <v>90</v>
      </c>
      <c r="U651" s="740">
        <v>522701744.69</v>
      </c>
      <c r="V651" s="740">
        <v>522701744.69</v>
      </c>
      <c r="W651" s="694"/>
      <c r="X651" s="694"/>
      <c r="Y651" s="694"/>
      <c r="Z651" s="694"/>
      <c r="AA651" s="694"/>
      <c r="AB651" s="694"/>
      <c r="AC651" s="694"/>
      <c r="AD651" s="694"/>
      <c r="AE651" s="694"/>
      <c r="AF651" s="694"/>
      <c r="AG651" s="694"/>
      <c r="AH651" s="290"/>
      <c r="AI651" s="694"/>
      <c r="AJ651" s="694"/>
      <c r="AK651" s="694"/>
      <c r="AL651" s="694"/>
      <c r="AM651" s="186"/>
    </row>
    <row r="652" spans="1:39" ht="90" x14ac:dyDescent="0.25">
      <c r="A652" s="158"/>
      <c r="B652" s="158"/>
      <c r="C652" s="158"/>
      <c r="D652" s="158"/>
      <c r="E652" s="158"/>
      <c r="F652" s="158"/>
      <c r="G652" s="158"/>
      <c r="H652" s="158"/>
      <c r="I652" s="158"/>
      <c r="J652" s="157"/>
      <c r="K652" s="890"/>
      <c r="L652" s="157"/>
      <c r="M652" s="905"/>
      <c r="N652" s="905"/>
      <c r="O652" s="905"/>
      <c r="P652" s="906"/>
      <c r="Q652" s="731" t="s">
        <v>2432</v>
      </c>
      <c r="R652" s="731" t="s">
        <v>2433</v>
      </c>
      <c r="S652" s="731" t="s">
        <v>90</v>
      </c>
      <c r="T652" s="731" t="s">
        <v>90</v>
      </c>
      <c r="U652" s="740">
        <v>592670338.88999999</v>
      </c>
      <c r="V652" s="740">
        <v>592670338.88999999</v>
      </c>
      <c r="W652" s="694"/>
      <c r="X652" s="694"/>
      <c r="Y652" s="694"/>
      <c r="Z652" s="694"/>
      <c r="AA652" s="694"/>
      <c r="AB652" s="694"/>
      <c r="AC652" s="694"/>
      <c r="AD652" s="694"/>
      <c r="AE652" s="694"/>
      <c r="AF652" s="694"/>
      <c r="AG652" s="694"/>
      <c r="AH652" s="290"/>
      <c r="AI652" s="694"/>
      <c r="AJ652" s="694"/>
      <c r="AK652" s="694"/>
      <c r="AL652" s="694"/>
      <c r="AM652" s="186"/>
    </row>
    <row r="653" spans="1:39" ht="90" x14ac:dyDescent="0.25">
      <c r="A653" s="158"/>
      <c r="B653" s="158"/>
      <c r="C653" s="158"/>
      <c r="D653" s="158"/>
      <c r="E653" s="158"/>
      <c r="F653" s="158"/>
      <c r="G653" s="158"/>
      <c r="H653" s="158"/>
      <c r="I653" s="158"/>
      <c r="J653" s="157"/>
      <c r="K653" s="890"/>
      <c r="L653" s="157"/>
      <c r="M653" s="905"/>
      <c r="N653" s="905"/>
      <c r="O653" s="905"/>
      <c r="P653" s="906"/>
      <c r="Q653" s="731" t="s">
        <v>2434</v>
      </c>
      <c r="R653" s="731" t="s">
        <v>2429</v>
      </c>
      <c r="S653" s="731" t="s">
        <v>90</v>
      </c>
      <c r="T653" s="731" t="s">
        <v>90</v>
      </c>
      <c r="U653" s="740">
        <v>195851057.65000001</v>
      </c>
      <c r="V653" s="740">
        <v>195851057.65000001</v>
      </c>
      <c r="W653" s="694"/>
      <c r="X653" s="694"/>
      <c r="Y653" s="694"/>
      <c r="Z653" s="694"/>
      <c r="AA653" s="694"/>
      <c r="AB653" s="694"/>
      <c r="AC653" s="694"/>
      <c r="AD653" s="694"/>
      <c r="AE653" s="694"/>
      <c r="AF653" s="694"/>
      <c r="AG653" s="694"/>
      <c r="AH653" s="290"/>
      <c r="AI653" s="694"/>
      <c r="AJ653" s="694"/>
      <c r="AK653" s="694"/>
      <c r="AL653" s="694"/>
      <c r="AM653" s="186"/>
    </row>
    <row r="654" spans="1:39" ht="90" x14ac:dyDescent="0.25">
      <c r="A654" s="158"/>
      <c r="B654" s="158"/>
      <c r="C654" s="158"/>
      <c r="D654" s="158"/>
      <c r="E654" s="158"/>
      <c r="F654" s="158"/>
      <c r="G654" s="158"/>
      <c r="H654" s="158"/>
      <c r="I654" s="158"/>
      <c r="J654" s="157"/>
      <c r="K654" s="890"/>
      <c r="L654" s="157"/>
      <c r="M654" s="905"/>
      <c r="N654" s="905"/>
      <c r="O654" s="905"/>
      <c r="P654" s="906"/>
      <c r="Q654" s="731" t="s">
        <v>2435</v>
      </c>
      <c r="R654" s="731" t="s">
        <v>2429</v>
      </c>
      <c r="S654" s="731" t="s">
        <v>90</v>
      </c>
      <c r="T654" s="731" t="s">
        <v>90</v>
      </c>
      <c r="U654" s="740">
        <v>437313375.78999996</v>
      </c>
      <c r="V654" s="740">
        <v>437313375.78999996</v>
      </c>
      <c r="W654" s="694"/>
      <c r="X654" s="694"/>
      <c r="Y654" s="694"/>
      <c r="Z654" s="694"/>
      <c r="AA654" s="694"/>
      <c r="AB654" s="694"/>
      <c r="AC654" s="694"/>
      <c r="AD654" s="694"/>
      <c r="AE654" s="694"/>
      <c r="AF654" s="694"/>
      <c r="AG654" s="694"/>
      <c r="AH654" s="290"/>
      <c r="AI654" s="694"/>
      <c r="AJ654" s="694"/>
      <c r="AK654" s="694"/>
      <c r="AL654" s="694"/>
      <c r="AM654" s="186"/>
    </row>
    <row r="655" spans="1:39" ht="112.5" x14ac:dyDescent="0.25">
      <c r="A655" s="158"/>
      <c r="B655" s="158"/>
      <c r="C655" s="158"/>
      <c r="D655" s="158"/>
      <c r="E655" s="158"/>
      <c r="F655" s="158"/>
      <c r="G655" s="158"/>
      <c r="H655" s="158"/>
      <c r="I655" s="158"/>
      <c r="J655" s="157"/>
      <c r="K655" s="890"/>
      <c r="L655" s="157"/>
      <c r="M655" s="905"/>
      <c r="N655" s="905"/>
      <c r="O655" s="905"/>
      <c r="P655" s="906"/>
      <c r="Q655" s="731" t="s">
        <v>2436</v>
      </c>
      <c r="R655" s="731" t="s">
        <v>2429</v>
      </c>
      <c r="S655" s="731" t="s">
        <v>90</v>
      </c>
      <c r="T655" s="731" t="s">
        <v>90</v>
      </c>
      <c r="U655" s="740">
        <v>965248734.69000006</v>
      </c>
      <c r="V655" s="740">
        <v>965248734.69000006</v>
      </c>
      <c r="W655" s="694"/>
      <c r="X655" s="694"/>
      <c r="Y655" s="694"/>
      <c r="Z655" s="694"/>
      <c r="AA655" s="694"/>
      <c r="AB655" s="694"/>
      <c r="AC655" s="694"/>
      <c r="AD655" s="694"/>
      <c r="AE655" s="694"/>
      <c r="AF655" s="694"/>
      <c r="AG655" s="694"/>
      <c r="AH655" s="290"/>
      <c r="AI655" s="694"/>
      <c r="AJ655" s="694"/>
      <c r="AK655" s="694"/>
      <c r="AL655" s="694"/>
      <c r="AM655" s="186"/>
    </row>
    <row r="656" spans="1:39" ht="90" x14ac:dyDescent="0.25">
      <c r="A656" s="158"/>
      <c r="B656" s="158"/>
      <c r="C656" s="158"/>
      <c r="D656" s="158"/>
      <c r="E656" s="158"/>
      <c r="F656" s="158"/>
      <c r="G656" s="158"/>
      <c r="H656" s="158"/>
      <c r="I656" s="158"/>
      <c r="J656" s="157"/>
      <c r="K656" s="890"/>
      <c r="L656" s="157"/>
      <c r="M656" s="905"/>
      <c r="N656" s="905"/>
      <c r="O656" s="905"/>
      <c r="P656" s="906"/>
      <c r="Q656" s="731" t="s">
        <v>2437</v>
      </c>
      <c r="R656" s="731" t="s">
        <v>2429</v>
      </c>
      <c r="S656" s="731" t="s">
        <v>90</v>
      </c>
      <c r="T656" s="731" t="s">
        <v>90</v>
      </c>
      <c r="U656" s="740">
        <v>484751265.30999994</v>
      </c>
      <c r="V656" s="740">
        <v>484751265.30999994</v>
      </c>
      <c r="W656" s="694"/>
      <c r="X656" s="694"/>
      <c r="Y656" s="694"/>
      <c r="Z656" s="694"/>
      <c r="AA656" s="694"/>
      <c r="AB656" s="694"/>
      <c r="AC656" s="694"/>
      <c r="AD656" s="694"/>
      <c r="AE656" s="694"/>
      <c r="AF656" s="694"/>
      <c r="AG656" s="694"/>
      <c r="AH656" s="290"/>
      <c r="AI656" s="694"/>
      <c r="AJ656" s="694"/>
      <c r="AK656" s="694"/>
      <c r="AL656" s="694"/>
      <c r="AM656" s="186"/>
    </row>
    <row r="657" spans="1:39" ht="90" x14ac:dyDescent="0.25">
      <c r="A657" s="158"/>
      <c r="B657" s="158"/>
      <c r="C657" s="158"/>
      <c r="D657" s="158"/>
      <c r="E657" s="158"/>
      <c r="F657" s="158"/>
      <c r="G657" s="158"/>
      <c r="H657" s="158"/>
      <c r="I657" s="158"/>
      <c r="J657" s="157"/>
      <c r="K657" s="890"/>
      <c r="L657" s="157"/>
      <c r="M657" s="905"/>
      <c r="N657" s="905"/>
      <c r="O657" s="905"/>
      <c r="P657" s="906"/>
      <c r="Q657" s="731" t="s">
        <v>2438</v>
      </c>
      <c r="R657" s="731" t="s">
        <v>2429</v>
      </c>
      <c r="S657" s="731" t="s">
        <v>90</v>
      </c>
      <c r="T657" s="731" t="s">
        <v>90</v>
      </c>
      <c r="U657" s="740">
        <v>820000000</v>
      </c>
      <c r="V657" s="740">
        <v>820000000</v>
      </c>
      <c r="W657" s="694"/>
      <c r="X657" s="694"/>
      <c r="Y657" s="694"/>
      <c r="Z657" s="694"/>
      <c r="AA657" s="694"/>
      <c r="AB657" s="694"/>
      <c r="AC657" s="694"/>
      <c r="AD657" s="694"/>
      <c r="AE657" s="694"/>
      <c r="AF657" s="694"/>
      <c r="AG657" s="694"/>
      <c r="AH657" s="290"/>
      <c r="AI657" s="694"/>
      <c r="AJ657" s="694"/>
      <c r="AK657" s="694"/>
      <c r="AL657" s="694"/>
      <c r="AM657" s="186"/>
    </row>
    <row r="658" spans="1:39" ht="90" x14ac:dyDescent="0.25">
      <c r="A658" s="158"/>
      <c r="B658" s="158"/>
      <c r="C658" s="158"/>
      <c r="D658" s="158"/>
      <c r="E658" s="158"/>
      <c r="F658" s="158"/>
      <c r="G658" s="158"/>
      <c r="H658" s="158"/>
      <c r="I658" s="158"/>
      <c r="J658" s="157"/>
      <c r="K658" s="890"/>
      <c r="L658" s="157"/>
      <c r="M658" s="905"/>
      <c r="N658" s="905"/>
      <c r="O658" s="905"/>
      <c r="P658" s="906"/>
      <c r="Q658" s="731" t="s">
        <v>2439</v>
      </c>
      <c r="R658" s="731" t="s">
        <v>2429</v>
      </c>
      <c r="S658" s="731" t="s">
        <v>90</v>
      </c>
      <c r="T658" s="731" t="s">
        <v>90</v>
      </c>
      <c r="U658" s="740">
        <v>152483318.72</v>
      </c>
      <c r="V658" s="740">
        <v>152483318.72</v>
      </c>
      <c r="W658" s="694"/>
      <c r="X658" s="694"/>
      <c r="Y658" s="694"/>
      <c r="Z658" s="694"/>
      <c r="AA658" s="694"/>
      <c r="AB658" s="694"/>
      <c r="AC658" s="694"/>
      <c r="AD658" s="694"/>
      <c r="AE658" s="694"/>
      <c r="AF658" s="694"/>
      <c r="AG658" s="694"/>
      <c r="AH658" s="290"/>
      <c r="AI658" s="694"/>
      <c r="AJ658" s="694"/>
      <c r="AK658" s="694"/>
      <c r="AL658" s="694"/>
      <c r="AM658" s="186"/>
    </row>
    <row r="659" spans="1:39" ht="67.5" x14ac:dyDescent="0.25">
      <c r="A659" s="158"/>
      <c r="B659" s="158"/>
      <c r="C659" s="158"/>
      <c r="D659" s="158"/>
      <c r="E659" s="158"/>
      <c r="F659" s="158"/>
      <c r="G659" s="158"/>
      <c r="H659" s="158"/>
      <c r="I659" s="158"/>
      <c r="J659" s="157"/>
      <c r="K659" s="890"/>
      <c r="L659" s="157"/>
      <c r="M659" s="907"/>
      <c r="N659" s="907"/>
      <c r="O659" s="907"/>
      <c r="P659" s="908"/>
      <c r="Q659" s="731" t="s">
        <v>2440</v>
      </c>
      <c r="R659" s="731" t="s">
        <v>2429</v>
      </c>
      <c r="S659" s="731" t="s">
        <v>90</v>
      </c>
      <c r="T659" s="731" t="s">
        <v>90</v>
      </c>
      <c r="U659" s="740">
        <v>134247542.75</v>
      </c>
      <c r="V659" s="740">
        <v>134247542.75</v>
      </c>
      <c r="W659" s="730"/>
      <c r="X659" s="730"/>
      <c r="Y659" s="730"/>
      <c r="Z659" s="730"/>
      <c r="AA659" s="730"/>
      <c r="AB659" s="730"/>
      <c r="AC659" s="730"/>
      <c r="AD659" s="730"/>
      <c r="AE659" s="730"/>
      <c r="AF659" s="730"/>
      <c r="AG659" s="730"/>
      <c r="AH659" s="411">
        <f>AVERAGE(AH660:AH670)</f>
        <v>0.79400718972811291</v>
      </c>
      <c r="AI659" s="730"/>
      <c r="AJ659" s="730"/>
      <c r="AK659" s="730"/>
      <c r="AL659" s="730"/>
      <c r="AM659" s="186"/>
    </row>
    <row r="660" spans="1:39" ht="78.75" x14ac:dyDescent="0.25">
      <c r="A660" s="158"/>
      <c r="B660" s="158"/>
      <c r="C660" s="158"/>
      <c r="D660" s="158"/>
      <c r="E660" s="158"/>
      <c r="F660" s="158"/>
      <c r="G660" s="909" t="s">
        <v>2441</v>
      </c>
      <c r="H660" s="910" t="s">
        <v>2442</v>
      </c>
      <c r="I660" s="910" t="s">
        <v>2443</v>
      </c>
      <c r="J660" s="911" t="s">
        <v>2444</v>
      </c>
      <c r="K660" s="890">
        <f>+(1.21*100)/6</f>
        <v>20.166666666666668</v>
      </c>
      <c r="L660" s="911" t="s">
        <v>2445</v>
      </c>
      <c r="M660" s="911"/>
      <c r="N660" s="912">
        <v>300</v>
      </c>
      <c r="O660" s="912">
        <v>30</v>
      </c>
      <c r="P660" s="55">
        <f>+O660/N660</f>
        <v>0.1</v>
      </c>
      <c r="Q660" s="731" t="s">
        <v>2446</v>
      </c>
      <c r="R660" s="731" t="s">
        <v>2447</v>
      </c>
      <c r="S660" s="731" t="s">
        <v>2084</v>
      </c>
      <c r="T660" s="731" t="s">
        <v>2448</v>
      </c>
      <c r="U660" s="740">
        <f>391000000+306555156.21</f>
        <v>697555156.21000004</v>
      </c>
      <c r="V660" s="740">
        <f>391000000+306555156.21</f>
        <v>697555156.21000004</v>
      </c>
      <c r="W660" s="731"/>
      <c r="X660" s="731"/>
      <c r="Y660" s="731"/>
      <c r="Z660" s="731" t="s">
        <v>55</v>
      </c>
      <c r="AA660" s="731"/>
      <c r="AB660" s="731"/>
      <c r="AC660" s="731"/>
      <c r="AD660" s="731"/>
      <c r="AE660" s="731"/>
      <c r="AF660" s="740">
        <f>391000000+306555156.21</f>
        <v>697555156.21000004</v>
      </c>
      <c r="AG660" s="733">
        <v>536274229.50999999</v>
      </c>
      <c r="AH660" s="289">
        <f t="shared" ref="AH660:AH672" si="123">+AG660/AF660</f>
        <v>0.76879114824943506</v>
      </c>
      <c r="AI660" s="731"/>
      <c r="AJ660" s="731"/>
      <c r="AK660" s="730"/>
      <c r="AL660" s="913"/>
      <c r="AM660" s="186">
        <v>350</v>
      </c>
    </row>
    <row r="661" spans="1:39" ht="112.5" x14ac:dyDescent="0.25">
      <c r="A661" s="158"/>
      <c r="B661" s="158"/>
      <c r="C661" s="158"/>
      <c r="D661" s="158"/>
      <c r="E661" s="158"/>
      <c r="F661" s="158"/>
      <c r="G661" s="910" t="s">
        <v>2449</v>
      </c>
      <c r="H661" s="910" t="s">
        <v>2450</v>
      </c>
      <c r="I661" s="910" t="s">
        <v>2451</v>
      </c>
      <c r="J661" s="914"/>
      <c r="K661" s="890"/>
      <c r="L661" s="914"/>
      <c r="M661" s="914"/>
      <c r="N661" s="914"/>
      <c r="O661" s="914"/>
      <c r="P661" s="591"/>
      <c r="Q661" s="731" t="s">
        <v>2452</v>
      </c>
      <c r="R661" s="731" t="s">
        <v>2453</v>
      </c>
      <c r="S661" s="731"/>
      <c r="T661" s="731"/>
      <c r="U661" s="732">
        <v>5000000000</v>
      </c>
      <c r="V661" s="732">
        <v>5000000000</v>
      </c>
      <c r="W661" s="731"/>
      <c r="X661" s="731"/>
      <c r="Y661" s="731"/>
      <c r="Z661" s="731" t="s">
        <v>55</v>
      </c>
      <c r="AA661" s="731"/>
      <c r="AB661" s="731"/>
      <c r="AC661" s="731"/>
      <c r="AD661" s="731"/>
      <c r="AE661" s="731"/>
      <c r="AF661" s="732">
        <v>5000000000</v>
      </c>
      <c r="AG661" s="733">
        <v>4887280209.0100002</v>
      </c>
      <c r="AH661" s="289">
        <f t="shared" si="123"/>
        <v>0.97745604180200008</v>
      </c>
      <c r="AI661" s="731"/>
      <c r="AJ661" s="731"/>
      <c r="AK661" s="730"/>
      <c r="AL661" s="913"/>
      <c r="AM661" s="186"/>
    </row>
    <row r="662" spans="1:39" ht="90" x14ac:dyDescent="0.25">
      <c r="A662" s="158"/>
      <c r="B662" s="158"/>
      <c r="C662" s="158"/>
      <c r="D662" s="158"/>
      <c r="E662" s="158"/>
      <c r="F662" s="158"/>
      <c r="G662" s="910" t="s">
        <v>2454</v>
      </c>
      <c r="H662" s="910" t="s">
        <v>2450</v>
      </c>
      <c r="I662" s="910" t="s">
        <v>2455</v>
      </c>
      <c r="J662" s="914"/>
      <c r="K662" s="890"/>
      <c r="L662" s="914"/>
      <c r="M662" s="914"/>
      <c r="N662" s="914"/>
      <c r="O662" s="914"/>
      <c r="P662" s="591"/>
      <c r="Q662" s="731" t="s">
        <v>2456</v>
      </c>
      <c r="R662" s="731" t="s">
        <v>2453</v>
      </c>
      <c r="S662" s="731" t="s">
        <v>2084</v>
      </c>
      <c r="T662" s="731" t="s">
        <v>2448</v>
      </c>
      <c r="U662" s="733">
        <v>423000000</v>
      </c>
      <c r="V662" s="733">
        <v>423000000</v>
      </c>
      <c r="W662" s="731"/>
      <c r="X662" s="731"/>
      <c r="Y662" s="731"/>
      <c r="Z662" s="731" t="s">
        <v>55</v>
      </c>
      <c r="AA662" s="731"/>
      <c r="AB662" s="731"/>
      <c r="AC662" s="731"/>
      <c r="AD662" s="731"/>
      <c r="AE662" s="731"/>
      <c r="AF662" s="733">
        <v>423000000</v>
      </c>
      <c r="AG662" s="733">
        <v>422949940.36000001</v>
      </c>
      <c r="AH662" s="289">
        <f t="shared" si="123"/>
        <v>0.99988165569739951</v>
      </c>
      <c r="AI662" s="731"/>
      <c r="AJ662" s="731" t="s">
        <v>2457</v>
      </c>
      <c r="AK662" s="730"/>
      <c r="AL662" s="913"/>
      <c r="AM662" s="186"/>
    </row>
    <row r="663" spans="1:39" ht="112.5" x14ac:dyDescent="0.25">
      <c r="A663" s="158"/>
      <c r="B663" s="158"/>
      <c r="C663" s="158"/>
      <c r="D663" s="158"/>
      <c r="E663" s="158"/>
      <c r="F663" s="158"/>
      <c r="G663" s="910" t="s">
        <v>2458</v>
      </c>
      <c r="H663" s="910" t="s">
        <v>2450</v>
      </c>
      <c r="I663" s="910" t="s">
        <v>2459</v>
      </c>
      <c r="J663" s="914"/>
      <c r="K663" s="890"/>
      <c r="L663" s="914"/>
      <c r="M663" s="914"/>
      <c r="N663" s="914"/>
      <c r="O663" s="914"/>
      <c r="P663" s="591"/>
      <c r="Q663" s="731" t="s">
        <v>2460</v>
      </c>
      <c r="R663" s="731" t="s">
        <v>2461</v>
      </c>
      <c r="S663" s="731" t="s">
        <v>411</v>
      </c>
      <c r="T663" s="731" t="s">
        <v>2462</v>
      </c>
      <c r="U663" s="732">
        <v>350000000</v>
      </c>
      <c r="V663" s="732">
        <v>350000000</v>
      </c>
      <c r="W663" s="731"/>
      <c r="X663" s="731"/>
      <c r="Y663" s="731"/>
      <c r="Z663" s="731" t="s">
        <v>55</v>
      </c>
      <c r="AA663" s="731"/>
      <c r="AB663" s="731"/>
      <c r="AC663" s="731"/>
      <c r="AD663" s="731"/>
      <c r="AE663" s="731"/>
      <c r="AF663" s="732">
        <v>350000000</v>
      </c>
      <c r="AG663" s="733">
        <v>349992988.46000004</v>
      </c>
      <c r="AH663" s="289">
        <f t="shared" si="123"/>
        <v>0.9999799670285715</v>
      </c>
      <c r="AI663" s="731" t="s">
        <v>2463</v>
      </c>
      <c r="AJ663" s="731"/>
      <c r="AK663" s="730"/>
      <c r="AL663" s="913"/>
      <c r="AM663" s="186"/>
    </row>
    <row r="664" spans="1:39" ht="135" x14ac:dyDescent="0.25">
      <c r="A664" s="158"/>
      <c r="B664" s="158"/>
      <c r="C664" s="158"/>
      <c r="D664" s="158"/>
      <c r="E664" s="158"/>
      <c r="F664" s="158"/>
      <c r="G664" s="910" t="s">
        <v>2464</v>
      </c>
      <c r="H664" s="910" t="s">
        <v>2450</v>
      </c>
      <c r="I664" s="910" t="s">
        <v>2465</v>
      </c>
      <c r="J664" s="914"/>
      <c r="K664" s="890"/>
      <c r="L664" s="914"/>
      <c r="M664" s="914"/>
      <c r="N664" s="914"/>
      <c r="O664" s="914"/>
      <c r="P664" s="591"/>
      <c r="Q664" s="731" t="s">
        <v>2466</v>
      </c>
      <c r="R664" s="731" t="s">
        <v>2467</v>
      </c>
      <c r="S664" s="731" t="s">
        <v>286</v>
      </c>
      <c r="T664" s="731" t="s">
        <v>90</v>
      </c>
      <c r="U664" s="733">
        <v>90512360.969999999</v>
      </c>
      <c r="V664" s="732">
        <v>90512360.969999999</v>
      </c>
      <c r="W664" s="731"/>
      <c r="X664" s="731"/>
      <c r="Y664" s="731"/>
      <c r="Z664" s="731" t="s">
        <v>55</v>
      </c>
      <c r="AA664" s="731"/>
      <c r="AB664" s="731"/>
      <c r="AC664" s="731"/>
      <c r="AD664" s="731"/>
      <c r="AE664" s="731"/>
      <c r="AF664" s="733">
        <v>90512360.969999999</v>
      </c>
      <c r="AG664" s="733">
        <v>90512360.969999999</v>
      </c>
      <c r="AH664" s="289">
        <f t="shared" si="123"/>
        <v>1</v>
      </c>
      <c r="AI664" s="731"/>
      <c r="AJ664" s="731"/>
      <c r="AK664" s="730"/>
      <c r="AL664" s="913"/>
      <c r="AM664" s="186"/>
    </row>
    <row r="665" spans="1:39" ht="101.25" x14ac:dyDescent="0.25">
      <c r="A665" s="158"/>
      <c r="B665" s="158"/>
      <c r="C665" s="158"/>
      <c r="D665" s="158"/>
      <c r="E665" s="158"/>
      <c r="F665" s="158"/>
      <c r="G665" s="910" t="s">
        <v>2468</v>
      </c>
      <c r="H665" s="910" t="s">
        <v>2450</v>
      </c>
      <c r="I665" s="910" t="s">
        <v>2469</v>
      </c>
      <c r="J665" s="914"/>
      <c r="K665" s="890"/>
      <c r="L665" s="914"/>
      <c r="M665" s="914"/>
      <c r="N665" s="914"/>
      <c r="O665" s="914"/>
      <c r="P665" s="591"/>
      <c r="Q665" s="731" t="s">
        <v>2470</v>
      </c>
      <c r="R665" s="731" t="s">
        <v>2453</v>
      </c>
      <c r="S665" s="731" t="s">
        <v>2471</v>
      </c>
      <c r="T665" s="731" t="s">
        <v>90</v>
      </c>
      <c r="U665" s="732">
        <v>684398081.99999988</v>
      </c>
      <c r="V665" s="732">
        <v>684398081.99999988</v>
      </c>
      <c r="W665" s="731"/>
      <c r="X665" s="731"/>
      <c r="Y665" s="731"/>
      <c r="Z665" s="731" t="s">
        <v>55</v>
      </c>
      <c r="AA665" s="731"/>
      <c r="AB665" s="731"/>
      <c r="AC665" s="731"/>
      <c r="AD665" s="731"/>
      <c r="AE665" s="731"/>
      <c r="AF665" s="732">
        <v>684398081.99999988</v>
      </c>
      <c r="AG665" s="733">
        <v>684346630.54999995</v>
      </c>
      <c r="AH665" s="289">
        <f t="shared" si="123"/>
        <v>0.99992482233461322</v>
      </c>
      <c r="AI665" s="731"/>
      <c r="AJ665" s="731"/>
      <c r="AK665" s="730"/>
      <c r="AL665" s="913"/>
      <c r="AM665" s="186"/>
    </row>
    <row r="666" spans="1:39" ht="112.5" x14ac:dyDescent="0.25">
      <c r="A666" s="158"/>
      <c r="B666" s="158"/>
      <c r="C666" s="158"/>
      <c r="D666" s="158"/>
      <c r="E666" s="158"/>
      <c r="F666" s="158"/>
      <c r="G666" s="910" t="s">
        <v>2472</v>
      </c>
      <c r="H666" s="910" t="s">
        <v>2450</v>
      </c>
      <c r="I666" s="910" t="s">
        <v>2473</v>
      </c>
      <c r="J666" s="914"/>
      <c r="K666" s="890"/>
      <c r="L666" s="914"/>
      <c r="M666" s="914"/>
      <c r="N666" s="914"/>
      <c r="O666" s="914"/>
      <c r="P666" s="591"/>
      <c r="Q666" s="731" t="s">
        <v>2474</v>
      </c>
      <c r="R666" s="731" t="s">
        <v>2453</v>
      </c>
      <c r="S666" s="731" t="s">
        <v>2084</v>
      </c>
      <c r="T666" s="731" t="s">
        <v>2448</v>
      </c>
      <c r="U666" s="732">
        <v>423000000</v>
      </c>
      <c r="V666" s="732">
        <v>423000000</v>
      </c>
      <c r="W666" s="731"/>
      <c r="X666" s="731"/>
      <c r="Y666" s="731"/>
      <c r="Z666" s="731" t="s">
        <v>55</v>
      </c>
      <c r="AA666" s="731"/>
      <c r="AB666" s="731"/>
      <c r="AC666" s="731"/>
      <c r="AD666" s="731"/>
      <c r="AE666" s="731"/>
      <c r="AF666" s="732">
        <v>423000000</v>
      </c>
      <c r="AG666" s="733">
        <v>0</v>
      </c>
      <c r="AH666" s="289">
        <f t="shared" si="123"/>
        <v>0</v>
      </c>
      <c r="AI666" s="731"/>
      <c r="AJ666" s="731"/>
      <c r="AK666" s="730"/>
      <c r="AL666" s="913"/>
      <c r="AM666" s="186"/>
    </row>
    <row r="667" spans="1:39" ht="123.75" x14ac:dyDescent="0.25">
      <c r="A667" s="158"/>
      <c r="B667" s="158"/>
      <c r="C667" s="158"/>
      <c r="D667" s="158"/>
      <c r="E667" s="158"/>
      <c r="F667" s="158"/>
      <c r="G667" s="910" t="s">
        <v>2475</v>
      </c>
      <c r="H667" s="910" t="s">
        <v>2450</v>
      </c>
      <c r="I667" s="910" t="s">
        <v>2476</v>
      </c>
      <c r="J667" s="914"/>
      <c r="K667" s="890"/>
      <c r="L667" s="914"/>
      <c r="M667" s="914"/>
      <c r="N667" s="914"/>
      <c r="O667" s="914"/>
      <c r="P667" s="591"/>
      <c r="Q667" s="731" t="s">
        <v>2477</v>
      </c>
      <c r="R667" s="731" t="s">
        <v>2453</v>
      </c>
      <c r="S667" s="731" t="s">
        <v>1770</v>
      </c>
      <c r="T667" s="731" t="s">
        <v>460</v>
      </c>
      <c r="U667" s="740">
        <v>1428100535.24</v>
      </c>
      <c r="V667" s="732">
        <v>1500000000</v>
      </c>
      <c r="W667" s="731"/>
      <c r="X667" s="731"/>
      <c r="Y667" s="731"/>
      <c r="Z667" s="731" t="s">
        <v>55</v>
      </c>
      <c r="AA667" s="731"/>
      <c r="AB667" s="731"/>
      <c r="AC667" s="731"/>
      <c r="AD667" s="731"/>
      <c r="AE667" s="731"/>
      <c r="AF667" s="732">
        <v>1500000000</v>
      </c>
      <c r="AG667" s="733">
        <v>1499740803.5999999</v>
      </c>
      <c r="AH667" s="289">
        <f t="shared" si="123"/>
        <v>0.99982720239999989</v>
      </c>
      <c r="AI667" s="731"/>
      <c r="AJ667" s="731" t="s">
        <v>2478</v>
      </c>
      <c r="AK667" s="730"/>
      <c r="AL667" s="913"/>
      <c r="AM667" s="186"/>
    </row>
    <row r="668" spans="1:39" ht="101.25" x14ac:dyDescent="0.25">
      <c r="A668" s="158"/>
      <c r="B668" s="158"/>
      <c r="C668" s="158"/>
      <c r="D668" s="158"/>
      <c r="E668" s="158"/>
      <c r="F668" s="158"/>
      <c r="G668" s="910" t="s">
        <v>2479</v>
      </c>
      <c r="H668" s="910" t="s">
        <v>2450</v>
      </c>
      <c r="I668" s="910" t="s">
        <v>2480</v>
      </c>
      <c r="J668" s="914"/>
      <c r="K668" s="890"/>
      <c r="L668" s="914"/>
      <c r="M668" s="914"/>
      <c r="N668" s="914"/>
      <c r="O668" s="914"/>
      <c r="P668" s="591"/>
      <c r="Q668" s="731" t="s">
        <v>2481</v>
      </c>
      <c r="R668" s="731" t="s">
        <v>2453</v>
      </c>
      <c r="S668" s="731" t="s">
        <v>2471</v>
      </c>
      <c r="T668" s="731" t="s">
        <v>90</v>
      </c>
      <c r="U668" s="732">
        <v>9996514836.4200001</v>
      </c>
      <c r="V668" s="732">
        <v>9996514836.4200001</v>
      </c>
      <c r="W668" s="731"/>
      <c r="X668" s="731"/>
      <c r="Y668" s="731"/>
      <c r="Z668" s="731" t="s">
        <v>55</v>
      </c>
      <c r="AA668" s="731"/>
      <c r="AB668" s="731"/>
      <c r="AC668" s="731"/>
      <c r="AD668" s="731"/>
      <c r="AE668" s="731"/>
      <c r="AF668" s="732">
        <v>9996514836.4200001</v>
      </c>
      <c r="AG668" s="733">
        <v>9878738392.7200012</v>
      </c>
      <c r="AH668" s="289">
        <f t="shared" si="123"/>
        <v>0.98821824949722403</v>
      </c>
      <c r="AI668" s="731"/>
      <c r="AJ668" s="731"/>
      <c r="AK668" s="730"/>
      <c r="AL668" s="913"/>
      <c r="AM668" s="186"/>
    </row>
    <row r="669" spans="1:39" ht="101.25" x14ac:dyDescent="0.25">
      <c r="A669" s="158"/>
      <c r="B669" s="158"/>
      <c r="C669" s="158"/>
      <c r="D669" s="158"/>
      <c r="E669" s="158"/>
      <c r="F669" s="158"/>
      <c r="G669" s="910" t="s">
        <v>2482</v>
      </c>
      <c r="H669" s="910" t="s">
        <v>2450</v>
      </c>
      <c r="I669" s="910" t="s">
        <v>2483</v>
      </c>
      <c r="J669" s="915"/>
      <c r="K669" s="890"/>
      <c r="L669" s="915"/>
      <c r="M669" s="915"/>
      <c r="N669" s="915"/>
      <c r="O669" s="915"/>
      <c r="P669" s="598"/>
      <c r="Q669" s="731" t="s">
        <v>2484</v>
      </c>
      <c r="R669" s="731" t="s">
        <v>2453</v>
      </c>
      <c r="S669" s="731" t="s">
        <v>417</v>
      </c>
      <c r="T669" s="731" t="s">
        <v>2462</v>
      </c>
      <c r="U669" s="732">
        <v>1125000000</v>
      </c>
      <c r="V669" s="732">
        <v>1125000000</v>
      </c>
      <c r="W669" s="731"/>
      <c r="X669" s="731"/>
      <c r="Y669" s="731" t="s">
        <v>55</v>
      </c>
      <c r="Z669" s="731"/>
      <c r="AA669" s="731"/>
      <c r="AB669" s="731"/>
      <c r="AC669" s="731"/>
      <c r="AD669" s="731"/>
      <c r="AE669" s="731"/>
      <c r="AF669" s="732">
        <v>1125000000</v>
      </c>
      <c r="AG669" s="733">
        <v>1125000000</v>
      </c>
      <c r="AH669" s="289">
        <f t="shared" si="123"/>
        <v>1</v>
      </c>
      <c r="AI669" s="731" t="s">
        <v>2485</v>
      </c>
      <c r="AJ669" s="731" t="s">
        <v>2486</v>
      </c>
      <c r="AK669" s="730" t="s">
        <v>389</v>
      </c>
      <c r="AL669" s="913" t="s">
        <v>2487</v>
      </c>
      <c r="AM669" s="186"/>
    </row>
    <row r="670" spans="1:39" ht="90" x14ac:dyDescent="0.25">
      <c r="A670" s="158"/>
      <c r="B670" s="158"/>
      <c r="C670" s="158"/>
      <c r="D670" s="158"/>
      <c r="E670" s="158"/>
      <c r="F670" s="158"/>
      <c r="G670" s="916" t="s">
        <v>2488</v>
      </c>
      <c r="H670" s="917" t="s">
        <v>2489</v>
      </c>
      <c r="I670" s="917" t="s">
        <v>2490</v>
      </c>
      <c r="J670" s="915"/>
      <c r="K670" s="890"/>
      <c r="L670" s="914"/>
      <c r="M670" s="914"/>
      <c r="N670" s="576">
        <v>350</v>
      </c>
      <c r="O670" s="576">
        <v>0</v>
      </c>
      <c r="P670" s="119">
        <f t="shared" ref="P670" si="124">+O670/N670</f>
        <v>0</v>
      </c>
      <c r="Q670" s="917" t="s">
        <v>2491</v>
      </c>
      <c r="R670" s="917" t="s">
        <v>2492</v>
      </c>
      <c r="S670" s="918">
        <v>41821</v>
      </c>
      <c r="T670" s="918">
        <v>42186</v>
      </c>
      <c r="U670" s="919">
        <v>314999255</v>
      </c>
      <c r="V670" s="919">
        <v>314999255</v>
      </c>
      <c r="W670" s="917"/>
      <c r="X670" s="917"/>
      <c r="Y670" s="917"/>
      <c r="Z670" s="917" t="s">
        <v>55</v>
      </c>
      <c r="AA670" s="917"/>
      <c r="AB670" s="917"/>
      <c r="AC670" s="917"/>
      <c r="AD670" s="917"/>
      <c r="AE670" s="917"/>
      <c r="AF670" s="920">
        <f>+V670</f>
        <v>314999255</v>
      </c>
      <c r="AG670" s="579">
        <v>0</v>
      </c>
      <c r="AH670" s="119">
        <f>+AG670/AF670</f>
        <v>0</v>
      </c>
      <c r="AI670" s="576"/>
      <c r="AJ670" s="576" t="s">
        <v>589</v>
      </c>
      <c r="AK670" s="576"/>
      <c r="AL670" s="576" t="s">
        <v>427</v>
      </c>
      <c r="AM670" s="186"/>
    </row>
    <row r="671" spans="1:39" ht="101.25" x14ac:dyDescent="0.25">
      <c r="A671" s="158"/>
      <c r="B671" s="158"/>
      <c r="C671" s="158"/>
      <c r="D671" s="158"/>
      <c r="E671" s="158"/>
      <c r="F671" s="158"/>
      <c r="G671" s="910" t="s">
        <v>2493</v>
      </c>
      <c r="H671" s="910" t="s">
        <v>2450</v>
      </c>
      <c r="I671" s="910" t="s">
        <v>2494</v>
      </c>
      <c r="J671" s="173" t="s">
        <v>2495</v>
      </c>
      <c r="K671" s="890">
        <f>+(0.2627*100)/6</f>
        <v>4.378333333333333</v>
      </c>
      <c r="L671" s="157" t="s">
        <v>2496</v>
      </c>
      <c r="M671" s="911"/>
      <c r="N671" s="912">
        <v>4</v>
      </c>
      <c r="O671" s="912">
        <v>0</v>
      </c>
      <c r="P671" s="55">
        <f>+O671/N671</f>
        <v>0</v>
      </c>
      <c r="Q671" s="731" t="s">
        <v>2497</v>
      </c>
      <c r="R671" s="731" t="s">
        <v>2498</v>
      </c>
      <c r="S671" s="731" t="s">
        <v>90</v>
      </c>
      <c r="T671" s="731" t="s">
        <v>366</v>
      </c>
      <c r="U671" s="732">
        <v>1000000000</v>
      </c>
      <c r="V671" s="732">
        <v>1000000000</v>
      </c>
      <c r="W671" s="731"/>
      <c r="X671" s="731"/>
      <c r="Y671" s="731"/>
      <c r="Z671" s="731" t="s">
        <v>55</v>
      </c>
      <c r="AA671" s="731"/>
      <c r="AB671" s="731"/>
      <c r="AC671" s="731"/>
      <c r="AD671" s="731"/>
      <c r="AE671" s="731"/>
      <c r="AF671" s="732">
        <v>1000000000</v>
      </c>
      <c r="AG671" s="733">
        <v>952379999.22000003</v>
      </c>
      <c r="AH671" s="289">
        <f t="shared" si="123"/>
        <v>0.95237999922000005</v>
      </c>
      <c r="AI671" s="731"/>
      <c r="AJ671" s="731" t="s">
        <v>2499</v>
      </c>
      <c r="AK671" s="730"/>
      <c r="AL671" s="913"/>
      <c r="AM671" s="186">
        <v>4</v>
      </c>
    </row>
    <row r="672" spans="1:39" ht="101.25" x14ac:dyDescent="0.25">
      <c r="A672" s="158"/>
      <c r="B672" s="158"/>
      <c r="C672" s="158"/>
      <c r="D672" s="158"/>
      <c r="E672" s="158"/>
      <c r="F672" s="158"/>
      <c r="G672" s="910" t="s">
        <v>2500</v>
      </c>
      <c r="H672" s="910" t="s">
        <v>2450</v>
      </c>
      <c r="I672" s="910" t="s">
        <v>2494</v>
      </c>
      <c r="J672" s="173"/>
      <c r="K672" s="890"/>
      <c r="L672" s="157"/>
      <c r="M672" s="915"/>
      <c r="N672" s="915"/>
      <c r="O672" s="915"/>
      <c r="P672" s="598"/>
      <c r="Q672" s="731" t="s">
        <v>2501</v>
      </c>
      <c r="R672" s="731" t="s">
        <v>2502</v>
      </c>
      <c r="S672" s="731" t="s">
        <v>90</v>
      </c>
      <c r="T672" s="731" t="s">
        <v>90</v>
      </c>
      <c r="U672" s="732">
        <v>123000000</v>
      </c>
      <c r="V672" s="732">
        <v>123000000</v>
      </c>
      <c r="W672" s="731"/>
      <c r="X672" s="731"/>
      <c r="Y672" s="731"/>
      <c r="Z672" s="731" t="s">
        <v>55</v>
      </c>
      <c r="AA672" s="731"/>
      <c r="AB672" s="731"/>
      <c r="AC672" s="731"/>
      <c r="AD672" s="731"/>
      <c r="AE672" s="731"/>
      <c r="AF672" s="732">
        <v>123000000</v>
      </c>
      <c r="AG672" s="733">
        <v>0</v>
      </c>
      <c r="AH672" s="289">
        <f t="shared" si="123"/>
        <v>0</v>
      </c>
      <c r="AI672" s="731"/>
      <c r="AJ672" s="731" t="s">
        <v>2503</v>
      </c>
      <c r="AK672" s="730"/>
      <c r="AL672" s="913"/>
      <c r="AM672" s="186"/>
    </row>
    <row r="673" spans="1:39" ht="33.75" x14ac:dyDescent="0.25">
      <c r="A673" s="158"/>
      <c r="B673" s="158"/>
      <c r="C673" s="158"/>
      <c r="D673" s="158"/>
      <c r="E673" s="158"/>
      <c r="F673" s="170"/>
      <c r="G673" s="170"/>
      <c r="H673" s="170"/>
      <c r="I673" s="170"/>
      <c r="J673" s="173" t="s">
        <v>2504</v>
      </c>
      <c r="K673" s="921">
        <f>+(0.004*100)/6</f>
        <v>6.6666666666666666E-2</v>
      </c>
      <c r="L673" s="157" t="s">
        <v>2505</v>
      </c>
      <c r="M673" s="157"/>
      <c r="N673" s="157"/>
      <c r="O673" s="157"/>
      <c r="P673" s="126"/>
      <c r="Q673" s="157"/>
      <c r="R673" s="157"/>
      <c r="S673" s="157"/>
      <c r="T673" s="157"/>
      <c r="U673" s="157"/>
      <c r="V673" s="157"/>
      <c r="W673" s="157"/>
      <c r="X673" s="157"/>
      <c r="Y673" s="157"/>
      <c r="Z673" s="157"/>
      <c r="AA673" s="157"/>
      <c r="AB673" s="157"/>
      <c r="AC673" s="157"/>
      <c r="AD673" s="157"/>
      <c r="AE673" s="157"/>
      <c r="AF673" s="157"/>
      <c r="AG673" s="157"/>
      <c r="AH673" s="126"/>
      <c r="AI673" s="157"/>
      <c r="AJ673" s="157"/>
      <c r="AK673" s="157" t="s">
        <v>389</v>
      </c>
      <c r="AL673" s="192" t="s">
        <v>390</v>
      </c>
      <c r="AM673" s="186">
        <v>0</v>
      </c>
    </row>
    <row r="674" spans="1:39" ht="33.75" x14ac:dyDescent="0.25">
      <c r="A674" s="158"/>
      <c r="B674" s="158"/>
      <c r="C674" s="158"/>
      <c r="D674" s="158"/>
      <c r="E674" s="158"/>
      <c r="F674" s="110" t="s">
        <v>158</v>
      </c>
      <c r="G674" s="110"/>
      <c r="H674" s="110"/>
      <c r="I674" s="110"/>
      <c r="J674" s="143"/>
      <c r="K674" s="922">
        <f>SUM(K632:K673)</f>
        <v>100.01333333333334</v>
      </c>
      <c r="L674" s="126"/>
      <c r="M674" s="126"/>
      <c r="N674" s="126"/>
      <c r="O674" s="126"/>
      <c r="P674" s="126"/>
      <c r="Q674" s="126"/>
      <c r="R674" s="126"/>
      <c r="S674" s="126"/>
      <c r="T674" s="126"/>
      <c r="U674" s="126"/>
      <c r="V674" s="126"/>
      <c r="W674" s="126"/>
      <c r="X674" s="126"/>
      <c r="Y674" s="126"/>
      <c r="Z674" s="126"/>
      <c r="AA674" s="126"/>
      <c r="AB674" s="126"/>
      <c r="AC674" s="126"/>
      <c r="AD674" s="126"/>
      <c r="AE674" s="126"/>
      <c r="AF674" s="126"/>
      <c r="AG674" s="126"/>
      <c r="AH674" s="126"/>
      <c r="AI674" s="126"/>
      <c r="AJ674" s="126"/>
      <c r="AK674" s="126"/>
      <c r="AL674" s="204"/>
      <c r="AM674" s="507"/>
    </row>
    <row r="675" spans="1:39" ht="45" x14ac:dyDescent="0.25">
      <c r="A675" s="158"/>
      <c r="B675" s="158"/>
      <c r="C675" s="158"/>
      <c r="D675" s="158"/>
      <c r="E675" s="158"/>
      <c r="F675" s="157" t="s">
        <v>2506</v>
      </c>
      <c r="G675" s="158"/>
      <c r="H675" s="158"/>
      <c r="I675" s="158"/>
      <c r="J675" s="173" t="s">
        <v>2507</v>
      </c>
      <c r="K675" s="890">
        <f>+(1.06*100)/3</f>
        <v>35.333333333333336</v>
      </c>
      <c r="L675" s="157" t="s">
        <v>2508</v>
      </c>
      <c r="M675" s="157"/>
      <c r="N675" s="157"/>
      <c r="O675" s="157"/>
      <c r="P675" s="126"/>
      <c r="Q675" s="157"/>
      <c r="R675" s="157"/>
      <c r="S675" s="157"/>
      <c r="T675" s="157"/>
      <c r="U675" s="157"/>
      <c r="V675" s="157"/>
      <c r="W675" s="157"/>
      <c r="X675" s="157"/>
      <c r="Y675" s="157"/>
      <c r="Z675" s="157"/>
      <c r="AA675" s="157"/>
      <c r="AB675" s="157"/>
      <c r="AC675" s="157"/>
      <c r="AD675" s="157"/>
      <c r="AE675" s="157"/>
      <c r="AF675" s="157"/>
      <c r="AG675" s="157"/>
      <c r="AH675" s="126"/>
      <c r="AI675" s="157"/>
      <c r="AJ675" s="157"/>
      <c r="AK675" s="157" t="s">
        <v>2402</v>
      </c>
      <c r="AL675" s="192" t="s">
        <v>58</v>
      </c>
      <c r="AM675" s="923">
        <v>1450</v>
      </c>
    </row>
    <row r="676" spans="1:39" ht="45" x14ac:dyDescent="0.25">
      <c r="A676" s="158"/>
      <c r="B676" s="158"/>
      <c r="C676" s="158"/>
      <c r="D676" s="158"/>
      <c r="E676" s="158"/>
      <c r="F676" s="158"/>
      <c r="G676" s="158"/>
      <c r="H676" s="158"/>
      <c r="I676" s="158"/>
      <c r="J676" s="173" t="s">
        <v>2509</v>
      </c>
      <c r="K676" s="890">
        <f>+(0.06*100)/3</f>
        <v>2</v>
      </c>
      <c r="L676" s="157" t="s">
        <v>2510</v>
      </c>
      <c r="M676" s="157"/>
      <c r="N676" s="157"/>
      <c r="O676" s="157"/>
      <c r="P676" s="126"/>
      <c r="Q676" s="157"/>
      <c r="R676" s="157"/>
      <c r="S676" s="157"/>
      <c r="T676" s="157"/>
      <c r="U676" s="157"/>
      <c r="V676" s="157"/>
      <c r="W676" s="157"/>
      <c r="X676" s="157"/>
      <c r="Y676" s="157"/>
      <c r="Z676" s="157"/>
      <c r="AA676" s="157"/>
      <c r="AB676" s="157"/>
      <c r="AC676" s="157"/>
      <c r="AD676" s="157"/>
      <c r="AE676" s="157"/>
      <c r="AF676" s="157"/>
      <c r="AG676" s="157"/>
      <c r="AH676" s="126"/>
      <c r="AI676" s="157"/>
      <c r="AJ676" s="157"/>
      <c r="AK676" s="157" t="s">
        <v>2402</v>
      </c>
      <c r="AL676" s="192" t="s">
        <v>58</v>
      </c>
      <c r="AM676" s="923">
        <v>104</v>
      </c>
    </row>
    <row r="677" spans="1:39" ht="45" x14ac:dyDescent="0.25">
      <c r="A677" s="158"/>
      <c r="B677" s="158"/>
      <c r="C677" s="158"/>
      <c r="D677" s="158"/>
      <c r="E677" s="158"/>
      <c r="F677" s="158"/>
      <c r="G677" s="158"/>
      <c r="H677" s="158"/>
      <c r="I677" s="158"/>
      <c r="J677" s="173" t="s">
        <v>2511</v>
      </c>
      <c r="K677" s="890">
        <f>+(0.06*100)/3</f>
        <v>2</v>
      </c>
      <c r="L677" s="157" t="s">
        <v>2512</v>
      </c>
      <c r="M677" s="157"/>
      <c r="N677" s="157"/>
      <c r="O677" s="157"/>
      <c r="P677" s="126"/>
      <c r="Q677" s="157"/>
      <c r="R677" s="157"/>
      <c r="S677" s="157"/>
      <c r="T677" s="157"/>
      <c r="U677" s="157"/>
      <c r="V677" s="157"/>
      <c r="W677" s="157"/>
      <c r="X677" s="157"/>
      <c r="Y677" s="157"/>
      <c r="Z677" s="157"/>
      <c r="AA677" s="157"/>
      <c r="AB677" s="157"/>
      <c r="AC677" s="157"/>
      <c r="AD677" s="157"/>
      <c r="AE677" s="157"/>
      <c r="AF677" s="157"/>
      <c r="AG677" s="157"/>
      <c r="AH677" s="126"/>
      <c r="AI677" s="157"/>
      <c r="AJ677" s="157"/>
      <c r="AK677" s="157" t="s">
        <v>2402</v>
      </c>
      <c r="AL677" s="192" t="s">
        <v>58</v>
      </c>
      <c r="AM677" s="923">
        <v>180</v>
      </c>
    </row>
    <row r="678" spans="1:39" ht="45" x14ac:dyDescent="0.25">
      <c r="A678" s="158"/>
      <c r="B678" s="158"/>
      <c r="C678" s="158"/>
      <c r="D678" s="158"/>
      <c r="E678" s="158"/>
      <c r="F678" s="158"/>
      <c r="G678" s="158"/>
      <c r="H678" s="158"/>
      <c r="I678" s="158"/>
      <c r="J678" s="173" t="s">
        <v>2513</v>
      </c>
      <c r="K678" s="890">
        <f>+(0.02*100)/3</f>
        <v>0.66666666666666663</v>
      </c>
      <c r="L678" s="157" t="s">
        <v>2514</v>
      </c>
      <c r="M678" s="157"/>
      <c r="N678" s="157"/>
      <c r="O678" s="157"/>
      <c r="P678" s="126"/>
      <c r="Q678" s="157"/>
      <c r="R678" s="157"/>
      <c r="S678" s="157"/>
      <c r="T678" s="157"/>
      <c r="U678" s="157"/>
      <c r="V678" s="157"/>
      <c r="W678" s="157"/>
      <c r="X678" s="157"/>
      <c r="Y678" s="157"/>
      <c r="Z678" s="157"/>
      <c r="AA678" s="157"/>
      <c r="AB678" s="157"/>
      <c r="AC678" s="157"/>
      <c r="AD678" s="157"/>
      <c r="AE678" s="157"/>
      <c r="AF678" s="157"/>
      <c r="AG678" s="157"/>
      <c r="AH678" s="126"/>
      <c r="AI678" s="157"/>
      <c r="AJ678" s="157"/>
      <c r="AK678" s="157" t="s">
        <v>2402</v>
      </c>
      <c r="AL678" s="192" t="s">
        <v>58</v>
      </c>
      <c r="AM678" s="923">
        <v>0</v>
      </c>
    </row>
    <row r="679" spans="1:39" ht="45" x14ac:dyDescent="0.25">
      <c r="A679" s="158"/>
      <c r="B679" s="158"/>
      <c r="C679" s="158"/>
      <c r="D679" s="158"/>
      <c r="E679" s="158"/>
      <c r="F679" s="158"/>
      <c r="G679" s="158"/>
      <c r="H679" s="158"/>
      <c r="I679" s="158"/>
      <c r="J679" s="173" t="s">
        <v>2515</v>
      </c>
      <c r="K679" s="890">
        <f>+(0.05*100)/3</f>
        <v>1.6666666666666667</v>
      </c>
      <c r="L679" s="157" t="s">
        <v>2516</v>
      </c>
      <c r="M679" s="157"/>
      <c r="N679" s="157"/>
      <c r="O679" s="157"/>
      <c r="P679" s="126"/>
      <c r="Q679" s="157"/>
      <c r="R679" s="157"/>
      <c r="S679" s="157"/>
      <c r="T679" s="157"/>
      <c r="U679" s="157"/>
      <c r="V679" s="157"/>
      <c r="W679" s="157"/>
      <c r="X679" s="157"/>
      <c r="Y679" s="157"/>
      <c r="Z679" s="157"/>
      <c r="AA679" s="157"/>
      <c r="AB679" s="157"/>
      <c r="AC679" s="157"/>
      <c r="AD679" s="157"/>
      <c r="AE679" s="157"/>
      <c r="AF679" s="157"/>
      <c r="AG679" s="157"/>
      <c r="AH679" s="126"/>
      <c r="AI679" s="157"/>
      <c r="AJ679" s="157"/>
      <c r="AK679" s="157" t="s">
        <v>2402</v>
      </c>
      <c r="AL679" s="192" t="s">
        <v>58</v>
      </c>
      <c r="AM679" s="923">
        <v>0</v>
      </c>
    </row>
    <row r="680" spans="1:39" ht="90" x14ac:dyDescent="0.25">
      <c r="A680" s="158"/>
      <c r="B680" s="158"/>
      <c r="C680" s="158"/>
      <c r="D680" s="158"/>
      <c r="E680" s="158"/>
      <c r="F680" s="158"/>
      <c r="G680" s="895" t="s">
        <v>2517</v>
      </c>
      <c r="H680" s="895" t="s">
        <v>2518</v>
      </c>
      <c r="I680" s="895" t="s">
        <v>2519</v>
      </c>
      <c r="J680" s="173" t="s">
        <v>2520</v>
      </c>
      <c r="K680" s="890">
        <f>+(0.3*100)/3</f>
        <v>10</v>
      </c>
      <c r="L680" s="157" t="s">
        <v>2521</v>
      </c>
      <c r="M680" s="924"/>
      <c r="N680" s="925">
        <v>4</v>
      </c>
      <c r="O680" s="925">
        <v>1</v>
      </c>
      <c r="P680" s="49">
        <f>+O680/N680</f>
        <v>0.25</v>
      </c>
      <c r="Q680" s="90" t="s">
        <v>2522</v>
      </c>
      <c r="R680" s="90" t="s">
        <v>2523</v>
      </c>
      <c r="S680" s="90" t="s">
        <v>90</v>
      </c>
      <c r="T680" s="90" t="s">
        <v>90</v>
      </c>
      <c r="U680" s="107">
        <v>405000000</v>
      </c>
      <c r="V680" s="107">
        <v>405000000</v>
      </c>
      <c r="W680" s="924"/>
      <c r="X680" s="924"/>
      <c r="Y680" s="924"/>
      <c r="Z680" s="90" t="s">
        <v>55</v>
      </c>
      <c r="AA680" s="90"/>
      <c r="AB680" s="90"/>
      <c r="AC680" s="90" t="s">
        <v>55</v>
      </c>
      <c r="AD680" s="924"/>
      <c r="AE680" s="924"/>
      <c r="AF680" s="107">
        <v>405000000</v>
      </c>
      <c r="AG680" s="926">
        <v>33000000</v>
      </c>
      <c r="AH680" s="927">
        <f t="shared" ref="AH680" si="125">+AG680/AF680</f>
        <v>8.1481481481481488E-2</v>
      </c>
      <c r="AI680" s="895" t="s">
        <v>2524</v>
      </c>
      <c r="AJ680" s="895" t="s">
        <v>2525</v>
      </c>
      <c r="AK680" s="928"/>
      <c r="AL680" s="192" t="s">
        <v>58</v>
      </c>
      <c r="AM680" s="923">
        <v>2</v>
      </c>
    </row>
    <row r="681" spans="1:39" ht="45" x14ac:dyDescent="0.25">
      <c r="A681" s="158"/>
      <c r="B681" s="158"/>
      <c r="C681" s="158"/>
      <c r="D681" s="158"/>
      <c r="E681" s="158"/>
      <c r="F681" s="158"/>
      <c r="G681" s="158"/>
      <c r="H681" s="158"/>
      <c r="I681" s="158"/>
      <c r="J681" s="173" t="s">
        <v>2526</v>
      </c>
      <c r="K681" s="890">
        <f>+(0.25*100)/3</f>
        <v>8.3333333333333339</v>
      </c>
      <c r="L681" s="157" t="s">
        <v>2527</v>
      </c>
      <c r="M681" s="157"/>
      <c r="N681" s="157"/>
      <c r="O681" s="157"/>
      <c r="P681" s="126"/>
      <c r="Q681" s="157"/>
      <c r="R681" s="157"/>
      <c r="S681" s="157"/>
      <c r="T681" s="157"/>
      <c r="U681" s="157"/>
      <c r="V681" s="157"/>
      <c r="W681" s="157"/>
      <c r="X681" s="157"/>
      <c r="Y681" s="157"/>
      <c r="Z681" s="157"/>
      <c r="AA681" s="157"/>
      <c r="AB681" s="157"/>
      <c r="AC681" s="157"/>
      <c r="AD681" s="157"/>
      <c r="AE681" s="157"/>
      <c r="AF681" s="157"/>
      <c r="AG681" s="157"/>
      <c r="AH681" s="126"/>
      <c r="AI681" s="157"/>
      <c r="AJ681" s="157"/>
      <c r="AK681" s="157" t="s">
        <v>2402</v>
      </c>
      <c r="AL681" s="192" t="s">
        <v>58</v>
      </c>
      <c r="AM681" s="923">
        <v>500</v>
      </c>
    </row>
    <row r="682" spans="1:39" ht="146.25" x14ac:dyDescent="0.25">
      <c r="A682" s="158"/>
      <c r="B682" s="158"/>
      <c r="C682" s="158"/>
      <c r="D682" s="158"/>
      <c r="E682" s="158"/>
      <c r="F682" s="158"/>
      <c r="G682" s="929" t="s">
        <v>2528</v>
      </c>
      <c r="H682" s="604" t="s">
        <v>2529</v>
      </c>
      <c r="I682" s="604" t="s">
        <v>2530</v>
      </c>
      <c r="J682" s="930" t="s">
        <v>2531</v>
      </c>
      <c r="K682" s="890"/>
      <c r="L682" s="157"/>
      <c r="M682" s="157"/>
      <c r="N682" s="576">
        <v>3361</v>
      </c>
      <c r="O682" s="576">
        <v>0</v>
      </c>
      <c r="P682" s="119">
        <f>+O682/N682</f>
        <v>0</v>
      </c>
      <c r="Q682" s="917" t="s">
        <v>2532</v>
      </c>
      <c r="R682" s="917" t="s">
        <v>2533</v>
      </c>
      <c r="S682" s="918">
        <v>41821</v>
      </c>
      <c r="T682" s="918">
        <v>42186</v>
      </c>
      <c r="U682" s="931">
        <v>999995533</v>
      </c>
      <c r="V682" s="931">
        <v>999995533</v>
      </c>
      <c r="W682" s="604"/>
      <c r="X682" s="604"/>
      <c r="Y682" s="604"/>
      <c r="Z682" s="604" t="s">
        <v>55</v>
      </c>
      <c r="AA682" s="604"/>
      <c r="AB682" s="604"/>
      <c r="AC682" s="604"/>
      <c r="AD682" s="604"/>
      <c r="AE682" s="604"/>
      <c r="AF682" s="632">
        <f>+V682</f>
        <v>999995533</v>
      </c>
      <c r="AG682" s="632">
        <v>0</v>
      </c>
      <c r="AH682" s="26">
        <f>+AG682/AF682</f>
        <v>0</v>
      </c>
      <c r="AI682" s="604" t="s">
        <v>131</v>
      </c>
      <c r="AJ682" s="604" t="s">
        <v>2534</v>
      </c>
      <c r="AK682" s="604"/>
      <c r="AL682" s="604" t="s">
        <v>2535</v>
      </c>
      <c r="AM682" s="923"/>
    </row>
    <row r="683" spans="1:39" ht="135" x14ac:dyDescent="0.25">
      <c r="A683" s="158"/>
      <c r="B683" s="158"/>
      <c r="C683" s="158"/>
      <c r="D683" s="158"/>
      <c r="E683" s="158"/>
      <c r="F683" s="158"/>
      <c r="G683" s="87" t="s">
        <v>2536</v>
      </c>
      <c r="H683" s="87" t="s">
        <v>2537</v>
      </c>
      <c r="I683" s="87" t="s">
        <v>2538</v>
      </c>
      <c r="J683" s="173" t="s">
        <v>2531</v>
      </c>
      <c r="K683" s="890">
        <f>+(0.39*100)/3</f>
        <v>13</v>
      </c>
      <c r="L683" s="157" t="s">
        <v>2539</v>
      </c>
      <c r="M683" s="87"/>
      <c r="N683" s="89">
        <v>3750</v>
      </c>
      <c r="O683" s="89">
        <f>30+3448+60+30</f>
        <v>3568</v>
      </c>
      <c r="P683" s="932">
        <f>+O683/N683</f>
        <v>0.95146666666666668</v>
      </c>
      <c r="Q683" s="107" t="s">
        <v>2540</v>
      </c>
      <c r="R683" s="107" t="s">
        <v>88</v>
      </c>
      <c r="S683" s="107" t="s">
        <v>732</v>
      </c>
      <c r="T683" s="107" t="s">
        <v>90</v>
      </c>
      <c r="U683" s="51">
        <v>100000000</v>
      </c>
      <c r="V683" s="51">
        <v>100000000</v>
      </c>
      <c r="W683" s="51"/>
      <c r="X683" s="51"/>
      <c r="Y683" s="51"/>
      <c r="Z683" s="51" t="s">
        <v>55</v>
      </c>
      <c r="AA683" s="51"/>
      <c r="AB683" s="51"/>
      <c r="AC683" s="51"/>
      <c r="AD683" s="51"/>
      <c r="AE683" s="51"/>
      <c r="AF683" s="51">
        <v>100000000</v>
      </c>
      <c r="AG683" s="51">
        <v>95996960</v>
      </c>
      <c r="AH683" s="69">
        <f t="shared" ref="AH683:AH689" si="126">+AG683/AF683</f>
        <v>0.95996959999999998</v>
      </c>
      <c r="AI683" s="51" t="s">
        <v>2398</v>
      </c>
      <c r="AJ683" s="51"/>
      <c r="AK683" s="51"/>
      <c r="AL683" s="192" t="s">
        <v>58</v>
      </c>
      <c r="AM683" s="923">
        <v>3361</v>
      </c>
    </row>
    <row r="684" spans="1:39" ht="67.5" x14ac:dyDescent="0.25">
      <c r="A684" s="158"/>
      <c r="B684" s="158"/>
      <c r="C684" s="158"/>
      <c r="D684" s="158"/>
      <c r="E684" s="158"/>
      <c r="F684" s="158"/>
      <c r="G684" s="95"/>
      <c r="H684" s="95"/>
      <c r="I684" s="95"/>
      <c r="J684" s="173"/>
      <c r="K684" s="890"/>
      <c r="L684" s="157"/>
      <c r="M684" s="95"/>
      <c r="N684" s="95"/>
      <c r="O684" s="95"/>
      <c r="P684" s="97"/>
      <c r="Q684" s="107" t="s">
        <v>2541</v>
      </c>
      <c r="R684" s="107" t="s">
        <v>2542</v>
      </c>
      <c r="S684" s="107" t="s">
        <v>732</v>
      </c>
      <c r="T684" s="107" t="s">
        <v>90</v>
      </c>
      <c r="U684" s="58"/>
      <c r="V684" s="58"/>
      <c r="W684" s="58"/>
      <c r="X684" s="58"/>
      <c r="Y684" s="58"/>
      <c r="Z684" s="58"/>
      <c r="AA684" s="58"/>
      <c r="AB684" s="58"/>
      <c r="AC684" s="58"/>
      <c r="AD684" s="58"/>
      <c r="AE684" s="58"/>
      <c r="AF684" s="58"/>
      <c r="AG684" s="58"/>
      <c r="AH684" s="933"/>
      <c r="AI684" s="58"/>
      <c r="AJ684" s="58"/>
      <c r="AK684" s="58"/>
      <c r="AL684" s="192"/>
      <c r="AM684" s="923"/>
    </row>
    <row r="685" spans="1:39" ht="67.5" x14ac:dyDescent="0.25">
      <c r="A685" s="158"/>
      <c r="B685" s="158"/>
      <c r="C685" s="158"/>
      <c r="D685" s="158"/>
      <c r="E685" s="158"/>
      <c r="F685" s="158"/>
      <c r="G685" s="101"/>
      <c r="H685" s="101"/>
      <c r="I685" s="101"/>
      <c r="J685" s="173"/>
      <c r="K685" s="890"/>
      <c r="L685" s="157"/>
      <c r="M685" s="934"/>
      <c r="N685" s="934"/>
      <c r="O685" s="934"/>
      <c r="P685" s="906"/>
      <c r="Q685" s="107" t="s">
        <v>2543</v>
      </c>
      <c r="R685" s="107" t="s">
        <v>2544</v>
      </c>
      <c r="S685" s="107" t="s">
        <v>732</v>
      </c>
      <c r="T685" s="107" t="s">
        <v>90</v>
      </c>
      <c r="U685" s="64"/>
      <c r="V685" s="64"/>
      <c r="W685" s="64"/>
      <c r="X685" s="64"/>
      <c r="Y685" s="64"/>
      <c r="Z685" s="64"/>
      <c r="AA685" s="64"/>
      <c r="AB685" s="64"/>
      <c r="AC685" s="64"/>
      <c r="AD685" s="64"/>
      <c r="AE685" s="64"/>
      <c r="AF685" s="64"/>
      <c r="AG685" s="64"/>
      <c r="AH685" s="29"/>
      <c r="AI685" s="64"/>
      <c r="AJ685" s="64"/>
      <c r="AK685" s="64"/>
      <c r="AL685" s="192"/>
      <c r="AM685" s="923"/>
    </row>
    <row r="686" spans="1:39" ht="90" x14ac:dyDescent="0.25">
      <c r="A686" s="158"/>
      <c r="B686" s="158"/>
      <c r="C686" s="158"/>
      <c r="D686" s="158"/>
      <c r="E686" s="158"/>
      <c r="F686" s="158"/>
      <c r="G686" s="935" t="s">
        <v>2545</v>
      </c>
      <c r="H686" s="101" t="s">
        <v>2546</v>
      </c>
      <c r="I686" s="101" t="s">
        <v>2547</v>
      </c>
      <c r="J686" s="173"/>
      <c r="K686" s="890"/>
      <c r="L686" s="157"/>
      <c r="M686" s="934"/>
      <c r="N686" s="934"/>
      <c r="O686" s="934"/>
      <c r="P686" s="906"/>
      <c r="Q686" s="107" t="s">
        <v>2548</v>
      </c>
      <c r="R686" s="107" t="s">
        <v>137</v>
      </c>
      <c r="S686" s="107" t="s">
        <v>1905</v>
      </c>
      <c r="T686" s="107" t="s">
        <v>54</v>
      </c>
      <c r="U686" s="107">
        <v>2180880000</v>
      </c>
      <c r="V686" s="107">
        <v>2180880000</v>
      </c>
      <c r="W686" s="924"/>
      <c r="X686" s="924"/>
      <c r="Y686" s="924"/>
      <c r="Z686" s="90" t="s">
        <v>55</v>
      </c>
      <c r="AA686" s="924"/>
      <c r="AB686" s="924"/>
      <c r="AC686" s="924"/>
      <c r="AD686" s="924"/>
      <c r="AE686" s="924"/>
      <c r="AF686" s="107">
        <v>2180880000</v>
      </c>
      <c r="AG686" s="928"/>
      <c r="AH686" s="29">
        <f t="shared" si="126"/>
        <v>0</v>
      </c>
      <c r="AI686" s="895" t="s">
        <v>131</v>
      </c>
      <c r="AJ686" s="895" t="s">
        <v>2549</v>
      </c>
      <c r="AK686" s="895" t="s">
        <v>2402</v>
      </c>
      <c r="AL686" s="192"/>
      <c r="AM686" s="923"/>
    </row>
    <row r="687" spans="1:39" ht="78.75" x14ac:dyDescent="0.25">
      <c r="A687" s="158"/>
      <c r="B687" s="158"/>
      <c r="C687" s="158"/>
      <c r="D687" s="158"/>
      <c r="E687" s="158"/>
      <c r="F687" s="158"/>
      <c r="G687" s="87" t="s">
        <v>2550</v>
      </c>
      <c r="H687" s="87" t="s">
        <v>2551</v>
      </c>
      <c r="I687" s="87" t="s">
        <v>2552</v>
      </c>
      <c r="J687" s="173"/>
      <c r="K687" s="890"/>
      <c r="L687" s="157"/>
      <c r="M687" s="934"/>
      <c r="N687" s="934"/>
      <c r="O687" s="934"/>
      <c r="P687" s="906"/>
      <c r="Q687" s="90" t="s">
        <v>2553</v>
      </c>
      <c r="R687" s="90" t="s">
        <v>2373</v>
      </c>
      <c r="S687" s="90" t="s">
        <v>90</v>
      </c>
      <c r="T687" s="90" t="s">
        <v>484</v>
      </c>
      <c r="U687" s="51">
        <v>700000000</v>
      </c>
      <c r="V687" s="51">
        <v>700000000</v>
      </c>
      <c r="W687" s="51"/>
      <c r="X687" s="51"/>
      <c r="Y687" s="51"/>
      <c r="Z687" s="51" t="s">
        <v>55</v>
      </c>
      <c r="AA687" s="51"/>
      <c r="AB687" s="51"/>
      <c r="AC687" s="51"/>
      <c r="AD687" s="51"/>
      <c r="AE687" s="91"/>
      <c r="AF687" s="51">
        <v>700000000</v>
      </c>
      <c r="AG687" s="936">
        <v>699966787</v>
      </c>
      <c r="AH687" s="932">
        <f t="shared" si="126"/>
        <v>0.99995255285714291</v>
      </c>
      <c r="AI687" s="87" t="s">
        <v>2389</v>
      </c>
      <c r="AJ687" s="87"/>
      <c r="AK687" s="87"/>
      <c r="AL687" s="192"/>
      <c r="AM687" s="923"/>
    </row>
    <row r="688" spans="1:39" ht="45" x14ac:dyDescent="0.25">
      <c r="A688" s="158"/>
      <c r="B688" s="158"/>
      <c r="C688" s="158"/>
      <c r="D688" s="158"/>
      <c r="E688" s="158"/>
      <c r="F688" s="158"/>
      <c r="G688" s="101"/>
      <c r="H688" s="101"/>
      <c r="I688" s="101"/>
      <c r="J688" s="173"/>
      <c r="K688" s="890"/>
      <c r="L688" s="157"/>
      <c r="M688" s="934"/>
      <c r="N688" s="934"/>
      <c r="O688" s="934"/>
      <c r="P688" s="906"/>
      <c r="Q688" s="90" t="s">
        <v>2554</v>
      </c>
      <c r="R688" s="90" t="s">
        <v>2555</v>
      </c>
      <c r="S688" s="90" t="s">
        <v>90</v>
      </c>
      <c r="T688" s="90" t="s">
        <v>484</v>
      </c>
      <c r="U688" s="64"/>
      <c r="V688" s="64"/>
      <c r="W688" s="64"/>
      <c r="X688" s="64"/>
      <c r="Y688" s="64"/>
      <c r="Z688" s="64"/>
      <c r="AA688" s="64"/>
      <c r="AB688" s="64"/>
      <c r="AC688" s="64"/>
      <c r="AD688" s="64"/>
      <c r="AE688" s="103"/>
      <c r="AF688" s="104"/>
      <c r="AG688" s="101"/>
      <c r="AH688" s="29"/>
      <c r="AI688" s="101"/>
      <c r="AJ688" s="101"/>
      <c r="AK688" s="101"/>
      <c r="AL688" s="192"/>
      <c r="AM688" s="923"/>
    </row>
    <row r="689" spans="1:39" ht="180" x14ac:dyDescent="0.25">
      <c r="A689" s="158"/>
      <c r="B689" s="158"/>
      <c r="C689" s="158"/>
      <c r="D689" s="158"/>
      <c r="E689" s="158"/>
      <c r="F689" s="158"/>
      <c r="G689" s="101" t="s">
        <v>2556</v>
      </c>
      <c r="H689" s="101" t="s">
        <v>2546</v>
      </c>
      <c r="I689" s="895" t="s">
        <v>2557</v>
      </c>
      <c r="J689" s="173"/>
      <c r="K689" s="890"/>
      <c r="L689" s="157"/>
      <c r="M689" s="937"/>
      <c r="N689" s="937"/>
      <c r="O689" s="937"/>
      <c r="P689" s="908"/>
      <c r="Q689" s="107" t="s">
        <v>2558</v>
      </c>
      <c r="R689" s="107" t="s">
        <v>2559</v>
      </c>
      <c r="S689" s="107" t="s">
        <v>732</v>
      </c>
      <c r="T689" s="107" t="s">
        <v>90</v>
      </c>
      <c r="U689" s="107">
        <v>20000000</v>
      </c>
      <c r="V689" s="107">
        <v>20000000</v>
      </c>
      <c r="W689" s="924"/>
      <c r="X689" s="924"/>
      <c r="Y689" s="924"/>
      <c r="Z689" s="90" t="s">
        <v>55</v>
      </c>
      <c r="AA689" s="924"/>
      <c r="AB689" s="924"/>
      <c r="AC689" s="924"/>
      <c r="AD689" s="924"/>
      <c r="AE689" s="924"/>
      <c r="AF689" s="107">
        <v>20000000</v>
      </c>
      <c r="AG689" s="926">
        <v>0</v>
      </c>
      <c r="AH689" s="29">
        <f t="shared" si="126"/>
        <v>0</v>
      </c>
      <c r="AI689" s="895" t="s">
        <v>2389</v>
      </c>
      <c r="AJ689" s="928"/>
      <c r="AK689" s="928"/>
      <c r="AL689" s="192"/>
      <c r="AM689" s="923"/>
    </row>
    <row r="690" spans="1:39" ht="45" x14ac:dyDescent="0.25">
      <c r="A690" s="158"/>
      <c r="B690" s="158"/>
      <c r="C690" s="158"/>
      <c r="D690" s="158"/>
      <c r="E690" s="158"/>
      <c r="F690" s="158"/>
      <c r="G690" s="158"/>
      <c r="H690" s="158"/>
      <c r="I690" s="158"/>
      <c r="J690" s="173" t="s">
        <v>2560</v>
      </c>
      <c r="K690" s="890">
        <f>+(0.13*100)/3</f>
        <v>4.333333333333333</v>
      </c>
      <c r="L690" s="157" t="s">
        <v>2561</v>
      </c>
      <c r="M690" s="157"/>
      <c r="N690" s="157"/>
      <c r="O690" s="157"/>
      <c r="P690" s="126"/>
      <c r="Q690" s="157"/>
      <c r="R690" s="157"/>
      <c r="S690" s="157"/>
      <c r="T690" s="157"/>
      <c r="U690" s="157"/>
      <c r="V690" s="157"/>
      <c r="W690" s="157"/>
      <c r="X690" s="157"/>
      <c r="Y690" s="157"/>
      <c r="Z690" s="157"/>
      <c r="AA690" s="157"/>
      <c r="AB690" s="157"/>
      <c r="AC690" s="157"/>
      <c r="AD690" s="157"/>
      <c r="AE690" s="157"/>
      <c r="AF690" s="157"/>
      <c r="AG690" s="157"/>
      <c r="AH690" s="126"/>
      <c r="AI690" s="157"/>
      <c r="AJ690" s="157"/>
      <c r="AK690" s="157" t="s">
        <v>2402</v>
      </c>
      <c r="AL690" s="192" t="s">
        <v>58</v>
      </c>
      <c r="AM690" s="923">
        <v>0</v>
      </c>
    </row>
    <row r="691" spans="1:39" ht="45" x14ac:dyDescent="0.25">
      <c r="A691" s="158"/>
      <c r="B691" s="158"/>
      <c r="C691" s="158"/>
      <c r="D691" s="158"/>
      <c r="E691" s="158"/>
      <c r="F691" s="158"/>
      <c r="G691" s="158"/>
      <c r="H691" s="158"/>
      <c r="I691" s="158"/>
      <c r="J691" s="173" t="s">
        <v>2562</v>
      </c>
      <c r="K691" s="890">
        <f>+(0.34*100)/3</f>
        <v>11.333333333333334</v>
      </c>
      <c r="L691" s="157" t="s">
        <v>2563</v>
      </c>
      <c r="M691" s="157"/>
      <c r="N691" s="157"/>
      <c r="O691" s="157"/>
      <c r="P691" s="126"/>
      <c r="Q691" s="157"/>
      <c r="R691" s="157"/>
      <c r="S691" s="157"/>
      <c r="T691" s="157"/>
      <c r="U691" s="157"/>
      <c r="V691" s="157"/>
      <c r="W691" s="157"/>
      <c r="X691" s="157"/>
      <c r="Y691" s="157"/>
      <c r="Z691" s="157"/>
      <c r="AA691" s="157"/>
      <c r="AB691" s="157"/>
      <c r="AC691" s="157"/>
      <c r="AD691" s="157"/>
      <c r="AE691" s="157"/>
      <c r="AF691" s="157"/>
      <c r="AG691" s="157"/>
      <c r="AH691" s="126"/>
      <c r="AI691" s="157"/>
      <c r="AJ691" s="157"/>
      <c r="AK691" s="157" t="s">
        <v>2402</v>
      </c>
      <c r="AL691" s="192" t="s">
        <v>58</v>
      </c>
      <c r="AM691" s="923">
        <v>1</v>
      </c>
    </row>
    <row r="692" spans="1:39" ht="112.5" x14ac:dyDescent="0.25">
      <c r="A692" s="158"/>
      <c r="B692" s="158"/>
      <c r="C692" s="158"/>
      <c r="D692" s="158"/>
      <c r="E692" s="158"/>
      <c r="F692" s="158"/>
      <c r="G692" s="895" t="s">
        <v>2564</v>
      </c>
      <c r="H692" s="895" t="s">
        <v>2565</v>
      </c>
      <c r="I692" s="895" t="s">
        <v>2566</v>
      </c>
      <c r="J692" s="173" t="s">
        <v>2567</v>
      </c>
      <c r="K692" s="890">
        <f>+(0.2*100)/3</f>
        <v>6.666666666666667</v>
      </c>
      <c r="L692" s="157" t="s">
        <v>2568</v>
      </c>
      <c r="M692" s="924"/>
      <c r="N692" s="925">
        <v>1</v>
      </c>
      <c r="O692" s="925">
        <v>1</v>
      </c>
      <c r="P692" s="49">
        <f>+O692/N692</f>
        <v>1</v>
      </c>
      <c r="Q692" s="90" t="s">
        <v>2569</v>
      </c>
      <c r="R692" s="90" t="s">
        <v>2570</v>
      </c>
      <c r="S692" s="938" t="s">
        <v>331</v>
      </c>
      <c r="T692" s="90" t="s">
        <v>90</v>
      </c>
      <c r="U692" s="107">
        <v>400000000</v>
      </c>
      <c r="V692" s="107">
        <v>400000000</v>
      </c>
      <c r="W692" s="924"/>
      <c r="X692" s="924"/>
      <c r="Y692" s="924"/>
      <c r="Z692" s="90" t="s">
        <v>55</v>
      </c>
      <c r="AA692" s="924"/>
      <c r="AB692" s="924"/>
      <c r="AC692" s="924"/>
      <c r="AD692" s="924"/>
      <c r="AE692" s="924"/>
      <c r="AF692" s="107">
        <v>400000000</v>
      </c>
      <c r="AG692" s="107">
        <v>400000000</v>
      </c>
      <c r="AH692" s="29">
        <f t="shared" ref="AH692:AH693" si="127">+AG692/AF692</f>
        <v>1</v>
      </c>
      <c r="AI692" s="895" t="s">
        <v>2398</v>
      </c>
      <c r="AJ692" s="928"/>
      <c r="AK692" s="928"/>
      <c r="AL692" s="192" t="s">
        <v>58</v>
      </c>
      <c r="AM692" s="923">
        <v>1</v>
      </c>
    </row>
    <row r="693" spans="1:39" ht="112.5" x14ac:dyDescent="0.25">
      <c r="A693" s="158"/>
      <c r="B693" s="158"/>
      <c r="C693" s="158"/>
      <c r="D693" s="158"/>
      <c r="E693" s="158"/>
      <c r="F693" s="158"/>
      <c r="G693" s="87" t="s">
        <v>2571</v>
      </c>
      <c r="H693" s="87" t="s">
        <v>2572</v>
      </c>
      <c r="I693" s="87" t="s">
        <v>2573</v>
      </c>
      <c r="J693" s="173" t="s">
        <v>2574</v>
      </c>
      <c r="K693" s="890">
        <f>+(0.05*100)/3</f>
        <v>1.6666666666666667</v>
      </c>
      <c r="L693" s="157" t="s">
        <v>2575</v>
      </c>
      <c r="M693" s="92"/>
      <c r="N693" s="939">
        <v>1</v>
      </c>
      <c r="O693" s="939">
        <v>1</v>
      </c>
      <c r="P693" s="55">
        <f>+O693/N693</f>
        <v>1</v>
      </c>
      <c r="Q693" s="90" t="s">
        <v>2576</v>
      </c>
      <c r="R693" s="90" t="s">
        <v>2577</v>
      </c>
      <c r="S693" s="90" t="s">
        <v>2578</v>
      </c>
      <c r="T693" s="90" t="s">
        <v>2579</v>
      </c>
      <c r="U693" s="51">
        <v>339500000</v>
      </c>
      <c r="V693" s="51">
        <v>339500000</v>
      </c>
      <c r="W693" s="51" t="s">
        <v>55</v>
      </c>
      <c r="X693" s="51" t="s">
        <v>55</v>
      </c>
      <c r="Y693" s="51"/>
      <c r="Z693" s="51" t="s">
        <v>55</v>
      </c>
      <c r="AA693" s="51"/>
      <c r="AB693" s="51"/>
      <c r="AC693" s="51"/>
      <c r="AD693" s="51"/>
      <c r="AE693" s="51"/>
      <c r="AF693" s="51">
        <v>339500000</v>
      </c>
      <c r="AG693" s="51">
        <v>339500000</v>
      </c>
      <c r="AH693" s="69">
        <f t="shared" si="127"/>
        <v>1</v>
      </c>
      <c r="AI693" s="51" t="s">
        <v>2580</v>
      </c>
      <c r="AJ693" s="51"/>
      <c r="AK693" s="51" t="s">
        <v>2581</v>
      </c>
      <c r="AL693" s="192" t="s">
        <v>58</v>
      </c>
      <c r="AM693" s="923">
        <v>1</v>
      </c>
    </row>
    <row r="694" spans="1:39" ht="45" x14ac:dyDescent="0.25">
      <c r="A694" s="158"/>
      <c r="B694" s="158"/>
      <c r="C694" s="158"/>
      <c r="D694" s="158"/>
      <c r="E694" s="158"/>
      <c r="F694" s="158"/>
      <c r="G694" s="158"/>
      <c r="H694" s="158"/>
      <c r="I694" s="158"/>
      <c r="J694" s="173"/>
      <c r="K694" s="890"/>
      <c r="L694" s="157"/>
      <c r="M694" s="940"/>
      <c r="N694" s="940"/>
      <c r="O694" s="940"/>
      <c r="P694" s="941"/>
      <c r="Q694" s="90" t="s">
        <v>2582</v>
      </c>
      <c r="R694" s="90" t="s">
        <v>2583</v>
      </c>
      <c r="S694" s="90" t="s">
        <v>2578</v>
      </c>
      <c r="T694" s="90" t="s">
        <v>2579</v>
      </c>
      <c r="U694" s="58"/>
      <c r="V694" s="58"/>
      <c r="W694" s="58"/>
      <c r="X694" s="58"/>
      <c r="Y694" s="58"/>
      <c r="Z694" s="58"/>
      <c r="AA694" s="58"/>
      <c r="AB694" s="58"/>
      <c r="AC694" s="58"/>
      <c r="AD694" s="58"/>
      <c r="AE694" s="58"/>
      <c r="AF694" s="58"/>
      <c r="AG694" s="58"/>
      <c r="AH694" s="933"/>
      <c r="AI694" s="58"/>
      <c r="AJ694" s="58"/>
      <c r="AK694" s="58"/>
      <c r="AL694" s="192"/>
      <c r="AM694" s="923"/>
    </row>
    <row r="695" spans="1:39" ht="45" x14ac:dyDescent="0.25">
      <c r="A695" s="158"/>
      <c r="B695" s="158"/>
      <c r="C695" s="158"/>
      <c r="D695" s="158"/>
      <c r="E695" s="158"/>
      <c r="F695" s="158"/>
      <c r="G695" s="158"/>
      <c r="H695" s="158"/>
      <c r="I695" s="158"/>
      <c r="J695" s="173"/>
      <c r="K695" s="890"/>
      <c r="L695" s="157"/>
      <c r="M695" s="892"/>
      <c r="N695" s="892"/>
      <c r="O695" s="892"/>
      <c r="P695" s="942"/>
      <c r="Q695" s="90" t="s">
        <v>2582</v>
      </c>
      <c r="R695" s="90" t="s">
        <v>2583</v>
      </c>
      <c r="S695" s="90" t="s">
        <v>2578</v>
      </c>
      <c r="T695" s="90" t="s">
        <v>2579</v>
      </c>
      <c r="U695" s="64"/>
      <c r="V695" s="64"/>
      <c r="W695" s="64"/>
      <c r="X695" s="64"/>
      <c r="Y695" s="64"/>
      <c r="Z695" s="64"/>
      <c r="AA695" s="64"/>
      <c r="AB695" s="64"/>
      <c r="AC695" s="64"/>
      <c r="AD695" s="64"/>
      <c r="AE695" s="64"/>
      <c r="AF695" s="64"/>
      <c r="AG695" s="64"/>
      <c r="AH695" s="29"/>
      <c r="AI695" s="64"/>
      <c r="AJ695" s="64"/>
      <c r="AK695" s="64"/>
      <c r="AL695" s="192"/>
      <c r="AM695" s="923"/>
    </row>
    <row r="696" spans="1:39" ht="45" x14ac:dyDescent="0.25">
      <c r="A696" s="158"/>
      <c r="B696" s="158"/>
      <c r="C696" s="158"/>
      <c r="D696" s="158"/>
      <c r="E696" s="158"/>
      <c r="F696" s="158"/>
      <c r="G696" s="158"/>
      <c r="H696" s="158"/>
      <c r="I696" s="158"/>
      <c r="J696" s="173"/>
      <c r="K696" s="890"/>
      <c r="L696" s="157"/>
      <c r="M696" s="940"/>
      <c r="N696" s="940"/>
      <c r="O696" s="940"/>
      <c r="P696" s="941"/>
      <c r="Q696" s="90" t="s">
        <v>2584</v>
      </c>
      <c r="R696" s="90" t="s">
        <v>2585</v>
      </c>
      <c r="S696" s="90" t="s">
        <v>2578</v>
      </c>
      <c r="T696" s="90" t="s">
        <v>2579</v>
      </c>
      <c r="U696" s="58"/>
      <c r="V696" s="58"/>
      <c r="W696" s="58"/>
      <c r="X696" s="58"/>
      <c r="Y696" s="58"/>
      <c r="Z696" s="58"/>
      <c r="AA696" s="58"/>
      <c r="AB696" s="58"/>
      <c r="AC696" s="58"/>
      <c r="AD696" s="58"/>
      <c r="AE696" s="58"/>
      <c r="AF696" s="58"/>
      <c r="AG696" s="58"/>
      <c r="AH696" s="933"/>
      <c r="AI696" s="58"/>
      <c r="AJ696" s="58"/>
      <c r="AK696" s="58"/>
      <c r="AL696" s="192"/>
      <c r="AM696" s="923"/>
    </row>
    <row r="697" spans="1:39" ht="45" x14ac:dyDescent="0.25">
      <c r="A697" s="158"/>
      <c r="B697" s="158"/>
      <c r="C697" s="158"/>
      <c r="D697" s="158"/>
      <c r="E697" s="158"/>
      <c r="F697" s="158"/>
      <c r="G697" s="158"/>
      <c r="H697" s="158"/>
      <c r="I697" s="158"/>
      <c r="J697" s="173"/>
      <c r="K697" s="890"/>
      <c r="L697" s="157"/>
      <c r="M697" s="940"/>
      <c r="N697" s="940"/>
      <c r="O697" s="940"/>
      <c r="P697" s="941"/>
      <c r="Q697" s="90" t="s">
        <v>2582</v>
      </c>
      <c r="R697" s="90" t="s">
        <v>2583</v>
      </c>
      <c r="S697" s="90" t="s">
        <v>2578</v>
      </c>
      <c r="T697" s="90" t="s">
        <v>2579</v>
      </c>
      <c r="U697" s="58"/>
      <c r="V697" s="58"/>
      <c r="W697" s="58"/>
      <c r="X697" s="58"/>
      <c r="Y697" s="58"/>
      <c r="Z697" s="58"/>
      <c r="AA697" s="58"/>
      <c r="AB697" s="58"/>
      <c r="AC697" s="58"/>
      <c r="AD697" s="58"/>
      <c r="AE697" s="58"/>
      <c r="AF697" s="58"/>
      <c r="AG697" s="58"/>
      <c r="AH697" s="933"/>
      <c r="AI697" s="58"/>
      <c r="AJ697" s="58"/>
      <c r="AK697" s="58"/>
      <c r="AL697" s="192"/>
      <c r="AM697" s="923"/>
    </row>
    <row r="698" spans="1:39" ht="45" x14ac:dyDescent="0.25">
      <c r="A698" s="158"/>
      <c r="B698" s="158"/>
      <c r="C698" s="158"/>
      <c r="D698" s="158"/>
      <c r="E698" s="158"/>
      <c r="F698" s="158"/>
      <c r="G698" s="158"/>
      <c r="H698" s="158"/>
      <c r="I698" s="158"/>
      <c r="J698" s="173" t="s">
        <v>2586</v>
      </c>
      <c r="K698" s="890">
        <f>+(0.04*100)/3</f>
        <v>1.3333333333333333</v>
      </c>
      <c r="L698" s="157" t="s">
        <v>2587</v>
      </c>
      <c r="M698" s="157"/>
      <c r="N698" s="157"/>
      <c r="O698" s="157"/>
      <c r="P698" s="126"/>
      <c r="Q698" s="157"/>
      <c r="R698" s="157"/>
      <c r="S698" s="157"/>
      <c r="T698" s="157"/>
      <c r="U698" s="157"/>
      <c r="V698" s="157"/>
      <c r="W698" s="157"/>
      <c r="X698" s="157"/>
      <c r="Y698" s="157"/>
      <c r="Z698" s="157"/>
      <c r="AA698" s="157"/>
      <c r="AB698" s="157"/>
      <c r="AC698" s="157"/>
      <c r="AD698" s="157"/>
      <c r="AE698" s="157"/>
      <c r="AF698" s="157"/>
      <c r="AG698" s="157"/>
      <c r="AH698" s="126"/>
      <c r="AI698" s="157"/>
      <c r="AJ698" s="157"/>
      <c r="AK698" s="157" t="s">
        <v>2402</v>
      </c>
      <c r="AL698" s="192" t="s">
        <v>58</v>
      </c>
      <c r="AM698" s="923">
        <v>10</v>
      </c>
    </row>
    <row r="699" spans="1:39" ht="45" x14ac:dyDescent="0.25">
      <c r="A699" s="158"/>
      <c r="B699" s="158"/>
      <c r="C699" s="158"/>
      <c r="D699" s="158"/>
      <c r="E699" s="158"/>
      <c r="F699" s="158"/>
      <c r="G699" s="158"/>
      <c r="H699" s="158"/>
      <c r="I699" s="158"/>
      <c r="J699" s="157" t="s">
        <v>2588</v>
      </c>
      <c r="K699" s="890">
        <f>+(0*100)/3</f>
        <v>0</v>
      </c>
      <c r="L699" s="157" t="s">
        <v>2589</v>
      </c>
      <c r="M699" s="157"/>
      <c r="N699" s="157"/>
      <c r="O699" s="157"/>
      <c r="P699" s="126"/>
      <c r="Q699" s="157"/>
      <c r="R699" s="157"/>
      <c r="S699" s="157"/>
      <c r="T699" s="157"/>
      <c r="U699" s="157"/>
      <c r="V699" s="157"/>
      <c r="W699" s="157"/>
      <c r="X699" s="157"/>
      <c r="Y699" s="157"/>
      <c r="Z699" s="157"/>
      <c r="AA699" s="157"/>
      <c r="AB699" s="157"/>
      <c r="AC699" s="157"/>
      <c r="AD699" s="157"/>
      <c r="AE699" s="157"/>
      <c r="AF699" s="157"/>
      <c r="AG699" s="157"/>
      <c r="AH699" s="126"/>
      <c r="AI699" s="157"/>
      <c r="AJ699" s="173"/>
      <c r="AK699" s="157" t="s">
        <v>2402</v>
      </c>
      <c r="AL699" s="192" t="s">
        <v>58</v>
      </c>
      <c r="AM699" s="923">
        <v>7</v>
      </c>
    </row>
    <row r="700" spans="1:39" ht="135" x14ac:dyDescent="0.25">
      <c r="A700" s="158"/>
      <c r="B700" s="158"/>
      <c r="C700" s="158"/>
      <c r="D700" s="158"/>
      <c r="E700" s="158"/>
      <c r="F700" s="158"/>
      <c r="G700" s="895" t="s">
        <v>2590</v>
      </c>
      <c r="H700" s="895" t="s">
        <v>2591</v>
      </c>
      <c r="I700" s="943" t="s">
        <v>2592</v>
      </c>
      <c r="J700" s="157" t="s">
        <v>2593</v>
      </c>
      <c r="K700" s="944">
        <f>+(0.02*100)/3</f>
        <v>0.66666666666666663</v>
      </c>
      <c r="L700" s="157" t="s">
        <v>2594</v>
      </c>
      <c r="M700" s="945"/>
      <c r="N700" s="946">
        <v>1</v>
      </c>
      <c r="O700" s="946">
        <v>1</v>
      </c>
      <c r="P700" s="55">
        <f>+O700/N700</f>
        <v>1</v>
      </c>
      <c r="Q700" s="90" t="s">
        <v>2595</v>
      </c>
      <c r="R700" s="90" t="s">
        <v>1242</v>
      </c>
      <c r="S700" s="90" t="s">
        <v>1469</v>
      </c>
      <c r="T700" s="90" t="s">
        <v>317</v>
      </c>
      <c r="U700" s="107">
        <v>60000000</v>
      </c>
      <c r="V700" s="107">
        <v>60000000</v>
      </c>
      <c r="W700" s="924"/>
      <c r="X700" s="924"/>
      <c r="Y700" s="924"/>
      <c r="Z700" s="90" t="s">
        <v>55</v>
      </c>
      <c r="AA700" s="924"/>
      <c r="AB700" s="924"/>
      <c r="AC700" s="924"/>
      <c r="AD700" s="924"/>
      <c r="AE700" s="924"/>
      <c r="AF700" s="107">
        <v>60000000</v>
      </c>
      <c r="AG700" s="107">
        <v>59998274</v>
      </c>
      <c r="AH700" s="105">
        <f t="shared" ref="AH700:AH701" si="128">+AG700/AF700</f>
        <v>0.99997123333333338</v>
      </c>
      <c r="AI700" s="895" t="s">
        <v>2580</v>
      </c>
      <c r="AJ700" s="928"/>
      <c r="AK700" s="928"/>
      <c r="AL700" s="51" t="s">
        <v>133</v>
      </c>
      <c r="AM700" s="928"/>
    </row>
    <row r="701" spans="1:39" ht="270" x14ac:dyDescent="0.25">
      <c r="A701" s="158"/>
      <c r="B701" s="158"/>
      <c r="C701" s="158"/>
      <c r="D701" s="158"/>
      <c r="E701" s="158"/>
      <c r="F701" s="158"/>
      <c r="G701" s="95" t="s">
        <v>2596</v>
      </c>
      <c r="H701" s="95" t="s">
        <v>2597</v>
      </c>
      <c r="I701" s="95" t="s">
        <v>2598</v>
      </c>
      <c r="J701" s="170"/>
      <c r="K701" s="947"/>
      <c r="L701" s="158"/>
      <c r="M701" s="948"/>
      <c r="N701" s="948"/>
      <c r="O701" s="948"/>
      <c r="P701" s="949"/>
      <c r="Q701" s="90" t="s">
        <v>2599</v>
      </c>
      <c r="R701" s="90" t="s">
        <v>137</v>
      </c>
      <c r="S701" s="92" t="s">
        <v>2600</v>
      </c>
      <c r="T701" s="92" t="s">
        <v>966</v>
      </c>
      <c r="U701" s="92">
        <v>93874696.480000004</v>
      </c>
      <c r="V701" s="92">
        <v>93874696.480000004</v>
      </c>
      <c r="W701" s="92" t="s">
        <v>55</v>
      </c>
      <c r="X701" s="92" t="s">
        <v>55</v>
      </c>
      <c r="Y701" s="92"/>
      <c r="Z701" s="92"/>
      <c r="AA701" s="92"/>
      <c r="AB701" s="92"/>
      <c r="AC701" s="92"/>
      <c r="AD701" s="92"/>
      <c r="AE701" s="92"/>
      <c r="AF701" s="68">
        <v>93874696.480000004</v>
      </c>
      <c r="AG701" s="950">
        <v>93874696.480000004</v>
      </c>
      <c r="AH701" s="69">
        <f t="shared" si="128"/>
        <v>1</v>
      </c>
      <c r="AI701" s="891" t="s">
        <v>2580</v>
      </c>
      <c r="AJ701" s="92"/>
      <c r="AK701" s="95"/>
      <c r="AL701" s="92" t="s">
        <v>133</v>
      </c>
      <c r="AM701" s="95"/>
    </row>
    <row r="702" spans="1:39" ht="78.75" x14ac:dyDescent="0.25">
      <c r="A702" s="158"/>
      <c r="B702" s="158"/>
      <c r="C702" s="158"/>
      <c r="D702" s="158"/>
      <c r="E702" s="158"/>
      <c r="F702" s="158"/>
      <c r="G702" s="951"/>
      <c r="H702" s="95"/>
      <c r="I702" s="95"/>
      <c r="J702" s="173"/>
      <c r="K702" s="890"/>
      <c r="L702" s="157"/>
      <c r="M702" s="952"/>
      <c r="N702" s="952"/>
      <c r="O702" s="952"/>
      <c r="P702" s="953"/>
      <c r="Q702" s="90" t="s">
        <v>2601</v>
      </c>
      <c r="R702" s="90" t="s">
        <v>2602</v>
      </c>
      <c r="S702" s="892"/>
      <c r="T702" s="892"/>
      <c r="U702" s="58"/>
      <c r="V702" s="58"/>
      <c r="W702" s="940"/>
      <c r="X702" s="940"/>
      <c r="Y702" s="98"/>
      <c r="Z702" s="98"/>
      <c r="AA702" s="98"/>
      <c r="AB702" s="98"/>
      <c r="AC702" s="98"/>
      <c r="AD702" s="98"/>
      <c r="AE702" s="98"/>
      <c r="AF702" s="58"/>
      <c r="AG702" s="95"/>
      <c r="AH702" s="29"/>
      <c r="AI702" s="95"/>
      <c r="AJ702" s="95"/>
      <c r="AK702" s="95"/>
      <c r="AL702" s="892"/>
      <c r="AM702" s="95"/>
    </row>
    <row r="703" spans="1:39" ht="45" x14ac:dyDescent="0.25">
      <c r="A703" s="158"/>
      <c r="B703" s="158"/>
      <c r="C703" s="158"/>
      <c r="D703" s="158"/>
      <c r="E703" s="158"/>
      <c r="F703" s="170"/>
      <c r="G703" s="170"/>
      <c r="H703" s="170"/>
      <c r="I703" s="170"/>
      <c r="J703" s="173" t="s">
        <v>2603</v>
      </c>
      <c r="K703" s="890">
        <f>+(0.02*100)/3</f>
        <v>0.66666666666666663</v>
      </c>
      <c r="L703" s="157" t="s">
        <v>2604</v>
      </c>
      <c r="M703" s="157"/>
      <c r="N703" s="157"/>
      <c r="O703" s="157"/>
      <c r="P703" s="126"/>
      <c r="Q703" s="157"/>
      <c r="R703" s="157"/>
      <c r="S703" s="157"/>
      <c r="T703" s="157"/>
      <c r="U703" s="157"/>
      <c r="V703" s="157"/>
      <c r="W703" s="157"/>
      <c r="X703" s="157"/>
      <c r="Y703" s="157"/>
      <c r="Z703" s="157"/>
      <c r="AA703" s="157"/>
      <c r="AB703" s="157"/>
      <c r="AC703" s="157"/>
      <c r="AD703" s="157"/>
      <c r="AE703" s="157"/>
      <c r="AF703" s="157"/>
      <c r="AG703" s="157"/>
      <c r="AH703" s="126"/>
      <c r="AI703" s="157"/>
      <c r="AJ703" s="157"/>
      <c r="AK703" s="157" t="s">
        <v>2402</v>
      </c>
      <c r="AL703" s="192" t="s">
        <v>58</v>
      </c>
      <c r="AM703" s="923">
        <v>1</v>
      </c>
    </row>
    <row r="704" spans="1:39" ht="33.75" x14ac:dyDescent="0.25">
      <c r="A704" s="158"/>
      <c r="B704" s="158"/>
      <c r="C704" s="158"/>
      <c r="D704" s="158"/>
      <c r="E704" s="158"/>
      <c r="F704" s="110" t="s">
        <v>158</v>
      </c>
      <c r="G704" s="110"/>
      <c r="H704" s="110"/>
      <c r="I704" s="110"/>
      <c r="J704" s="143"/>
      <c r="K704" s="954">
        <f>SUM(K675:K703)</f>
        <v>99.666666666666671</v>
      </c>
      <c r="L704" s="126"/>
      <c r="M704" s="126"/>
      <c r="N704" s="126"/>
      <c r="O704" s="126"/>
      <c r="P704" s="126"/>
      <c r="Q704" s="126"/>
      <c r="R704" s="126"/>
      <c r="S704" s="126"/>
      <c r="T704" s="126"/>
      <c r="U704" s="126"/>
      <c r="V704" s="126"/>
      <c r="W704" s="126"/>
      <c r="X704" s="126"/>
      <c r="Y704" s="126"/>
      <c r="Z704" s="126"/>
      <c r="AA704" s="126"/>
      <c r="AB704" s="126"/>
      <c r="AC704" s="126"/>
      <c r="AD704" s="126"/>
      <c r="AE704" s="126"/>
      <c r="AF704" s="126"/>
      <c r="AG704" s="126"/>
      <c r="AH704" s="126"/>
      <c r="AI704" s="126"/>
      <c r="AJ704" s="126"/>
      <c r="AK704" s="126"/>
      <c r="AL704" s="204"/>
      <c r="AM704" s="507"/>
    </row>
    <row r="705" spans="1:39" ht="112.5" x14ac:dyDescent="0.25">
      <c r="A705" s="158"/>
      <c r="B705" s="158"/>
      <c r="C705" s="158"/>
      <c r="D705" s="158"/>
      <c r="E705" s="158"/>
      <c r="F705" s="157" t="s">
        <v>2605</v>
      </c>
      <c r="G705" s="895" t="s">
        <v>2606</v>
      </c>
      <c r="H705" s="895" t="s">
        <v>2607</v>
      </c>
      <c r="I705" s="895" t="s">
        <v>2608</v>
      </c>
      <c r="J705" s="173" t="s">
        <v>2609</v>
      </c>
      <c r="K705" s="890">
        <f>+(0.27*100)/1</f>
        <v>27</v>
      </c>
      <c r="L705" s="157" t="s">
        <v>2610</v>
      </c>
      <c r="M705" s="955"/>
      <c r="N705" s="956">
        <v>3</v>
      </c>
      <c r="O705" s="956">
        <v>1</v>
      </c>
      <c r="P705" s="957">
        <f>+O705/N705</f>
        <v>0.33333333333333331</v>
      </c>
      <c r="Q705" s="90" t="s">
        <v>2611</v>
      </c>
      <c r="R705" s="90" t="s">
        <v>2612</v>
      </c>
      <c r="S705" s="90" t="s">
        <v>2600</v>
      </c>
      <c r="T705" s="90" t="s">
        <v>2388</v>
      </c>
      <c r="U705" s="107">
        <v>100000000</v>
      </c>
      <c r="V705" s="107">
        <v>100000000</v>
      </c>
      <c r="W705" s="924"/>
      <c r="X705" s="924"/>
      <c r="Y705" s="924"/>
      <c r="Z705" s="90" t="s">
        <v>55</v>
      </c>
      <c r="AA705" s="924"/>
      <c r="AB705" s="924"/>
      <c r="AC705" s="924"/>
      <c r="AD705" s="924"/>
      <c r="AE705" s="924"/>
      <c r="AF705" s="107">
        <v>100000000</v>
      </c>
      <c r="AG705" s="107">
        <v>100000000</v>
      </c>
      <c r="AH705" s="29">
        <f t="shared" ref="AH705:AH708" si="129">+AG705/AF705</f>
        <v>1</v>
      </c>
      <c r="AI705" s="895" t="s">
        <v>2389</v>
      </c>
      <c r="AJ705" s="895" t="s">
        <v>2613</v>
      </c>
      <c r="AK705" s="928"/>
      <c r="AL705" s="192" t="s">
        <v>58</v>
      </c>
      <c r="AM705" s="186">
        <v>1</v>
      </c>
    </row>
    <row r="706" spans="1:39" ht="67.5" x14ac:dyDescent="0.25">
      <c r="A706" s="158"/>
      <c r="B706" s="158"/>
      <c r="C706" s="158"/>
      <c r="D706" s="158"/>
      <c r="E706" s="158"/>
      <c r="F706" s="158"/>
      <c r="G706" s="895" t="s">
        <v>2614</v>
      </c>
      <c r="H706" s="895" t="s">
        <v>2615</v>
      </c>
      <c r="I706" s="895" t="s">
        <v>2616</v>
      </c>
      <c r="J706" s="173"/>
      <c r="K706" s="890"/>
      <c r="L706" s="157"/>
      <c r="M706" s="934"/>
      <c r="N706" s="934"/>
      <c r="O706" s="934"/>
      <c r="P706" s="906"/>
      <c r="Q706" s="90" t="s">
        <v>2617</v>
      </c>
      <c r="R706" s="90" t="s">
        <v>2618</v>
      </c>
      <c r="S706" s="90" t="s">
        <v>670</v>
      </c>
      <c r="T706" s="90" t="s">
        <v>966</v>
      </c>
      <c r="U706" s="107">
        <v>1500000000</v>
      </c>
      <c r="V706" s="107">
        <v>1500000000</v>
      </c>
      <c r="W706" s="924"/>
      <c r="X706" s="924"/>
      <c r="Y706" s="924"/>
      <c r="Z706" s="90" t="s">
        <v>55</v>
      </c>
      <c r="AA706" s="924"/>
      <c r="AB706" s="924"/>
      <c r="AC706" s="924"/>
      <c r="AD706" s="924"/>
      <c r="AE706" s="924"/>
      <c r="AF706" s="107">
        <v>1500000000</v>
      </c>
      <c r="AG706" s="926">
        <v>0</v>
      </c>
      <c r="AH706" s="29">
        <f t="shared" si="129"/>
        <v>0</v>
      </c>
      <c r="AI706" s="895" t="s">
        <v>131</v>
      </c>
      <c r="AJ706" s="895" t="s">
        <v>2619</v>
      </c>
      <c r="AK706" s="928"/>
      <c r="AL706" s="192"/>
      <c r="AM706" s="186"/>
    </row>
    <row r="707" spans="1:39" ht="90" x14ac:dyDescent="0.25">
      <c r="A707" s="158"/>
      <c r="B707" s="158"/>
      <c r="C707" s="158"/>
      <c r="D707" s="158"/>
      <c r="E707" s="158"/>
      <c r="F707" s="158"/>
      <c r="G707" s="895" t="s">
        <v>2620</v>
      </c>
      <c r="H707" s="895" t="s">
        <v>2621</v>
      </c>
      <c r="I707" s="895" t="s">
        <v>2622</v>
      </c>
      <c r="J707" s="173"/>
      <c r="K707" s="890"/>
      <c r="L707" s="157"/>
      <c r="M707" s="934"/>
      <c r="N707" s="934"/>
      <c r="O707" s="934"/>
      <c r="P707" s="906"/>
      <c r="Q707" s="895" t="s">
        <v>2623</v>
      </c>
      <c r="R707" s="90" t="s">
        <v>2624</v>
      </c>
      <c r="S707" s="90" t="s">
        <v>90</v>
      </c>
      <c r="T707" s="90" t="s">
        <v>90</v>
      </c>
      <c r="U707" s="107">
        <v>100000000</v>
      </c>
      <c r="V707" s="107">
        <v>100000000</v>
      </c>
      <c r="W707" s="924"/>
      <c r="X707" s="924"/>
      <c r="Y707" s="924"/>
      <c r="Z707" s="90" t="s">
        <v>55</v>
      </c>
      <c r="AA707" s="924"/>
      <c r="AB707" s="924"/>
      <c r="AC707" s="924"/>
      <c r="AD707" s="924"/>
      <c r="AE707" s="924"/>
      <c r="AF707" s="107">
        <v>100000000</v>
      </c>
      <c r="AG707" s="926">
        <v>0</v>
      </c>
      <c r="AH707" s="29">
        <f t="shared" si="129"/>
        <v>0</v>
      </c>
      <c r="AI707" s="895" t="s">
        <v>2625</v>
      </c>
      <c r="AJ707" s="895"/>
      <c r="AK707" s="928"/>
      <c r="AL707" s="192"/>
      <c r="AM707" s="186"/>
    </row>
    <row r="708" spans="1:39" ht="123.75" x14ac:dyDescent="0.25">
      <c r="A708" s="158"/>
      <c r="B708" s="158"/>
      <c r="C708" s="158"/>
      <c r="D708" s="158"/>
      <c r="E708" s="158"/>
      <c r="F708" s="158"/>
      <c r="G708" s="895" t="s">
        <v>2626</v>
      </c>
      <c r="H708" s="895" t="s">
        <v>2627</v>
      </c>
      <c r="I708" s="895" t="s">
        <v>2628</v>
      </c>
      <c r="J708" s="173"/>
      <c r="K708" s="890"/>
      <c r="L708" s="157"/>
      <c r="M708" s="937"/>
      <c r="N708" s="937"/>
      <c r="O708" s="937"/>
      <c r="P708" s="908"/>
      <c r="Q708" s="90" t="s">
        <v>2629</v>
      </c>
      <c r="R708" s="90" t="s">
        <v>2387</v>
      </c>
      <c r="S708" s="90" t="s">
        <v>386</v>
      </c>
      <c r="T708" s="90" t="s">
        <v>2630</v>
      </c>
      <c r="U708" s="107">
        <v>300000000</v>
      </c>
      <c r="V708" s="107">
        <v>300000000</v>
      </c>
      <c r="W708" s="924"/>
      <c r="X708" s="924"/>
      <c r="Y708" s="924"/>
      <c r="Z708" s="90" t="s">
        <v>55</v>
      </c>
      <c r="AA708" s="924"/>
      <c r="AB708" s="924"/>
      <c r="AC708" s="924"/>
      <c r="AD708" s="924"/>
      <c r="AE708" s="924"/>
      <c r="AF708" s="107">
        <v>300000000</v>
      </c>
      <c r="AG708" s="107">
        <v>299954000</v>
      </c>
      <c r="AH708" s="927">
        <f t="shared" si="129"/>
        <v>0.99984666666666666</v>
      </c>
      <c r="AI708" s="895" t="s">
        <v>2631</v>
      </c>
      <c r="AJ708" s="895" t="s">
        <v>2632</v>
      </c>
      <c r="AK708" s="928"/>
      <c r="AL708" s="192"/>
      <c r="AM708" s="186"/>
    </row>
    <row r="709" spans="1:39" ht="45" x14ac:dyDescent="0.25">
      <c r="A709" s="158"/>
      <c r="B709" s="158"/>
      <c r="C709" s="158"/>
      <c r="D709" s="158"/>
      <c r="E709" s="158"/>
      <c r="F709" s="158"/>
      <c r="G709" s="158"/>
      <c r="H709" s="158"/>
      <c r="I709" s="158"/>
      <c r="J709" s="173" t="s">
        <v>2633</v>
      </c>
      <c r="K709" s="890">
        <f>+(0.02*100)/1</f>
        <v>2</v>
      </c>
      <c r="L709" s="157" t="s">
        <v>2634</v>
      </c>
      <c r="M709" s="157"/>
      <c r="N709" s="157"/>
      <c r="O709" s="157"/>
      <c r="P709" s="126"/>
      <c r="Q709" s="157"/>
      <c r="R709" s="157"/>
      <c r="S709" s="157"/>
      <c r="T709" s="157"/>
      <c r="U709" s="157"/>
      <c r="V709" s="157"/>
      <c r="W709" s="157"/>
      <c r="X709" s="157"/>
      <c r="Y709" s="157"/>
      <c r="Z709" s="157"/>
      <c r="AA709" s="157"/>
      <c r="AB709" s="157"/>
      <c r="AC709" s="157"/>
      <c r="AD709" s="157"/>
      <c r="AE709" s="157"/>
      <c r="AF709" s="157"/>
      <c r="AG709" s="157"/>
      <c r="AH709" s="126"/>
      <c r="AI709" s="157"/>
      <c r="AJ709" s="157"/>
      <c r="AK709" s="157" t="s">
        <v>323</v>
      </c>
      <c r="AL709" s="192" t="s">
        <v>58</v>
      </c>
      <c r="AM709" s="186">
        <v>0</v>
      </c>
    </row>
    <row r="710" spans="1:39" ht="202.5" x14ac:dyDescent="0.25">
      <c r="A710" s="158"/>
      <c r="B710" s="158"/>
      <c r="C710" s="158"/>
      <c r="D710" s="158"/>
      <c r="E710" s="158"/>
      <c r="F710" s="158"/>
      <c r="G710" s="958" t="s">
        <v>2635</v>
      </c>
      <c r="H710" s="959" t="s">
        <v>2636</v>
      </c>
      <c r="I710" s="959" t="s">
        <v>2637</v>
      </c>
      <c r="J710" s="173" t="s">
        <v>2638</v>
      </c>
      <c r="K710" s="890">
        <f>+(0.01*100)/1</f>
        <v>1</v>
      </c>
      <c r="L710" s="157" t="s">
        <v>2639</v>
      </c>
      <c r="M710" s="157"/>
      <c r="N710" s="700">
        <v>1</v>
      </c>
      <c r="O710" s="960">
        <v>0</v>
      </c>
      <c r="P710" s="567">
        <f>+O710/N710</f>
        <v>0</v>
      </c>
      <c r="Q710" s="959" t="s">
        <v>2640</v>
      </c>
      <c r="R710" s="959" t="s">
        <v>2641</v>
      </c>
      <c r="S710" s="959" t="s">
        <v>90</v>
      </c>
      <c r="T710" s="959" t="s">
        <v>130</v>
      </c>
      <c r="U710" s="961">
        <v>382800000</v>
      </c>
      <c r="V710" s="962">
        <v>300000000</v>
      </c>
      <c r="W710" s="959"/>
      <c r="X710" s="959"/>
      <c r="Y710" s="959"/>
      <c r="Z710" s="959" t="s">
        <v>55</v>
      </c>
      <c r="AA710" s="959"/>
      <c r="AB710" s="959"/>
      <c r="AC710" s="959"/>
      <c r="AD710" s="959"/>
      <c r="AE710" s="959"/>
      <c r="AF710" s="963">
        <f>+V710</f>
        <v>300000000</v>
      </c>
      <c r="AG710" s="964">
        <v>0</v>
      </c>
      <c r="AH710" s="162">
        <f>+AG710/AF710</f>
        <v>0</v>
      </c>
      <c r="AI710" s="965" t="s">
        <v>2642</v>
      </c>
      <c r="AJ710" s="965" t="s">
        <v>2643</v>
      </c>
      <c r="AK710" s="965"/>
      <c r="AL710" s="965" t="s">
        <v>1611</v>
      </c>
      <c r="AM710" s="186">
        <v>0</v>
      </c>
    </row>
    <row r="711" spans="1:39" ht="33.75" x14ac:dyDescent="0.25">
      <c r="A711" s="158"/>
      <c r="B711" s="158"/>
      <c r="C711" s="158"/>
      <c r="D711" s="158"/>
      <c r="E711" s="158"/>
      <c r="F711" s="158"/>
      <c r="G711" s="158"/>
      <c r="H711" s="158"/>
      <c r="I711" s="158"/>
      <c r="J711" s="173" t="s">
        <v>2644</v>
      </c>
      <c r="K711" s="890">
        <f>+(0.01*100)/1</f>
        <v>1</v>
      </c>
      <c r="L711" s="157" t="s">
        <v>2645</v>
      </c>
      <c r="M711" s="157"/>
      <c r="N711" s="157"/>
      <c r="O711" s="157"/>
      <c r="P711" s="126"/>
      <c r="Q711" s="157"/>
      <c r="R711" s="157"/>
      <c r="S711" s="157"/>
      <c r="T711" s="157"/>
      <c r="U711" s="157"/>
      <c r="V711" s="157"/>
      <c r="W711" s="157"/>
      <c r="X711" s="157"/>
      <c r="Y711" s="157"/>
      <c r="Z711" s="157"/>
      <c r="AA711" s="157"/>
      <c r="AB711" s="157"/>
      <c r="AC711" s="157"/>
      <c r="AD711" s="157"/>
      <c r="AE711" s="157"/>
      <c r="AF711" s="157"/>
      <c r="AG711" s="157"/>
      <c r="AH711" s="126"/>
      <c r="AI711" s="157"/>
      <c r="AJ711" s="157"/>
      <c r="AK711" s="157" t="s">
        <v>323</v>
      </c>
      <c r="AL711" s="192" t="s">
        <v>293</v>
      </c>
      <c r="AM711" s="186">
        <v>100</v>
      </c>
    </row>
    <row r="712" spans="1:39" ht="45" x14ac:dyDescent="0.25">
      <c r="A712" s="158"/>
      <c r="B712" s="158"/>
      <c r="C712" s="158"/>
      <c r="D712" s="158"/>
      <c r="E712" s="158"/>
      <c r="F712" s="158"/>
      <c r="G712" s="158"/>
      <c r="H712" s="158"/>
      <c r="I712" s="158"/>
      <c r="J712" s="173" t="s">
        <v>2646</v>
      </c>
      <c r="K712" s="890">
        <f>+(0.08*100)/1</f>
        <v>8</v>
      </c>
      <c r="L712" s="157" t="s">
        <v>2647</v>
      </c>
      <c r="M712" s="157"/>
      <c r="N712" s="157"/>
      <c r="O712" s="157"/>
      <c r="P712" s="126"/>
      <c r="Q712" s="157"/>
      <c r="R712" s="157"/>
      <c r="S712" s="157"/>
      <c r="T712" s="157"/>
      <c r="U712" s="157"/>
      <c r="V712" s="157"/>
      <c r="W712" s="157"/>
      <c r="X712" s="157"/>
      <c r="Y712" s="157"/>
      <c r="Z712" s="157"/>
      <c r="AA712" s="157"/>
      <c r="AB712" s="157"/>
      <c r="AC712" s="157"/>
      <c r="AD712" s="157"/>
      <c r="AE712" s="157"/>
      <c r="AF712" s="157"/>
      <c r="AG712" s="157"/>
      <c r="AH712" s="126"/>
      <c r="AI712" s="157"/>
      <c r="AJ712" s="157"/>
      <c r="AK712" s="157" t="s">
        <v>323</v>
      </c>
      <c r="AL712" s="192" t="s">
        <v>293</v>
      </c>
      <c r="AM712" s="186">
        <v>0</v>
      </c>
    </row>
    <row r="713" spans="1:39" ht="101.25" x14ac:dyDescent="0.25">
      <c r="A713" s="158"/>
      <c r="B713" s="158"/>
      <c r="C713" s="158"/>
      <c r="D713" s="158"/>
      <c r="E713" s="158"/>
      <c r="F713" s="158"/>
      <c r="G713" s="158"/>
      <c r="H713" s="158"/>
      <c r="I713" s="158"/>
      <c r="J713" s="173" t="s">
        <v>2648</v>
      </c>
      <c r="K713" s="890">
        <f>+(0.02*100)/1</f>
        <v>2</v>
      </c>
      <c r="L713" s="157" t="s">
        <v>2649</v>
      </c>
      <c r="M713" s="157"/>
      <c r="N713" s="157"/>
      <c r="O713" s="157"/>
      <c r="P713" s="126"/>
      <c r="Q713" s="157"/>
      <c r="R713" s="157"/>
      <c r="S713" s="157"/>
      <c r="T713" s="157"/>
      <c r="U713" s="157"/>
      <c r="V713" s="157"/>
      <c r="W713" s="157"/>
      <c r="X713" s="157"/>
      <c r="Y713" s="157"/>
      <c r="Z713" s="157"/>
      <c r="AA713" s="157"/>
      <c r="AB713" s="157"/>
      <c r="AC713" s="157"/>
      <c r="AD713" s="157"/>
      <c r="AE713" s="157"/>
      <c r="AF713" s="157"/>
      <c r="AG713" s="157"/>
      <c r="AH713" s="126"/>
      <c r="AI713" s="157"/>
      <c r="AJ713" s="157"/>
      <c r="AK713" s="157" t="s">
        <v>323</v>
      </c>
      <c r="AL713" s="192" t="s">
        <v>58</v>
      </c>
      <c r="AM713" s="186">
        <v>2</v>
      </c>
    </row>
    <row r="714" spans="1:39" ht="180" x14ac:dyDescent="0.25">
      <c r="A714" s="158"/>
      <c r="B714" s="158"/>
      <c r="C714" s="158"/>
      <c r="D714" s="158"/>
      <c r="E714" s="158"/>
      <c r="F714" s="158"/>
      <c r="G714" s="157" t="s">
        <v>2650</v>
      </c>
      <c r="H714" s="157" t="s">
        <v>2651</v>
      </c>
      <c r="I714" s="157" t="s">
        <v>2652</v>
      </c>
      <c r="J714" s="157" t="s">
        <v>2653</v>
      </c>
      <c r="K714" s="890">
        <f>+(0.45*100)/1</f>
        <v>45</v>
      </c>
      <c r="L714" s="157" t="s">
        <v>2654</v>
      </c>
      <c r="M714" s="413"/>
      <c r="N714" s="443">
        <v>1</v>
      </c>
      <c r="O714" s="413">
        <v>1</v>
      </c>
      <c r="P714" s="26">
        <f>+O714/N714</f>
        <v>1</v>
      </c>
      <c r="Q714" s="186" t="s">
        <v>2655</v>
      </c>
      <c r="R714" s="186" t="s">
        <v>2656</v>
      </c>
      <c r="S714" s="186" t="s">
        <v>316</v>
      </c>
      <c r="T714" s="186" t="s">
        <v>317</v>
      </c>
      <c r="U714" s="392">
        <v>100000000</v>
      </c>
      <c r="V714" s="392">
        <v>100000000</v>
      </c>
      <c r="W714" s="392" t="s">
        <v>55</v>
      </c>
      <c r="X714" s="392"/>
      <c r="Y714" s="392"/>
      <c r="Z714" s="392"/>
      <c r="AA714" s="392"/>
      <c r="AB714" s="392"/>
      <c r="AC714" s="392"/>
      <c r="AD714" s="392"/>
      <c r="AE714" s="392"/>
      <c r="AF714" s="392">
        <v>100000000</v>
      </c>
      <c r="AG714" s="392">
        <v>100000000</v>
      </c>
      <c r="AH714" s="26">
        <f>+AG714/AF714</f>
        <v>1</v>
      </c>
      <c r="AI714" s="392" t="s">
        <v>318</v>
      </c>
      <c r="AJ714" s="392" t="s">
        <v>2657</v>
      </c>
      <c r="AK714" s="392" t="s">
        <v>323</v>
      </c>
      <c r="AL714" s="392" t="s">
        <v>293</v>
      </c>
      <c r="AM714" s="186">
        <v>1</v>
      </c>
    </row>
    <row r="715" spans="1:39" ht="56.25" x14ac:dyDescent="0.25">
      <c r="A715" s="158"/>
      <c r="B715" s="158"/>
      <c r="C715" s="158"/>
      <c r="D715" s="158"/>
      <c r="E715" s="158"/>
      <c r="F715" s="158"/>
      <c r="G715" s="158"/>
      <c r="H715" s="158"/>
      <c r="I715" s="158"/>
      <c r="J715" s="158"/>
      <c r="K715" s="414"/>
      <c r="L715" s="414"/>
      <c r="M715" s="414"/>
      <c r="N715" s="414"/>
      <c r="O715" s="414"/>
      <c r="P715" s="966"/>
      <c r="Q715" s="186" t="s">
        <v>2658</v>
      </c>
      <c r="R715" s="186" t="s">
        <v>115</v>
      </c>
      <c r="S715" s="186" t="s">
        <v>316</v>
      </c>
      <c r="T715" s="186" t="s">
        <v>317</v>
      </c>
      <c r="U715" s="396"/>
      <c r="V715" s="396"/>
      <c r="W715" s="396"/>
      <c r="X715" s="396"/>
      <c r="Y715" s="396"/>
      <c r="Z715" s="396"/>
      <c r="AA715" s="396"/>
      <c r="AB715" s="396"/>
      <c r="AC715" s="396"/>
      <c r="AD715" s="396"/>
      <c r="AE715" s="396"/>
      <c r="AF715" s="396"/>
      <c r="AG715" s="396"/>
      <c r="AH715" s="408"/>
      <c r="AI715" s="396"/>
      <c r="AJ715" s="396"/>
      <c r="AK715" s="396"/>
      <c r="AL715" s="396"/>
      <c r="AM715" s="186"/>
    </row>
    <row r="716" spans="1:39" ht="78.75" x14ac:dyDescent="0.25">
      <c r="A716" s="158"/>
      <c r="B716" s="158"/>
      <c r="C716" s="158"/>
      <c r="D716" s="158"/>
      <c r="E716" s="158"/>
      <c r="F716" s="158"/>
      <c r="G716" s="170"/>
      <c r="H716" s="170"/>
      <c r="I716" s="170"/>
      <c r="J716" s="170"/>
      <c r="K716" s="415"/>
      <c r="L716" s="415"/>
      <c r="M716" s="415"/>
      <c r="N716" s="415"/>
      <c r="O716" s="415"/>
      <c r="P716" s="967"/>
      <c r="Q716" s="186" t="s">
        <v>2659</v>
      </c>
      <c r="R716" s="186" t="s">
        <v>137</v>
      </c>
      <c r="S716" s="186" t="s">
        <v>316</v>
      </c>
      <c r="T716" s="186" t="s">
        <v>317</v>
      </c>
      <c r="U716" s="397"/>
      <c r="V716" s="397"/>
      <c r="W716" s="397"/>
      <c r="X716" s="397"/>
      <c r="Y716" s="397"/>
      <c r="Z716" s="397"/>
      <c r="AA716" s="397"/>
      <c r="AB716" s="397"/>
      <c r="AC716" s="397"/>
      <c r="AD716" s="397"/>
      <c r="AE716" s="397"/>
      <c r="AF716" s="397"/>
      <c r="AG716" s="397"/>
      <c r="AH716" s="229"/>
      <c r="AI716" s="397"/>
      <c r="AJ716" s="397"/>
      <c r="AK716" s="397"/>
      <c r="AL716" s="397"/>
      <c r="AM716" s="186"/>
    </row>
    <row r="717" spans="1:39" ht="33.75" x14ac:dyDescent="0.25">
      <c r="A717" s="158"/>
      <c r="B717" s="158"/>
      <c r="C717" s="158"/>
      <c r="D717" s="158"/>
      <c r="E717" s="158"/>
      <c r="F717" s="158"/>
      <c r="G717" s="158"/>
      <c r="H717" s="158"/>
      <c r="I717" s="158"/>
      <c r="J717" s="173" t="s">
        <v>2660</v>
      </c>
      <c r="K717" s="890">
        <f>+(0.09*100)/1</f>
        <v>9</v>
      </c>
      <c r="L717" s="157" t="s">
        <v>2661</v>
      </c>
      <c r="M717" s="157"/>
      <c r="N717" s="157"/>
      <c r="O717" s="157"/>
      <c r="P717" s="126"/>
      <c r="Q717" s="157"/>
      <c r="R717" s="157"/>
      <c r="S717" s="157"/>
      <c r="T717" s="157"/>
      <c r="U717" s="157"/>
      <c r="V717" s="157"/>
      <c r="W717" s="157"/>
      <c r="X717" s="157"/>
      <c r="Y717" s="157"/>
      <c r="Z717" s="157"/>
      <c r="AA717" s="157"/>
      <c r="AB717" s="157"/>
      <c r="AC717" s="157"/>
      <c r="AD717" s="157"/>
      <c r="AE717" s="157"/>
      <c r="AF717" s="157"/>
      <c r="AG717" s="157"/>
      <c r="AH717" s="126"/>
      <c r="AI717" s="157"/>
      <c r="AJ717" s="157"/>
      <c r="AK717" s="157" t="s">
        <v>323</v>
      </c>
      <c r="AL717" s="192" t="s">
        <v>293</v>
      </c>
      <c r="AM717" s="186">
        <v>66</v>
      </c>
    </row>
    <row r="718" spans="1:39" ht="45" x14ac:dyDescent="0.25">
      <c r="A718" s="158"/>
      <c r="B718" s="158"/>
      <c r="C718" s="158"/>
      <c r="D718" s="158"/>
      <c r="E718" s="158"/>
      <c r="F718" s="170"/>
      <c r="G718" s="170"/>
      <c r="H718" s="170"/>
      <c r="I718" s="170"/>
      <c r="J718" s="173" t="s">
        <v>2662</v>
      </c>
      <c r="K718" s="890">
        <f>+(0.05*100)/1</f>
        <v>5</v>
      </c>
      <c r="L718" s="157" t="s">
        <v>2663</v>
      </c>
      <c r="M718" s="157"/>
      <c r="N718" s="157"/>
      <c r="O718" s="157"/>
      <c r="P718" s="126"/>
      <c r="Q718" s="157"/>
      <c r="R718" s="157"/>
      <c r="S718" s="157"/>
      <c r="T718" s="157"/>
      <c r="U718" s="157"/>
      <c r="V718" s="157"/>
      <c r="W718" s="157"/>
      <c r="X718" s="157"/>
      <c r="Y718" s="157"/>
      <c r="Z718" s="157"/>
      <c r="AA718" s="157"/>
      <c r="AB718" s="157"/>
      <c r="AC718" s="157"/>
      <c r="AD718" s="157"/>
      <c r="AE718" s="157"/>
      <c r="AF718" s="157"/>
      <c r="AG718" s="157"/>
      <c r="AH718" s="126"/>
      <c r="AI718" s="157"/>
      <c r="AJ718" s="157"/>
      <c r="AK718" s="157" t="s">
        <v>323</v>
      </c>
      <c r="AL718" s="192" t="s">
        <v>293</v>
      </c>
      <c r="AM718" s="186">
        <v>0</v>
      </c>
    </row>
    <row r="719" spans="1:39" ht="33.75" x14ac:dyDescent="0.25">
      <c r="A719" s="158"/>
      <c r="B719" s="158"/>
      <c r="C719" s="158"/>
      <c r="D719" s="158"/>
      <c r="E719" s="158"/>
      <c r="F719" s="110" t="s">
        <v>158</v>
      </c>
      <c r="G719" s="110"/>
      <c r="H719" s="110"/>
      <c r="I719" s="110"/>
      <c r="J719" s="143"/>
      <c r="K719" s="968">
        <f>SUM(K705:K718)</f>
        <v>100</v>
      </c>
      <c r="L719" s="126"/>
      <c r="M719" s="126"/>
      <c r="N719" s="126"/>
      <c r="O719" s="126"/>
      <c r="P719" s="126"/>
      <c r="Q719" s="126"/>
      <c r="R719" s="126"/>
      <c r="S719" s="126"/>
      <c r="T719" s="126"/>
      <c r="U719" s="126"/>
      <c r="V719" s="126"/>
      <c r="W719" s="126"/>
      <c r="X719" s="126"/>
      <c r="Y719" s="126"/>
      <c r="Z719" s="126"/>
      <c r="AA719" s="126"/>
      <c r="AB719" s="126"/>
      <c r="AC719" s="126"/>
      <c r="AD719" s="126"/>
      <c r="AE719" s="126"/>
      <c r="AF719" s="126"/>
      <c r="AG719" s="126"/>
      <c r="AH719" s="126"/>
      <c r="AI719" s="126"/>
      <c r="AJ719" s="126"/>
      <c r="AK719" s="126"/>
      <c r="AL719" s="204"/>
      <c r="AM719" s="507"/>
    </row>
    <row r="720" spans="1:39" ht="33.75" x14ac:dyDescent="0.25">
      <c r="A720" s="158"/>
      <c r="B720" s="158"/>
      <c r="C720" s="158"/>
      <c r="D720" s="158"/>
      <c r="E720" s="158"/>
      <c r="F720" s="157" t="s">
        <v>2664</v>
      </c>
      <c r="G720" s="158"/>
      <c r="H720" s="158"/>
      <c r="I720" s="158"/>
      <c r="J720" s="173" t="s">
        <v>2665</v>
      </c>
      <c r="K720" s="890">
        <f>+(0.42*100)/1</f>
        <v>42</v>
      </c>
      <c r="L720" s="157" t="s">
        <v>2666</v>
      </c>
      <c r="M720" s="157"/>
      <c r="N720" s="157"/>
      <c r="O720" s="157"/>
      <c r="P720" s="126"/>
      <c r="Q720" s="157"/>
      <c r="R720" s="157"/>
      <c r="S720" s="157"/>
      <c r="T720" s="157"/>
      <c r="U720" s="157"/>
      <c r="V720" s="157"/>
      <c r="W720" s="157"/>
      <c r="X720" s="157"/>
      <c r="Y720" s="157"/>
      <c r="Z720" s="157"/>
      <c r="AA720" s="157"/>
      <c r="AB720" s="157"/>
      <c r="AC720" s="157"/>
      <c r="AD720" s="157"/>
      <c r="AE720" s="157"/>
      <c r="AF720" s="157"/>
      <c r="AG720" s="157"/>
      <c r="AH720" s="126"/>
      <c r="AI720" s="157"/>
      <c r="AJ720" s="157"/>
      <c r="AK720" s="157" t="s">
        <v>323</v>
      </c>
      <c r="AL720" s="192" t="s">
        <v>293</v>
      </c>
      <c r="AM720" s="186">
        <v>0</v>
      </c>
    </row>
    <row r="721" spans="1:39" ht="45" x14ac:dyDescent="0.25">
      <c r="A721" s="158"/>
      <c r="B721" s="158"/>
      <c r="C721" s="158"/>
      <c r="D721" s="158"/>
      <c r="E721" s="158"/>
      <c r="F721" s="158"/>
      <c r="G721" s="158"/>
      <c r="H721" s="158"/>
      <c r="I721" s="158"/>
      <c r="J721" s="173" t="s">
        <v>2667</v>
      </c>
      <c r="K721" s="890">
        <f>+(0.02*100)/1</f>
        <v>2</v>
      </c>
      <c r="L721" s="157" t="s">
        <v>2668</v>
      </c>
      <c r="M721" s="157"/>
      <c r="N721" s="157"/>
      <c r="O721" s="157"/>
      <c r="P721" s="126"/>
      <c r="Q721" s="157"/>
      <c r="R721" s="157"/>
      <c r="S721" s="157"/>
      <c r="T721" s="157"/>
      <c r="U721" s="157"/>
      <c r="V721" s="157"/>
      <c r="W721" s="157"/>
      <c r="X721" s="157"/>
      <c r="Y721" s="157"/>
      <c r="Z721" s="157"/>
      <c r="AA721" s="157"/>
      <c r="AB721" s="157"/>
      <c r="AC721" s="157"/>
      <c r="AD721" s="157"/>
      <c r="AE721" s="157"/>
      <c r="AF721" s="157"/>
      <c r="AG721" s="157"/>
      <c r="AH721" s="126"/>
      <c r="AI721" s="157"/>
      <c r="AJ721" s="157"/>
      <c r="AK721" s="157" t="s">
        <v>323</v>
      </c>
      <c r="AL721" s="192" t="s">
        <v>293</v>
      </c>
      <c r="AM721" s="186">
        <v>0</v>
      </c>
    </row>
    <row r="722" spans="1:39" ht="33.75" x14ac:dyDescent="0.25">
      <c r="A722" s="158"/>
      <c r="B722" s="158"/>
      <c r="C722" s="158"/>
      <c r="D722" s="158"/>
      <c r="E722" s="158"/>
      <c r="F722" s="158"/>
      <c r="G722" s="158"/>
      <c r="H722" s="158"/>
      <c r="I722" s="158"/>
      <c r="J722" s="173" t="s">
        <v>2669</v>
      </c>
      <c r="K722" s="890">
        <f>+(0.01*100)/1</f>
        <v>1</v>
      </c>
      <c r="L722" s="157" t="s">
        <v>2670</v>
      </c>
      <c r="M722" s="157"/>
      <c r="N722" s="157"/>
      <c r="O722" s="157"/>
      <c r="P722" s="126"/>
      <c r="Q722" s="157"/>
      <c r="R722" s="157"/>
      <c r="S722" s="157"/>
      <c r="T722" s="157"/>
      <c r="U722" s="157"/>
      <c r="V722" s="157"/>
      <c r="W722" s="157"/>
      <c r="X722" s="157"/>
      <c r="Y722" s="157"/>
      <c r="Z722" s="157"/>
      <c r="AA722" s="157"/>
      <c r="AB722" s="157"/>
      <c r="AC722" s="157"/>
      <c r="AD722" s="157"/>
      <c r="AE722" s="157"/>
      <c r="AF722" s="157"/>
      <c r="AG722" s="157"/>
      <c r="AH722" s="126"/>
      <c r="AI722" s="157"/>
      <c r="AJ722" s="157"/>
      <c r="AK722" s="157" t="s">
        <v>323</v>
      </c>
      <c r="AL722" s="192" t="s">
        <v>293</v>
      </c>
      <c r="AM722" s="186">
        <v>1</v>
      </c>
    </row>
    <row r="723" spans="1:39" ht="33.75" x14ac:dyDescent="0.25">
      <c r="A723" s="158"/>
      <c r="B723" s="158"/>
      <c r="C723" s="158"/>
      <c r="D723" s="158"/>
      <c r="E723" s="158"/>
      <c r="F723" s="158"/>
      <c r="G723" s="158"/>
      <c r="H723" s="158"/>
      <c r="I723" s="158"/>
      <c r="J723" s="173" t="s">
        <v>2671</v>
      </c>
      <c r="K723" s="890">
        <f>+(0.02*100)/1</f>
        <v>2</v>
      </c>
      <c r="L723" s="157" t="s">
        <v>2672</v>
      </c>
      <c r="M723" s="157"/>
      <c r="N723" s="157"/>
      <c r="O723" s="157"/>
      <c r="P723" s="126"/>
      <c r="Q723" s="157"/>
      <c r="R723" s="157"/>
      <c r="S723" s="157"/>
      <c r="T723" s="157"/>
      <c r="U723" s="157"/>
      <c r="V723" s="157"/>
      <c r="W723" s="157"/>
      <c r="X723" s="157"/>
      <c r="Y723" s="157"/>
      <c r="Z723" s="157"/>
      <c r="AA723" s="157"/>
      <c r="AB723" s="157"/>
      <c r="AC723" s="157"/>
      <c r="AD723" s="157"/>
      <c r="AE723" s="157"/>
      <c r="AF723" s="157"/>
      <c r="AG723" s="157"/>
      <c r="AH723" s="126"/>
      <c r="AI723" s="157"/>
      <c r="AJ723" s="157"/>
      <c r="AK723" s="157" t="s">
        <v>323</v>
      </c>
      <c r="AL723" s="192" t="s">
        <v>293</v>
      </c>
      <c r="AM723" s="186">
        <v>0</v>
      </c>
    </row>
    <row r="724" spans="1:39" ht="33.75" x14ac:dyDescent="0.25">
      <c r="A724" s="158"/>
      <c r="B724" s="158"/>
      <c r="C724" s="158"/>
      <c r="D724" s="158"/>
      <c r="E724" s="158"/>
      <c r="F724" s="158"/>
      <c r="G724" s="158"/>
      <c r="H724" s="158"/>
      <c r="I724" s="158"/>
      <c r="J724" s="173" t="s">
        <v>2673</v>
      </c>
      <c r="K724" s="890">
        <f>+(0.12*100)/1</f>
        <v>12</v>
      </c>
      <c r="L724" s="157" t="s">
        <v>2674</v>
      </c>
      <c r="M724" s="157"/>
      <c r="N724" s="157"/>
      <c r="O724" s="157"/>
      <c r="P724" s="126"/>
      <c r="Q724" s="157"/>
      <c r="R724" s="157"/>
      <c r="S724" s="157"/>
      <c r="T724" s="157"/>
      <c r="U724" s="157"/>
      <c r="V724" s="157"/>
      <c r="W724" s="157"/>
      <c r="X724" s="157"/>
      <c r="Y724" s="157"/>
      <c r="Z724" s="157"/>
      <c r="AA724" s="157"/>
      <c r="AB724" s="157"/>
      <c r="AC724" s="157"/>
      <c r="AD724" s="157"/>
      <c r="AE724" s="157"/>
      <c r="AF724" s="157"/>
      <c r="AG724" s="157"/>
      <c r="AH724" s="126"/>
      <c r="AI724" s="157"/>
      <c r="AJ724" s="157"/>
      <c r="AK724" s="157" t="s">
        <v>323</v>
      </c>
      <c r="AL724" s="192" t="s">
        <v>293</v>
      </c>
      <c r="AM724" s="186">
        <v>0</v>
      </c>
    </row>
    <row r="725" spans="1:39" ht="33.75" x14ac:dyDescent="0.25">
      <c r="A725" s="158"/>
      <c r="B725" s="158"/>
      <c r="C725" s="158"/>
      <c r="D725" s="158"/>
      <c r="E725" s="158"/>
      <c r="F725" s="158"/>
      <c r="G725" s="158"/>
      <c r="H725" s="158"/>
      <c r="I725" s="158"/>
      <c r="J725" s="173" t="s">
        <v>2675</v>
      </c>
      <c r="K725" s="890">
        <f>+(0.01*100)/1</f>
        <v>1</v>
      </c>
      <c r="L725" s="157" t="s">
        <v>2676</v>
      </c>
      <c r="M725" s="157"/>
      <c r="N725" s="157"/>
      <c r="O725" s="157"/>
      <c r="P725" s="126"/>
      <c r="Q725" s="157"/>
      <c r="R725" s="157"/>
      <c r="S725" s="157"/>
      <c r="T725" s="157"/>
      <c r="U725" s="157"/>
      <c r="V725" s="157"/>
      <c r="W725" s="157"/>
      <c r="X725" s="157"/>
      <c r="Y725" s="157"/>
      <c r="Z725" s="157"/>
      <c r="AA725" s="157"/>
      <c r="AB725" s="157"/>
      <c r="AC725" s="157"/>
      <c r="AD725" s="157"/>
      <c r="AE725" s="157"/>
      <c r="AF725" s="157"/>
      <c r="AG725" s="157"/>
      <c r="AH725" s="126"/>
      <c r="AI725" s="157"/>
      <c r="AJ725" s="157"/>
      <c r="AK725" s="157" t="s">
        <v>323</v>
      </c>
      <c r="AL725" s="192" t="s">
        <v>293</v>
      </c>
      <c r="AM725" s="186">
        <v>0</v>
      </c>
    </row>
    <row r="726" spans="1:39" ht="90" x14ac:dyDescent="0.25">
      <c r="A726" s="158"/>
      <c r="B726" s="158"/>
      <c r="C726" s="158"/>
      <c r="D726" s="158"/>
      <c r="E726" s="158"/>
      <c r="F726" s="158"/>
      <c r="G726" s="157" t="s">
        <v>2677</v>
      </c>
      <c r="H726" s="157" t="s">
        <v>2678</v>
      </c>
      <c r="I726" s="157" t="s">
        <v>2679</v>
      </c>
      <c r="J726" s="173" t="s">
        <v>2680</v>
      </c>
      <c r="K726" s="890">
        <f>+(0.36*100)/1</f>
        <v>36</v>
      </c>
      <c r="L726" s="157" t="s">
        <v>2681</v>
      </c>
      <c r="M726" s="175"/>
      <c r="N726" s="403">
        <v>0.33</v>
      </c>
      <c r="O726" s="403">
        <v>0</v>
      </c>
      <c r="P726" s="26">
        <f>+O726/N726</f>
        <v>0</v>
      </c>
      <c r="Q726" s="404" t="s">
        <v>2682</v>
      </c>
      <c r="R726" s="404" t="s">
        <v>2683</v>
      </c>
      <c r="S726" s="404" t="s">
        <v>516</v>
      </c>
      <c r="T726" s="404" t="s">
        <v>366</v>
      </c>
      <c r="U726" s="767">
        <v>708000000</v>
      </c>
      <c r="V726" s="969">
        <v>708000000</v>
      </c>
      <c r="W726" s="767"/>
      <c r="X726" s="767"/>
      <c r="Y726" s="767"/>
      <c r="Z726" s="767" t="s">
        <v>55</v>
      </c>
      <c r="AA726" s="767"/>
      <c r="AB726" s="767"/>
      <c r="AC726" s="767"/>
      <c r="AD726" s="767"/>
      <c r="AE726" s="767"/>
      <c r="AF726" s="767">
        <v>708000000</v>
      </c>
      <c r="AG726" s="767">
        <v>708000000</v>
      </c>
      <c r="AH726" s="26">
        <f>+AG726/AF726</f>
        <v>1</v>
      </c>
      <c r="AI726" s="767"/>
      <c r="AJ726" s="767" t="s">
        <v>2684</v>
      </c>
      <c r="AK726" s="767" t="s">
        <v>323</v>
      </c>
      <c r="AL726" s="767" t="s">
        <v>293</v>
      </c>
      <c r="AM726" s="403">
        <v>0.33</v>
      </c>
    </row>
    <row r="727" spans="1:39" ht="45" x14ac:dyDescent="0.25">
      <c r="A727" s="158"/>
      <c r="B727" s="158"/>
      <c r="C727" s="158"/>
      <c r="D727" s="158"/>
      <c r="E727" s="158"/>
      <c r="F727" s="158"/>
      <c r="G727" s="158"/>
      <c r="H727" s="158"/>
      <c r="I727" s="158"/>
      <c r="J727" s="173" t="s">
        <v>2685</v>
      </c>
      <c r="K727" s="890">
        <f>+(0.01*100)/1</f>
        <v>1</v>
      </c>
      <c r="L727" s="157" t="s">
        <v>2686</v>
      </c>
      <c r="M727" s="175"/>
      <c r="N727" s="186">
        <v>1</v>
      </c>
      <c r="O727" s="186">
        <v>0</v>
      </c>
      <c r="P727" s="26">
        <f t="shared" ref="P727:P729" si="130">+O727/N727</f>
        <v>0</v>
      </c>
      <c r="Q727" s="758"/>
      <c r="R727" s="758"/>
      <c r="S727" s="758"/>
      <c r="T727" s="758"/>
      <c r="U727" s="970"/>
      <c r="V727" s="760"/>
      <c r="W727" s="970"/>
      <c r="X727" s="970"/>
      <c r="Y727" s="970"/>
      <c r="Z727" s="970"/>
      <c r="AA727" s="970"/>
      <c r="AB727" s="970"/>
      <c r="AC727" s="970"/>
      <c r="AD727" s="970"/>
      <c r="AE727" s="970"/>
      <c r="AF727" s="970"/>
      <c r="AG727" s="970"/>
      <c r="AH727" s="669"/>
      <c r="AI727" s="970"/>
      <c r="AJ727" s="970"/>
      <c r="AK727" s="970"/>
      <c r="AL727" s="970"/>
      <c r="AM727" s="186">
        <v>1</v>
      </c>
    </row>
    <row r="728" spans="1:39" ht="33.75" x14ac:dyDescent="0.25">
      <c r="A728" s="158"/>
      <c r="B728" s="158"/>
      <c r="C728" s="158"/>
      <c r="D728" s="158"/>
      <c r="E728" s="158"/>
      <c r="F728" s="158"/>
      <c r="G728" s="158"/>
      <c r="H728" s="158"/>
      <c r="I728" s="158"/>
      <c r="J728" s="173" t="s">
        <v>2687</v>
      </c>
      <c r="K728" s="890">
        <f>+(0.02*100)/1</f>
        <v>2</v>
      </c>
      <c r="L728" s="157" t="s">
        <v>2688</v>
      </c>
      <c r="M728" s="175"/>
      <c r="N728" s="186">
        <v>1</v>
      </c>
      <c r="O728" s="186">
        <v>0</v>
      </c>
      <c r="P728" s="26">
        <f t="shared" si="130"/>
        <v>0</v>
      </c>
      <c r="Q728" s="758"/>
      <c r="R728" s="758"/>
      <c r="S728" s="758"/>
      <c r="T728" s="758"/>
      <c r="U728" s="970"/>
      <c r="V728" s="760"/>
      <c r="W728" s="970"/>
      <c r="X728" s="970"/>
      <c r="Y728" s="970"/>
      <c r="Z728" s="970"/>
      <c r="AA728" s="970"/>
      <c r="AB728" s="970"/>
      <c r="AC728" s="970"/>
      <c r="AD728" s="970"/>
      <c r="AE728" s="970"/>
      <c r="AF728" s="970"/>
      <c r="AG728" s="970"/>
      <c r="AH728" s="669"/>
      <c r="AI728" s="970"/>
      <c r="AJ728" s="970"/>
      <c r="AK728" s="970"/>
      <c r="AL728" s="970"/>
      <c r="AM728" s="186">
        <v>1</v>
      </c>
    </row>
    <row r="729" spans="1:39" ht="45" x14ac:dyDescent="0.25">
      <c r="A729" s="158"/>
      <c r="B729" s="158"/>
      <c r="C729" s="158"/>
      <c r="D729" s="158"/>
      <c r="E729" s="158"/>
      <c r="F729" s="170"/>
      <c r="G729" s="170"/>
      <c r="H729" s="170"/>
      <c r="I729" s="170"/>
      <c r="J729" s="173" t="s">
        <v>2689</v>
      </c>
      <c r="K729" s="890">
        <f>+(0.01*100)/1</f>
        <v>1</v>
      </c>
      <c r="L729" s="157" t="s">
        <v>255</v>
      </c>
      <c r="M729" s="175"/>
      <c r="N729" s="186">
        <v>1</v>
      </c>
      <c r="O729" s="186">
        <v>0</v>
      </c>
      <c r="P729" s="26">
        <f t="shared" si="130"/>
        <v>0</v>
      </c>
      <c r="Q729" s="761"/>
      <c r="R729" s="761"/>
      <c r="S729" s="761"/>
      <c r="T729" s="761"/>
      <c r="U729" s="971"/>
      <c r="V729" s="762"/>
      <c r="W729" s="971"/>
      <c r="X729" s="971"/>
      <c r="Y729" s="971"/>
      <c r="Z729" s="971"/>
      <c r="AA729" s="971"/>
      <c r="AB729" s="971"/>
      <c r="AC729" s="971"/>
      <c r="AD729" s="971"/>
      <c r="AE729" s="971"/>
      <c r="AF729" s="971"/>
      <c r="AG729" s="971"/>
      <c r="AH729" s="670"/>
      <c r="AI729" s="971"/>
      <c r="AJ729" s="971"/>
      <c r="AK729" s="971"/>
      <c r="AL729" s="971"/>
      <c r="AM729" s="186">
        <v>1</v>
      </c>
    </row>
    <row r="730" spans="1:39" ht="33.75" x14ac:dyDescent="0.25">
      <c r="A730" s="158"/>
      <c r="B730" s="158"/>
      <c r="C730" s="158"/>
      <c r="D730" s="158"/>
      <c r="E730" s="158"/>
      <c r="F730" s="110" t="s">
        <v>158</v>
      </c>
      <c r="G730" s="110"/>
      <c r="H730" s="110"/>
      <c r="I730" s="110"/>
      <c r="J730" s="143"/>
      <c r="K730" s="968">
        <f t="shared" ref="K730" si="131">SUM(K720:K729)</f>
        <v>100</v>
      </c>
      <c r="L730" s="126"/>
      <c r="M730" s="126"/>
      <c r="N730" s="126"/>
      <c r="O730" s="126"/>
      <c r="P730" s="126"/>
      <c r="Q730" s="126"/>
      <c r="R730" s="126"/>
      <c r="S730" s="126"/>
      <c r="T730" s="126"/>
      <c r="U730" s="126"/>
      <c r="V730" s="126"/>
      <c r="W730" s="126"/>
      <c r="X730" s="126"/>
      <c r="Y730" s="126"/>
      <c r="Z730" s="126"/>
      <c r="AA730" s="126"/>
      <c r="AB730" s="126"/>
      <c r="AC730" s="126"/>
      <c r="AD730" s="126"/>
      <c r="AE730" s="126"/>
      <c r="AF730" s="126"/>
      <c r="AG730" s="126"/>
      <c r="AH730" s="126"/>
      <c r="AI730" s="126"/>
      <c r="AJ730" s="126"/>
      <c r="AK730" s="126"/>
      <c r="AL730" s="204"/>
      <c r="AM730" s="507"/>
    </row>
    <row r="731" spans="1:39" ht="45" x14ac:dyDescent="0.25">
      <c r="A731" s="158"/>
      <c r="B731" s="158"/>
      <c r="C731" s="158"/>
      <c r="D731" s="158"/>
      <c r="E731" s="158"/>
      <c r="F731" s="157" t="s">
        <v>2690</v>
      </c>
      <c r="G731" s="158"/>
      <c r="H731" s="158"/>
      <c r="I731" s="158"/>
      <c r="J731" s="173" t="s">
        <v>2691</v>
      </c>
      <c r="K731" s="890">
        <f>+(0.055*100)/1</f>
        <v>5.5</v>
      </c>
      <c r="L731" s="157" t="s">
        <v>2692</v>
      </c>
      <c r="M731" s="157"/>
      <c r="N731" s="157"/>
      <c r="O731" s="157"/>
      <c r="P731" s="126"/>
      <c r="Q731" s="157"/>
      <c r="R731" s="157"/>
      <c r="S731" s="157"/>
      <c r="T731" s="157"/>
      <c r="U731" s="157"/>
      <c r="V731" s="157"/>
      <c r="W731" s="157"/>
      <c r="X731" s="157"/>
      <c r="Y731" s="157"/>
      <c r="Z731" s="157"/>
      <c r="AA731" s="157"/>
      <c r="AB731" s="157"/>
      <c r="AC731" s="157"/>
      <c r="AD731" s="157"/>
      <c r="AE731" s="157"/>
      <c r="AF731" s="157"/>
      <c r="AG731" s="157"/>
      <c r="AH731" s="126"/>
      <c r="AI731" s="157"/>
      <c r="AJ731" s="157"/>
      <c r="AK731" s="157" t="s">
        <v>323</v>
      </c>
      <c r="AL731" s="192" t="s">
        <v>293</v>
      </c>
      <c r="AM731" s="972">
        <v>537.29999999999995</v>
      </c>
    </row>
    <row r="732" spans="1:39" ht="33.75" x14ac:dyDescent="0.25">
      <c r="A732" s="158"/>
      <c r="B732" s="158"/>
      <c r="C732" s="158"/>
      <c r="D732" s="158"/>
      <c r="E732" s="158"/>
      <c r="F732" s="158"/>
      <c r="G732" s="158"/>
      <c r="H732" s="158"/>
      <c r="I732" s="158"/>
      <c r="J732" s="173" t="s">
        <v>2693</v>
      </c>
      <c r="K732" s="890">
        <f>+(0.03*100)/1</f>
        <v>3</v>
      </c>
      <c r="L732" s="157" t="s">
        <v>2694</v>
      </c>
      <c r="M732" s="157"/>
      <c r="N732" s="157"/>
      <c r="O732" s="157"/>
      <c r="P732" s="126"/>
      <c r="Q732" s="157"/>
      <c r="R732" s="157"/>
      <c r="S732" s="157"/>
      <c r="T732" s="157"/>
      <c r="U732" s="157"/>
      <c r="V732" s="157"/>
      <c r="W732" s="157"/>
      <c r="X732" s="157"/>
      <c r="Y732" s="157"/>
      <c r="Z732" s="157"/>
      <c r="AA732" s="157"/>
      <c r="AB732" s="157"/>
      <c r="AC732" s="157"/>
      <c r="AD732" s="157"/>
      <c r="AE732" s="157"/>
      <c r="AF732" s="157"/>
      <c r="AG732" s="157"/>
      <c r="AH732" s="126"/>
      <c r="AI732" s="157"/>
      <c r="AJ732" s="157"/>
      <c r="AK732" s="157" t="s">
        <v>323</v>
      </c>
      <c r="AL732" s="192" t="s">
        <v>293</v>
      </c>
      <c r="AM732" s="186">
        <v>400</v>
      </c>
    </row>
    <row r="733" spans="1:39" ht="33.75" x14ac:dyDescent="0.25">
      <c r="A733" s="158"/>
      <c r="B733" s="158"/>
      <c r="C733" s="158"/>
      <c r="D733" s="158"/>
      <c r="E733" s="158"/>
      <c r="F733" s="158"/>
      <c r="G733" s="158"/>
      <c r="H733" s="158"/>
      <c r="I733" s="158"/>
      <c r="J733" s="173" t="s">
        <v>2695</v>
      </c>
      <c r="K733" s="890">
        <f>+(0.076*100)/1</f>
        <v>7.6</v>
      </c>
      <c r="L733" s="157" t="s">
        <v>2696</v>
      </c>
      <c r="M733" s="157"/>
      <c r="N733" s="157"/>
      <c r="O733" s="157"/>
      <c r="P733" s="126"/>
      <c r="Q733" s="157"/>
      <c r="R733" s="157"/>
      <c r="S733" s="157"/>
      <c r="T733" s="157"/>
      <c r="U733" s="157"/>
      <c r="V733" s="157"/>
      <c r="W733" s="157"/>
      <c r="X733" s="157"/>
      <c r="Y733" s="157"/>
      <c r="Z733" s="157"/>
      <c r="AA733" s="157"/>
      <c r="AB733" s="157"/>
      <c r="AC733" s="157"/>
      <c r="AD733" s="157"/>
      <c r="AE733" s="157"/>
      <c r="AF733" s="157"/>
      <c r="AG733" s="157"/>
      <c r="AH733" s="126"/>
      <c r="AI733" s="157"/>
      <c r="AJ733" s="157"/>
      <c r="AK733" s="157" t="s">
        <v>323</v>
      </c>
      <c r="AL733" s="192" t="s">
        <v>293</v>
      </c>
      <c r="AM733" s="186">
        <v>0</v>
      </c>
    </row>
    <row r="734" spans="1:39" ht="112.5" x14ac:dyDescent="0.25">
      <c r="A734" s="158"/>
      <c r="B734" s="158"/>
      <c r="C734" s="158"/>
      <c r="D734" s="158"/>
      <c r="E734" s="158"/>
      <c r="F734" s="158"/>
      <c r="G734" s="157" t="s">
        <v>2697</v>
      </c>
      <c r="H734" s="157" t="s">
        <v>2698</v>
      </c>
      <c r="I734" s="157" t="s">
        <v>2699</v>
      </c>
      <c r="J734" s="173" t="s">
        <v>2700</v>
      </c>
      <c r="K734" s="890">
        <f>+(0.637*100)/1</f>
        <v>63.7</v>
      </c>
      <c r="L734" s="157" t="s">
        <v>2701</v>
      </c>
      <c r="M734" s="175"/>
      <c r="N734" s="186">
        <v>3000</v>
      </c>
      <c r="O734" s="186">
        <v>0</v>
      </c>
      <c r="P734" s="26">
        <f>+O734/N734</f>
        <v>0</v>
      </c>
      <c r="Q734" s="186" t="s">
        <v>2702</v>
      </c>
      <c r="R734" s="186" t="s">
        <v>137</v>
      </c>
      <c r="S734" s="157" t="s">
        <v>286</v>
      </c>
      <c r="T734" s="157" t="s">
        <v>90</v>
      </c>
      <c r="U734" s="446">
        <v>50000000</v>
      </c>
      <c r="V734" s="446">
        <v>50000000</v>
      </c>
      <c r="W734" s="446"/>
      <c r="X734" s="446"/>
      <c r="Y734" s="446"/>
      <c r="Z734" s="446" t="s">
        <v>55</v>
      </c>
      <c r="AA734" s="446"/>
      <c r="AB734" s="446"/>
      <c r="AC734" s="446"/>
      <c r="AD734" s="446"/>
      <c r="AE734" s="446"/>
      <c r="AF734" s="446">
        <v>50000000</v>
      </c>
      <c r="AG734" s="973">
        <v>0</v>
      </c>
      <c r="AH734" s="26">
        <f t="shared" ref="AH734" si="132">+AG734/AF734</f>
        <v>0</v>
      </c>
      <c r="AI734" s="446"/>
      <c r="AJ734" s="446"/>
      <c r="AK734" s="446" t="s">
        <v>323</v>
      </c>
      <c r="AL734" s="446" t="s">
        <v>293</v>
      </c>
      <c r="AM734" s="186">
        <v>3000</v>
      </c>
    </row>
    <row r="735" spans="1:39" ht="56.25" x14ac:dyDescent="0.25">
      <c r="A735" s="158"/>
      <c r="B735" s="158"/>
      <c r="C735" s="158"/>
      <c r="D735" s="158"/>
      <c r="E735" s="158"/>
      <c r="F735" s="158"/>
      <c r="G735" s="158"/>
      <c r="H735" s="158"/>
      <c r="I735" s="158"/>
      <c r="J735" s="173" t="s">
        <v>2703</v>
      </c>
      <c r="K735" s="890">
        <f>+(0.029*100)/1</f>
        <v>2.9000000000000004</v>
      </c>
      <c r="L735" s="157" t="s">
        <v>2704</v>
      </c>
      <c r="M735" s="175"/>
      <c r="N735" s="186">
        <v>1</v>
      </c>
      <c r="O735" s="186">
        <v>0</v>
      </c>
      <c r="P735" s="26">
        <f>+O735/N735</f>
        <v>0</v>
      </c>
      <c r="Q735" s="186" t="s">
        <v>2705</v>
      </c>
      <c r="R735" s="186" t="s">
        <v>2706</v>
      </c>
      <c r="S735" s="170"/>
      <c r="T735" s="170"/>
      <c r="U735" s="455"/>
      <c r="V735" s="455"/>
      <c r="W735" s="455"/>
      <c r="X735" s="455"/>
      <c r="Y735" s="455"/>
      <c r="Z735" s="455"/>
      <c r="AA735" s="455"/>
      <c r="AB735" s="455"/>
      <c r="AC735" s="455"/>
      <c r="AD735" s="455"/>
      <c r="AE735" s="455"/>
      <c r="AF735" s="455"/>
      <c r="AG735" s="455"/>
      <c r="AH735" s="456"/>
      <c r="AI735" s="455"/>
      <c r="AJ735" s="455"/>
      <c r="AK735" s="455"/>
      <c r="AL735" s="455"/>
      <c r="AM735" s="186">
        <v>0</v>
      </c>
    </row>
    <row r="736" spans="1:39" ht="101.25" x14ac:dyDescent="0.25">
      <c r="A736" s="158"/>
      <c r="B736" s="158"/>
      <c r="C736" s="158"/>
      <c r="D736" s="158"/>
      <c r="E736" s="158"/>
      <c r="F736" s="158"/>
      <c r="G736" s="157" t="s">
        <v>2707</v>
      </c>
      <c r="H736" s="157" t="s">
        <v>2708</v>
      </c>
      <c r="I736" s="157" t="s">
        <v>2709</v>
      </c>
      <c r="J736" s="173" t="s">
        <v>2710</v>
      </c>
      <c r="K736" s="890">
        <f>+(0.168*100)/1</f>
        <v>16.8</v>
      </c>
      <c r="L736" s="157" t="s">
        <v>2711</v>
      </c>
      <c r="M736" s="175"/>
      <c r="N736" s="186">
        <v>1</v>
      </c>
      <c r="O736" s="186">
        <v>0</v>
      </c>
      <c r="P736" s="26">
        <f t="shared" ref="P736:P737" si="133">+O736/N736</f>
        <v>0</v>
      </c>
      <c r="Q736" s="157" t="s">
        <v>2712</v>
      </c>
      <c r="R736" s="157" t="s">
        <v>1270</v>
      </c>
      <c r="S736" s="186" t="s">
        <v>90</v>
      </c>
      <c r="T736" s="157" t="s">
        <v>2713</v>
      </c>
      <c r="U736" s="767">
        <v>300000000</v>
      </c>
      <c r="V736" s="392">
        <v>300000000</v>
      </c>
      <c r="W736" s="392"/>
      <c r="X736" s="392"/>
      <c r="Y736" s="392"/>
      <c r="Z736" s="392" t="s">
        <v>55</v>
      </c>
      <c r="AA736" s="392"/>
      <c r="AB736" s="392"/>
      <c r="AC736" s="392"/>
      <c r="AD736" s="392"/>
      <c r="AE736" s="392"/>
      <c r="AF736" s="392">
        <v>300000000</v>
      </c>
      <c r="AG736" s="392">
        <v>300000000</v>
      </c>
      <c r="AH736" s="26">
        <f>+AG736/AF736</f>
        <v>1</v>
      </c>
      <c r="AI736" s="392" t="s">
        <v>56</v>
      </c>
      <c r="AJ736" s="392" t="s">
        <v>2714</v>
      </c>
      <c r="AK736" s="392" t="s">
        <v>323</v>
      </c>
      <c r="AL736" s="392" t="s">
        <v>293</v>
      </c>
      <c r="AM736" s="186">
        <v>1</v>
      </c>
    </row>
    <row r="737" spans="1:39" ht="56.25" x14ac:dyDescent="0.25">
      <c r="A737" s="158"/>
      <c r="B737" s="158"/>
      <c r="C737" s="158"/>
      <c r="D737" s="158"/>
      <c r="E737" s="158"/>
      <c r="F737" s="170"/>
      <c r="G737" s="170"/>
      <c r="H737" s="170"/>
      <c r="I737" s="170"/>
      <c r="J737" s="173" t="s">
        <v>2715</v>
      </c>
      <c r="K737" s="890">
        <f>+(0.006*100)/1</f>
        <v>0.6</v>
      </c>
      <c r="L737" s="157" t="s">
        <v>2716</v>
      </c>
      <c r="M737" s="175"/>
      <c r="N737" s="186">
        <v>1</v>
      </c>
      <c r="O737" s="186">
        <v>0</v>
      </c>
      <c r="P737" s="26">
        <f t="shared" si="133"/>
        <v>0</v>
      </c>
      <c r="Q737" s="170"/>
      <c r="R737" s="170"/>
      <c r="S737" s="170"/>
      <c r="T737" s="170"/>
      <c r="U737" s="170"/>
      <c r="V737" s="397"/>
      <c r="W737" s="397"/>
      <c r="X737" s="397"/>
      <c r="Y737" s="397"/>
      <c r="Z737" s="397"/>
      <c r="AA737" s="397"/>
      <c r="AB737" s="397"/>
      <c r="AC737" s="397"/>
      <c r="AD737" s="397"/>
      <c r="AE737" s="397"/>
      <c r="AF737" s="397"/>
      <c r="AG737" s="397"/>
      <c r="AH737" s="229"/>
      <c r="AI737" s="397"/>
      <c r="AJ737" s="397"/>
      <c r="AK737" s="397"/>
      <c r="AL737" s="397"/>
      <c r="AM737" s="186">
        <v>0</v>
      </c>
    </row>
    <row r="738" spans="1:39" ht="33.75" x14ac:dyDescent="0.25">
      <c r="A738" s="158"/>
      <c r="B738" s="158"/>
      <c r="C738" s="158"/>
      <c r="D738" s="158"/>
      <c r="E738" s="158"/>
      <c r="F738" s="110" t="s">
        <v>158</v>
      </c>
      <c r="G738" s="110"/>
      <c r="H738" s="110"/>
      <c r="I738" s="110"/>
      <c r="J738" s="143"/>
      <c r="K738" s="922">
        <f t="shared" ref="K738" si="134">SUM(K731:K737)</f>
        <v>100.10000000000001</v>
      </c>
      <c r="L738" s="126"/>
      <c r="M738" s="126"/>
      <c r="N738" s="126"/>
      <c r="O738" s="126"/>
      <c r="P738" s="126"/>
      <c r="Q738" s="126"/>
      <c r="R738" s="126"/>
      <c r="S738" s="126"/>
      <c r="T738" s="126"/>
      <c r="U738" s="126"/>
      <c r="V738" s="126"/>
      <c r="W738" s="126"/>
      <c r="X738" s="126"/>
      <c r="Y738" s="126"/>
      <c r="Z738" s="126"/>
      <c r="AA738" s="126"/>
      <c r="AB738" s="126"/>
      <c r="AC738" s="126"/>
      <c r="AD738" s="126"/>
      <c r="AE738" s="126"/>
      <c r="AF738" s="126"/>
      <c r="AG738" s="126"/>
      <c r="AH738" s="126"/>
      <c r="AI738" s="126"/>
      <c r="AJ738" s="126"/>
      <c r="AK738" s="126"/>
      <c r="AL738" s="204"/>
      <c r="AM738" s="507"/>
    </row>
    <row r="739" spans="1:39" ht="78.75" x14ac:dyDescent="0.25">
      <c r="A739" s="158"/>
      <c r="B739" s="158"/>
      <c r="C739" s="158"/>
      <c r="D739" s="158"/>
      <c r="E739" s="158"/>
      <c r="F739" s="157" t="s">
        <v>2717</v>
      </c>
      <c r="G739" s="158"/>
      <c r="H739" s="158"/>
      <c r="I739" s="158"/>
      <c r="J739" s="173" t="s">
        <v>2718</v>
      </c>
      <c r="K739" s="890">
        <f>+(0.727*100)/1</f>
        <v>72.7</v>
      </c>
      <c r="L739" s="157" t="s">
        <v>2719</v>
      </c>
      <c r="M739" s="157"/>
      <c r="N739" s="157"/>
      <c r="O739" s="157"/>
      <c r="P739" s="126"/>
      <c r="Q739" s="157"/>
      <c r="R739" s="157"/>
      <c r="S739" s="157"/>
      <c r="T739" s="157"/>
      <c r="U739" s="157"/>
      <c r="V739" s="157"/>
      <c r="W739" s="157"/>
      <c r="X739" s="157"/>
      <c r="Y739" s="157"/>
      <c r="Z739" s="157"/>
      <c r="AA739" s="157"/>
      <c r="AB739" s="157"/>
      <c r="AC739" s="157"/>
      <c r="AD739" s="157"/>
      <c r="AE739" s="157"/>
      <c r="AF739" s="157"/>
      <c r="AG739" s="157"/>
      <c r="AH739" s="126"/>
      <c r="AI739" s="157"/>
      <c r="AJ739" s="157"/>
      <c r="AK739" s="157" t="s">
        <v>323</v>
      </c>
      <c r="AL739" s="192" t="s">
        <v>293</v>
      </c>
      <c r="AM739" s="186">
        <v>6</v>
      </c>
    </row>
    <row r="740" spans="1:39" ht="112.5" x14ac:dyDescent="0.25">
      <c r="A740" s="158"/>
      <c r="B740" s="158"/>
      <c r="C740" s="158"/>
      <c r="D740" s="158"/>
      <c r="E740" s="158"/>
      <c r="F740" s="158"/>
      <c r="G740" s="173" t="s">
        <v>2720</v>
      </c>
      <c r="H740" s="173" t="s">
        <v>2721</v>
      </c>
      <c r="I740" s="186" t="s">
        <v>2722</v>
      </c>
      <c r="J740" s="173" t="s">
        <v>2723</v>
      </c>
      <c r="K740" s="890">
        <f>+(0.212*100)/1</f>
        <v>21.2</v>
      </c>
      <c r="L740" s="157" t="s">
        <v>2724</v>
      </c>
      <c r="M740" s="175"/>
      <c r="N740" s="186">
        <v>4</v>
      </c>
      <c r="O740" s="186">
        <v>0</v>
      </c>
      <c r="P740" s="26">
        <f t="shared" ref="P740" si="135">+O740/N740</f>
        <v>0</v>
      </c>
      <c r="Q740" s="186" t="s">
        <v>2725</v>
      </c>
      <c r="R740" s="186" t="s">
        <v>2726</v>
      </c>
      <c r="S740" s="186" t="s">
        <v>2713</v>
      </c>
      <c r="T740" s="186" t="s">
        <v>355</v>
      </c>
      <c r="U740" s="974">
        <v>150000000</v>
      </c>
      <c r="V740" s="974">
        <v>150000000</v>
      </c>
      <c r="W740" s="186"/>
      <c r="X740" s="186"/>
      <c r="Y740" s="186"/>
      <c r="Z740" s="186" t="s">
        <v>55</v>
      </c>
      <c r="AA740" s="186"/>
      <c r="AB740" s="186"/>
      <c r="AC740" s="186"/>
      <c r="AD740" s="186"/>
      <c r="AE740" s="186"/>
      <c r="AF740" s="974">
        <v>150000000</v>
      </c>
      <c r="AG740" s="974">
        <v>150000000</v>
      </c>
      <c r="AH740" s="26">
        <f>+AG740/AF740</f>
        <v>1</v>
      </c>
      <c r="AI740" s="186" t="s">
        <v>56</v>
      </c>
      <c r="AJ740" s="186" t="s">
        <v>2727</v>
      </c>
      <c r="AK740" s="157" t="s">
        <v>323</v>
      </c>
      <c r="AL740" s="157" t="s">
        <v>293</v>
      </c>
      <c r="AM740" s="186">
        <v>4</v>
      </c>
    </row>
    <row r="741" spans="1:39" ht="67.5" x14ac:dyDescent="0.25">
      <c r="A741" s="158"/>
      <c r="B741" s="158"/>
      <c r="C741" s="158"/>
      <c r="D741" s="158"/>
      <c r="E741" s="158"/>
      <c r="F741" s="158"/>
      <c r="G741" s="158"/>
      <c r="H741" s="158"/>
      <c r="I741" s="158"/>
      <c r="J741" s="173" t="s">
        <v>2728</v>
      </c>
      <c r="K741" s="890">
        <f t="shared" ref="K741:K755" si="136">+(0.004*100)/1</f>
        <v>0.4</v>
      </c>
      <c r="L741" s="157" t="s">
        <v>2729</v>
      </c>
      <c r="M741" s="157"/>
      <c r="N741" s="157"/>
      <c r="O741" s="157"/>
      <c r="P741" s="126"/>
      <c r="Q741" s="157"/>
      <c r="R741" s="157"/>
      <c r="S741" s="157"/>
      <c r="T741" s="157"/>
      <c r="U741" s="157"/>
      <c r="V741" s="157"/>
      <c r="W741" s="157"/>
      <c r="X741" s="157"/>
      <c r="Y741" s="157"/>
      <c r="Z741" s="157"/>
      <c r="AA741" s="157"/>
      <c r="AB741" s="157"/>
      <c r="AC741" s="157"/>
      <c r="AD741" s="157"/>
      <c r="AE741" s="157"/>
      <c r="AF741" s="157"/>
      <c r="AG741" s="157"/>
      <c r="AH741" s="126"/>
      <c r="AI741" s="157"/>
      <c r="AJ741" s="157"/>
      <c r="AK741" s="157" t="s">
        <v>323</v>
      </c>
      <c r="AL741" s="192" t="s">
        <v>293</v>
      </c>
      <c r="AM741" s="186">
        <v>1</v>
      </c>
    </row>
    <row r="742" spans="1:39" ht="67.5" x14ac:dyDescent="0.25">
      <c r="A742" s="158"/>
      <c r="B742" s="158"/>
      <c r="C742" s="158"/>
      <c r="D742" s="158"/>
      <c r="E742" s="158"/>
      <c r="F742" s="158"/>
      <c r="G742" s="158"/>
      <c r="H742" s="158"/>
      <c r="I742" s="158"/>
      <c r="J742" s="173" t="s">
        <v>2730</v>
      </c>
      <c r="K742" s="890">
        <f t="shared" si="136"/>
        <v>0.4</v>
      </c>
      <c r="L742" s="157" t="s">
        <v>2731</v>
      </c>
      <c r="M742" s="157"/>
      <c r="N742" s="157"/>
      <c r="O742" s="157"/>
      <c r="P742" s="126"/>
      <c r="Q742" s="157"/>
      <c r="R742" s="157"/>
      <c r="S742" s="157"/>
      <c r="T742" s="157"/>
      <c r="U742" s="157"/>
      <c r="V742" s="157"/>
      <c r="W742" s="157"/>
      <c r="X742" s="157"/>
      <c r="Y742" s="157"/>
      <c r="Z742" s="157"/>
      <c r="AA742" s="157"/>
      <c r="AB742" s="157"/>
      <c r="AC742" s="157"/>
      <c r="AD742" s="157"/>
      <c r="AE742" s="157"/>
      <c r="AF742" s="157"/>
      <c r="AG742" s="157"/>
      <c r="AH742" s="126"/>
      <c r="AI742" s="157"/>
      <c r="AJ742" s="157"/>
      <c r="AK742" s="157" t="s">
        <v>323</v>
      </c>
      <c r="AL742" s="192" t="s">
        <v>293</v>
      </c>
      <c r="AM742" s="186">
        <v>4</v>
      </c>
    </row>
    <row r="743" spans="1:39" ht="78.75" x14ac:dyDescent="0.25">
      <c r="A743" s="158"/>
      <c r="B743" s="158"/>
      <c r="C743" s="158"/>
      <c r="D743" s="158"/>
      <c r="E743" s="158"/>
      <c r="F743" s="158"/>
      <c r="G743" s="158"/>
      <c r="H743" s="158"/>
      <c r="I743" s="158"/>
      <c r="J743" s="173" t="s">
        <v>2732</v>
      </c>
      <c r="K743" s="890">
        <f t="shared" si="136"/>
        <v>0.4</v>
      </c>
      <c r="L743" s="157" t="s">
        <v>1475</v>
      </c>
      <c r="M743" s="157"/>
      <c r="N743" s="157"/>
      <c r="O743" s="157"/>
      <c r="P743" s="126"/>
      <c r="Q743" s="157"/>
      <c r="R743" s="157"/>
      <c r="S743" s="157"/>
      <c r="T743" s="157"/>
      <c r="U743" s="157"/>
      <c r="V743" s="157"/>
      <c r="W743" s="157"/>
      <c r="X743" s="157"/>
      <c r="Y743" s="157"/>
      <c r="Z743" s="157"/>
      <c r="AA743" s="157"/>
      <c r="AB743" s="157"/>
      <c r="AC743" s="157"/>
      <c r="AD743" s="157"/>
      <c r="AE743" s="157"/>
      <c r="AF743" s="157"/>
      <c r="AG743" s="157"/>
      <c r="AH743" s="126"/>
      <c r="AI743" s="157"/>
      <c r="AJ743" s="157"/>
      <c r="AK743" s="157" t="s">
        <v>323</v>
      </c>
      <c r="AL743" s="192" t="s">
        <v>293</v>
      </c>
      <c r="AM743" s="186">
        <v>1</v>
      </c>
    </row>
    <row r="744" spans="1:39" ht="45" x14ac:dyDescent="0.25">
      <c r="A744" s="158"/>
      <c r="B744" s="158"/>
      <c r="C744" s="158"/>
      <c r="D744" s="158"/>
      <c r="E744" s="158"/>
      <c r="F744" s="158"/>
      <c r="G744" s="158"/>
      <c r="H744" s="158"/>
      <c r="I744" s="158"/>
      <c r="J744" s="173" t="s">
        <v>2733</v>
      </c>
      <c r="K744" s="890">
        <f t="shared" si="136"/>
        <v>0.4</v>
      </c>
      <c r="L744" s="157" t="s">
        <v>1475</v>
      </c>
      <c r="M744" s="157"/>
      <c r="N744" s="157"/>
      <c r="O744" s="157"/>
      <c r="P744" s="126"/>
      <c r="Q744" s="157"/>
      <c r="R744" s="157"/>
      <c r="S744" s="157"/>
      <c r="T744" s="157"/>
      <c r="U744" s="157"/>
      <c r="V744" s="157"/>
      <c r="W744" s="157"/>
      <c r="X744" s="157"/>
      <c r="Y744" s="157"/>
      <c r="Z744" s="157"/>
      <c r="AA744" s="157"/>
      <c r="AB744" s="157"/>
      <c r="AC744" s="157"/>
      <c r="AD744" s="157"/>
      <c r="AE744" s="157"/>
      <c r="AF744" s="157"/>
      <c r="AG744" s="157"/>
      <c r="AH744" s="126"/>
      <c r="AI744" s="157"/>
      <c r="AJ744" s="157"/>
      <c r="AK744" s="157" t="s">
        <v>323</v>
      </c>
      <c r="AL744" s="192" t="s">
        <v>293</v>
      </c>
      <c r="AM744" s="186">
        <v>0</v>
      </c>
    </row>
    <row r="745" spans="1:39" ht="67.5" x14ac:dyDescent="0.25">
      <c r="A745" s="158"/>
      <c r="B745" s="158"/>
      <c r="C745" s="158"/>
      <c r="D745" s="158"/>
      <c r="E745" s="158"/>
      <c r="F745" s="158"/>
      <c r="G745" s="158"/>
      <c r="H745" s="158"/>
      <c r="I745" s="158"/>
      <c r="J745" s="173" t="s">
        <v>2734</v>
      </c>
      <c r="K745" s="890">
        <f t="shared" si="136"/>
        <v>0.4</v>
      </c>
      <c r="L745" s="157" t="s">
        <v>1475</v>
      </c>
      <c r="M745" s="157"/>
      <c r="N745" s="157"/>
      <c r="O745" s="157"/>
      <c r="P745" s="126"/>
      <c r="Q745" s="157"/>
      <c r="R745" s="157"/>
      <c r="S745" s="157"/>
      <c r="T745" s="157"/>
      <c r="U745" s="157"/>
      <c r="V745" s="157"/>
      <c r="W745" s="157"/>
      <c r="X745" s="157"/>
      <c r="Y745" s="157"/>
      <c r="Z745" s="157"/>
      <c r="AA745" s="157"/>
      <c r="AB745" s="157"/>
      <c r="AC745" s="157"/>
      <c r="AD745" s="157"/>
      <c r="AE745" s="157"/>
      <c r="AF745" s="157"/>
      <c r="AG745" s="157"/>
      <c r="AH745" s="126"/>
      <c r="AI745" s="157"/>
      <c r="AJ745" s="157"/>
      <c r="AK745" s="157" t="s">
        <v>323</v>
      </c>
      <c r="AL745" s="192" t="s">
        <v>293</v>
      </c>
      <c r="AM745" s="186">
        <v>1</v>
      </c>
    </row>
    <row r="746" spans="1:39" ht="90" x14ac:dyDescent="0.25">
      <c r="A746" s="158"/>
      <c r="B746" s="158"/>
      <c r="C746" s="158"/>
      <c r="D746" s="158"/>
      <c r="E746" s="158"/>
      <c r="F746" s="158"/>
      <c r="G746" s="158"/>
      <c r="H746" s="158"/>
      <c r="I746" s="158"/>
      <c r="J746" s="173" t="s">
        <v>2735</v>
      </c>
      <c r="K746" s="890">
        <f t="shared" si="136"/>
        <v>0.4</v>
      </c>
      <c r="L746" s="157" t="s">
        <v>1475</v>
      </c>
      <c r="M746" s="157"/>
      <c r="N746" s="157"/>
      <c r="O746" s="157"/>
      <c r="P746" s="126"/>
      <c r="Q746" s="157"/>
      <c r="R746" s="157"/>
      <c r="S746" s="157"/>
      <c r="T746" s="157"/>
      <c r="U746" s="157"/>
      <c r="V746" s="157"/>
      <c r="W746" s="157"/>
      <c r="X746" s="157"/>
      <c r="Y746" s="157"/>
      <c r="Z746" s="157"/>
      <c r="AA746" s="157"/>
      <c r="AB746" s="157"/>
      <c r="AC746" s="157"/>
      <c r="AD746" s="157"/>
      <c r="AE746" s="157"/>
      <c r="AF746" s="157"/>
      <c r="AG746" s="157"/>
      <c r="AH746" s="126"/>
      <c r="AI746" s="157"/>
      <c r="AJ746" s="157"/>
      <c r="AK746" s="157" t="s">
        <v>323</v>
      </c>
      <c r="AL746" s="192" t="s">
        <v>293</v>
      </c>
      <c r="AM746" s="186">
        <v>0</v>
      </c>
    </row>
    <row r="747" spans="1:39" ht="45" x14ac:dyDescent="0.25">
      <c r="A747" s="158"/>
      <c r="B747" s="158"/>
      <c r="C747" s="158"/>
      <c r="D747" s="158"/>
      <c r="E747" s="158"/>
      <c r="F747" s="158"/>
      <c r="G747" s="158"/>
      <c r="H747" s="158"/>
      <c r="I747" s="158"/>
      <c r="J747" s="173" t="s">
        <v>2736</v>
      </c>
      <c r="K747" s="890">
        <f t="shared" si="136"/>
        <v>0.4</v>
      </c>
      <c r="L747" s="157" t="s">
        <v>1475</v>
      </c>
      <c r="M747" s="157"/>
      <c r="N747" s="157"/>
      <c r="O747" s="157"/>
      <c r="P747" s="126"/>
      <c r="Q747" s="157"/>
      <c r="R747" s="157"/>
      <c r="S747" s="157"/>
      <c r="T747" s="157"/>
      <c r="U747" s="157"/>
      <c r="V747" s="157"/>
      <c r="W747" s="157"/>
      <c r="X747" s="157"/>
      <c r="Y747" s="157"/>
      <c r="Z747" s="157"/>
      <c r="AA747" s="157"/>
      <c r="AB747" s="157"/>
      <c r="AC747" s="157"/>
      <c r="AD747" s="157"/>
      <c r="AE747" s="157"/>
      <c r="AF747" s="157"/>
      <c r="AG747" s="157"/>
      <c r="AH747" s="126"/>
      <c r="AI747" s="157"/>
      <c r="AJ747" s="157"/>
      <c r="AK747" s="157" t="s">
        <v>323</v>
      </c>
      <c r="AL747" s="192" t="s">
        <v>293</v>
      </c>
      <c r="AM747" s="186">
        <v>0</v>
      </c>
    </row>
    <row r="748" spans="1:39" ht="56.25" x14ac:dyDescent="0.25">
      <c r="A748" s="158"/>
      <c r="B748" s="158"/>
      <c r="C748" s="158"/>
      <c r="D748" s="158"/>
      <c r="E748" s="158"/>
      <c r="F748" s="158"/>
      <c r="G748" s="158"/>
      <c r="H748" s="158"/>
      <c r="I748" s="158"/>
      <c r="J748" s="173" t="s">
        <v>2737</v>
      </c>
      <c r="K748" s="890">
        <f t="shared" si="136"/>
        <v>0.4</v>
      </c>
      <c r="L748" s="157" t="s">
        <v>2738</v>
      </c>
      <c r="M748" s="157"/>
      <c r="N748" s="157"/>
      <c r="O748" s="157"/>
      <c r="P748" s="126"/>
      <c r="Q748" s="157"/>
      <c r="R748" s="157"/>
      <c r="S748" s="157"/>
      <c r="T748" s="157"/>
      <c r="U748" s="157"/>
      <c r="V748" s="157"/>
      <c r="W748" s="157"/>
      <c r="X748" s="157"/>
      <c r="Y748" s="157"/>
      <c r="Z748" s="157"/>
      <c r="AA748" s="157"/>
      <c r="AB748" s="157"/>
      <c r="AC748" s="157"/>
      <c r="AD748" s="157"/>
      <c r="AE748" s="157"/>
      <c r="AF748" s="157"/>
      <c r="AG748" s="157"/>
      <c r="AH748" s="126"/>
      <c r="AI748" s="157"/>
      <c r="AJ748" s="157"/>
      <c r="AK748" s="157" t="s">
        <v>323</v>
      </c>
      <c r="AL748" s="192" t="s">
        <v>293</v>
      </c>
      <c r="AM748" s="186">
        <v>0</v>
      </c>
    </row>
    <row r="749" spans="1:39" ht="56.25" x14ac:dyDescent="0.25">
      <c r="A749" s="158"/>
      <c r="B749" s="158"/>
      <c r="C749" s="158"/>
      <c r="D749" s="158"/>
      <c r="E749" s="158"/>
      <c r="F749" s="158"/>
      <c r="G749" s="158"/>
      <c r="H749" s="158"/>
      <c r="I749" s="158"/>
      <c r="J749" s="173" t="s">
        <v>2739</v>
      </c>
      <c r="K749" s="890">
        <f t="shared" si="136"/>
        <v>0.4</v>
      </c>
      <c r="L749" s="157" t="s">
        <v>2738</v>
      </c>
      <c r="M749" s="157"/>
      <c r="N749" s="157"/>
      <c r="O749" s="157"/>
      <c r="P749" s="126"/>
      <c r="Q749" s="157"/>
      <c r="R749" s="157"/>
      <c r="S749" s="157"/>
      <c r="T749" s="157"/>
      <c r="U749" s="157"/>
      <c r="V749" s="157"/>
      <c r="W749" s="157"/>
      <c r="X749" s="157"/>
      <c r="Y749" s="157"/>
      <c r="Z749" s="157"/>
      <c r="AA749" s="157"/>
      <c r="AB749" s="157"/>
      <c r="AC749" s="157"/>
      <c r="AD749" s="157"/>
      <c r="AE749" s="157"/>
      <c r="AF749" s="157"/>
      <c r="AG749" s="157"/>
      <c r="AH749" s="126"/>
      <c r="AI749" s="157"/>
      <c r="AJ749" s="157"/>
      <c r="AK749" s="157" t="s">
        <v>323</v>
      </c>
      <c r="AL749" s="192" t="s">
        <v>293</v>
      </c>
      <c r="AM749" s="186">
        <v>1</v>
      </c>
    </row>
    <row r="750" spans="1:39" ht="33.75" x14ac:dyDescent="0.25">
      <c r="A750" s="158"/>
      <c r="B750" s="158"/>
      <c r="C750" s="158"/>
      <c r="D750" s="158"/>
      <c r="E750" s="158"/>
      <c r="F750" s="158"/>
      <c r="G750" s="158"/>
      <c r="H750" s="158"/>
      <c r="I750" s="158"/>
      <c r="J750" s="173" t="s">
        <v>2740</v>
      </c>
      <c r="K750" s="890">
        <f t="shared" si="136"/>
        <v>0.4</v>
      </c>
      <c r="L750" s="157" t="s">
        <v>2738</v>
      </c>
      <c r="M750" s="157"/>
      <c r="N750" s="157"/>
      <c r="O750" s="157"/>
      <c r="P750" s="126"/>
      <c r="Q750" s="157"/>
      <c r="R750" s="157"/>
      <c r="S750" s="157"/>
      <c r="T750" s="157"/>
      <c r="U750" s="157"/>
      <c r="V750" s="157"/>
      <c r="W750" s="157"/>
      <c r="X750" s="157"/>
      <c r="Y750" s="157"/>
      <c r="Z750" s="157"/>
      <c r="AA750" s="157"/>
      <c r="AB750" s="157"/>
      <c r="AC750" s="157"/>
      <c r="AD750" s="157"/>
      <c r="AE750" s="157"/>
      <c r="AF750" s="157"/>
      <c r="AG750" s="157"/>
      <c r="AH750" s="126"/>
      <c r="AI750" s="157"/>
      <c r="AJ750" s="157"/>
      <c r="AK750" s="157" t="s">
        <v>323</v>
      </c>
      <c r="AL750" s="192" t="s">
        <v>293</v>
      </c>
      <c r="AM750" s="186">
        <v>0</v>
      </c>
    </row>
    <row r="751" spans="1:39" ht="78.75" x14ac:dyDescent="0.25">
      <c r="A751" s="158"/>
      <c r="B751" s="158"/>
      <c r="C751" s="158"/>
      <c r="D751" s="158"/>
      <c r="E751" s="158"/>
      <c r="F751" s="158"/>
      <c r="G751" s="158"/>
      <c r="H751" s="158"/>
      <c r="I751" s="158"/>
      <c r="J751" s="173" t="s">
        <v>2741</v>
      </c>
      <c r="K751" s="890">
        <f t="shared" si="136"/>
        <v>0.4</v>
      </c>
      <c r="L751" s="157" t="s">
        <v>2738</v>
      </c>
      <c r="M751" s="157"/>
      <c r="N751" s="157"/>
      <c r="O751" s="157"/>
      <c r="P751" s="126"/>
      <c r="Q751" s="157"/>
      <c r="R751" s="157"/>
      <c r="S751" s="157"/>
      <c r="T751" s="157"/>
      <c r="U751" s="157"/>
      <c r="V751" s="157"/>
      <c r="W751" s="157"/>
      <c r="X751" s="157"/>
      <c r="Y751" s="157"/>
      <c r="Z751" s="157"/>
      <c r="AA751" s="157"/>
      <c r="AB751" s="157"/>
      <c r="AC751" s="157"/>
      <c r="AD751" s="157"/>
      <c r="AE751" s="157"/>
      <c r="AF751" s="157"/>
      <c r="AG751" s="157"/>
      <c r="AH751" s="126"/>
      <c r="AI751" s="157"/>
      <c r="AJ751" s="157"/>
      <c r="AK751" s="157" t="s">
        <v>323</v>
      </c>
      <c r="AL751" s="192" t="s">
        <v>293</v>
      </c>
      <c r="AM751" s="186">
        <v>0</v>
      </c>
    </row>
    <row r="752" spans="1:39" ht="56.25" x14ac:dyDescent="0.25">
      <c r="A752" s="158"/>
      <c r="B752" s="158"/>
      <c r="C752" s="158"/>
      <c r="D752" s="158"/>
      <c r="E752" s="158"/>
      <c r="F752" s="158"/>
      <c r="G752" s="158"/>
      <c r="H752" s="158"/>
      <c r="I752" s="158"/>
      <c r="J752" s="173" t="s">
        <v>2742</v>
      </c>
      <c r="K752" s="890">
        <f t="shared" si="136"/>
        <v>0.4</v>
      </c>
      <c r="L752" s="157" t="s">
        <v>2738</v>
      </c>
      <c r="M752" s="157"/>
      <c r="N752" s="157"/>
      <c r="O752" s="157"/>
      <c r="P752" s="126"/>
      <c r="Q752" s="157"/>
      <c r="R752" s="157"/>
      <c r="S752" s="157"/>
      <c r="T752" s="157"/>
      <c r="U752" s="157"/>
      <c r="V752" s="157"/>
      <c r="W752" s="157"/>
      <c r="X752" s="157"/>
      <c r="Y752" s="157"/>
      <c r="Z752" s="157"/>
      <c r="AA752" s="157"/>
      <c r="AB752" s="157"/>
      <c r="AC752" s="157"/>
      <c r="AD752" s="157"/>
      <c r="AE752" s="157"/>
      <c r="AF752" s="157"/>
      <c r="AG752" s="157"/>
      <c r="AH752" s="126"/>
      <c r="AI752" s="157"/>
      <c r="AJ752" s="157"/>
      <c r="AK752" s="157" t="s">
        <v>323</v>
      </c>
      <c r="AL752" s="192" t="s">
        <v>293</v>
      </c>
      <c r="AM752" s="186">
        <v>0</v>
      </c>
    </row>
    <row r="753" spans="1:39" ht="45" x14ac:dyDescent="0.25">
      <c r="A753" s="158"/>
      <c r="B753" s="158"/>
      <c r="C753" s="158"/>
      <c r="D753" s="158"/>
      <c r="E753" s="158"/>
      <c r="F753" s="158"/>
      <c r="G753" s="158"/>
      <c r="H753" s="158"/>
      <c r="I753" s="158"/>
      <c r="J753" s="173" t="s">
        <v>2743</v>
      </c>
      <c r="K753" s="890">
        <f t="shared" si="136"/>
        <v>0.4</v>
      </c>
      <c r="L753" s="157" t="s">
        <v>2738</v>
      </c>
      <c r="M753" s="157"/>
      <c r="N753" s="157"/>
      <c r="O753" s="157"/>
      <c r="P753" s="126"/>
      <c r="Q753" s="157"/>
      <c r="R753" s="157"/>
      <c r="S753" s="157"/>
      <c r="T753" s="157"/>
      <c r="U753" s="157"/>
      <c r="V753" s="157"/>
      <c r="W753" s="157"/>
      <c r="X753" s="157"/>
      <c r="Y753" s="157"/>
      <c r="Z753" s="157"/>
      <c r="AA753" s="157"/>
      <c r="AB753" s="157"/>
      <c r="AC753" s="157"/>
      <c r="AD753" s="157"/>
      <c r="AE753" s="157"/>
      <c r="AF753" s="157"/>
      <c r="AG753" s="157"/>
      <c r="AH753" s="126"/>
      <c r="AI753" s="157"/>
      <c r="AJ753" s="157"/>
      <c r="AK753" s="157" t="s">
        <v>323</v>
      </c>
      <c r="AL753" s="192" t="s">
        <v>293</v>
      </c>
      <c r="AM753" s="186">
        <v>0</v>
      </c>
    </row>
    <row r="754" spans="1:39" ht="56.25" x14ac:dyDescent="0.25">
      <c r="A754" s="158"/>
      <c r="B754" s="158"/>
      <c r="C754" s="158"/>
      <c r="D754" s="158"/>
      <c r="E754" s="158"/>
      <c r="F754" s="158"/>
      <c r="G754" s="158"/>
      <c r="H754" s="158"/>
      <c r="I754" s="158"/>
      <c r="J754" s="173" t="s">
        <v>2744</v>
      </c>
      <c r="K754" s="890">
        <f t="shared" si="136"/>
        <v>0.4</v>
      </c>
      <c r="L754" s="157" t="s">
        <v>2745</v>
      </c>
      <c r="M754" s="157"/>
      <c r="N754" s="157"/>
      <c r="O754" s="157"/>
      <c r="P754" s="126"/>
      <c r="Q754" s="157"/>
      <c r="R754" s="157"/>
      <c r="S754" s="157"/>
      <c r="T754" s="157"/>
      <c r="U754" s="157"/>
      <c r="V754" s="157"/>
      <c r="W754" s="157"/>
      <c r="X754" s="157"/>
      <c r="Y754" s="157"/>
      <c r="Z754" s="157"/>
      <c r="AA754" s="157"/>
      <c r="AB754" s="157"/>
      <c r="AC754" s="157"/>
      <c r="AD754" s="157"/>
      <c r="AE754" s="157"/>
      <c r="AF754" s="157"/>
      <c r="AG754" s="157"/>
      <c r="AH754" s="126"/>
      <c r="AI754" s="157"/>
      <c r="AJ754" s="157"/>
      <c r="AK754" s="157" t="s">
        <v>323</v>
      </c>
      <c r="AL754" s="192" t="s">
        <v>293</v>
      </c>
      <c r="AM754" s="186">
        <v>0</v>
      </c>
    </row>
    <row r="755" spans="1:39" ht="123.75" x14ac:dyDescent="0.25">
      <c r="A755" s="158"/>
      <c r="B755" s="158"/>
      <c r="C755" s="158"/>
      <c r="D755" s="158"/>
      <c r="E755" s="158"/>
      <c r="F755" s="170"/>
      <c r="G755" s="170"/>
      <c r="H755" s="170"/>
      <c r="I755" s="170"/>
      <c r="J755" s="173" t="s">
        <v>2746</v>
      </c>
      <c r="K755" s="890">
        <f t="shared" si="136"/>
        <v>0.4</v>
      </c>
      <c r="L755" s="157" t="s">
        <v>2067</v>
      </c>
      <c r="M755" s="157"/>
      <c r="N755" s="157"/>
      <c r="O755" s="157"/>
      <c r="P755" s="126"/>
      <c r="Q755" s="157"/>
      <c r="R755" s="157"/>
      <c r="S755" s="157"/>
      <c r="T755" s="157"/>
      <c r="U755" s="157"/>
      <c r="V755" s="157"/>
      <c r="W755" s="157"/>
      <c r="X755" s="157"/>
      <c r="Y755" s="157"/>
      <c r="Z755" s="157"/>
      <c r="AA755" s="157"/>
      <c r="AB755" s="157"/>
      <c r="AC755" s="157"/>
      <c r="AD755" s="157"/>
      <c r="AE755" s="157"/>
      <c r="AF755" s="157"/>
      <c r="AG755" s="157"/>
      <c r="AH755" s="126"/>
      <c r="AI755" s="157"/>
      <c r="AJ755" s="157"/>
      <c r="AK755" s="157" t="s">
        <v>323</v>
      </c>
      <c r="AL755" s="192" t="s">
        <v>293</v>
      </c>
      <c r="AM755" s="186">
        <v>1</v>
      </c>
    </row>
    <row r="756" spans="1:39" ht="33.75" x14ac:dyDescent="0.25">
      <c r="A756" s="158"/>
      <c r="B756" s="158"/>
      <c r="C756" s="158"/>
      <c r="D756" s="158"/>
      <c r="E756" s="158"/>
      <c r="F756" s="110" t="s">
        <v>158</v>
      </c>
      <c r="G756" s="110"/>
      <c r="H756" s="110"/>
      <c r="I756" s="110"/>
      <c r="J756" s="143"/>
      <c r="K756" s="954">
        <f t="shared" ref="K756" si="137">SUM(K739:K755)</f>
        <v>99.900000000000091</v>
      </c>
      <c r="L756" s="126"/>
      <c r="M756" s="126"/>
      <c r="N756" s="126"/>
      <c r="O756" s="126"/>
      <c r="P756" s="126"/>
      <c r="Q756" s="126"/>
      <c r="R756" s="126"/>
      <c r="S756" s="126"/>
      <c r="T756" s="126"/>
      <c r="U756" s="126"/>
      <c r="V756" s="126"/>
      <c r="W756" s="126"/>
      <c r="X756" s="126"/>
      <c r="Y756" s="126"/>
      <c r="Z756" s="126"/>
      <c r="AA756" s="126"/>
      <c r="AB756" s="126"/>
      <c r="AC756" s="126"/>
      <c r="AD756" s="126"/>
      <c r="AE756" s="126"/>
      <c r="AF756" s="126"/>
      <c r="AG756" s="126"/>
      <c r="AH756" s="126"/>
      <c r="AI756" s="126"/>
      <c r="AJ756" s="126"/>
      <c r="AK756" s="126"/>
      <c r="AL756" s="204"/>
      <c r="AM756" s="507"/>
    </row>
    <row r="757" spans="1:39" ht="33.75" x14ac:dyDescent="0.25">
      <c r="A757" s="158"/>
      <c r="B757" s="158"/>
      <c r="C757" s="158"/>
      <c r="D757" s="158"/>
      <c r="E757" s="158"/>
      <c r="F757" s="157" t="s">
        <v>2747</v>
      </c>
      <c r="G757" s="158"/>
      <c r="H757" s="158"/>
      <c r="I757" s="158"/>
      <c r="J757" s="173" t="s">
        <v>2748</v>
      </c>
      <c r="K757" s="890">
        <f>+(1.203*100)/2</f>
        <v>60.150000000000006</v>
      </c>
      <c r="L757" s="157" t="s">
        <v>2749</v>
      </c>
      <c r="M757" s="157"/>
      <c r="N757" s="157"/>
      <c r="O757" s="157"/>
      <c r="P757" s="126"/>
      <c r="Q757" s="157"/>
      <c r="R757" s="157"/>
      <c r="S757" s="157"/>
      <c r="T757" s="157"/>
      <c r="U757" s="157"/>
      <c r="V757" s="157"/>
      <c r="W757" s="157"/>
      <c r="X757" s="157"/>
      <c r="Y757" s="157"/>
      <c r="Z757" s="157"/>
      <c r="AA757" s="157"/>
      <c r="AB757" s="157"/>
      <c r="AC757" s="157"/>
      <c r="AD757" s="157"/>
      <c r="AE757" s="157"/>
      <c r="AF757" s="157"/>
      <c r="AG757" s="157"/>
      <c r="AH757" s="126"/>
      <c r="AI757" s="157"/>
      <c r="AJ757" s="157"/>
      <c r="AK757" s="157" t="s">
        <v>323</v>
      </c>
      <c r="AL757" s="192" t="s">
        <v>293</v>
      </c>
      <c r="AM757" s="186">
        <v>0</v>
      </c>
    </row>
    <row r="758" spans="1:39" ht="78.75" x14ac:dyDescent="0.25">
      <c r="A758" s="158"/>
      <c r="B758" s="158"/>
      <c r="C758" s="158"/>
      <c r="D758" s="158"/>
      <c r="E758" s="158"/>
      <c r="F758" s="158"/>
      <c r="G758" s="158"/>
      <c r="H758" s="158"/>
      <c r="I758" s="158"/>
      <c r="J758" s="173" t="s">
        <v>2750</v>
      </c>
      <c r="K758" s="890">
        <f>+(0.191*100)/2</f>
        <v>9.5500000000000007</v>
      </c>
      <c r="L758" s="157" t="s">
        <v>2751</v>
      </c>
      <c r="M758" s="157"/>
      <c r="N758" s="157"/>
      <c r="O758" s="157"/>
      <c r="P758" s="126"/>
      <c r="Q758" s="157"/>
      <c r="R758" s="157"/>
      <c r="S758" s="157"/>
      <c r="T758" s="157"/>
      <c r="U758" s="157"/>
      <c r="V758" s="157"/>
      <c r="W758" s="157"/>
      <c r="X758" s="157"/>
      <c r="Y758" s="157"/>
      <c r="Z758" s="157"/>
      <c r="AA758" s="157"/>
      <c r="AB758" s="157"/>
      <c r="AC758" s="157"/>
      <c r="AD758" s="157"/>
      <c r="AE758" s="157"/>
      <c r="AF758" s="157"/>
      <c r="AG758" s="157"/>
      <c r="AH758" s="126"/>
      <c r="AI758" s="157"/>
      <c r="AJ758" s="157"/>
      <c r="AK758" s="157" t="s">
        <v>323</v>
      </c>
      <c r="AL758" s="192" t="s">
        <v>293</v>
      </c>
      <c r="AM758" s="186">
        <v>2500</v>
      </c>
    </row>
    <row r="759" spans="1:39" ht="56.25" x14ac:dyDescent="0.25">
      <c r="A759" s="158"/>
      <c r="B759" s="158"/>
      <c r="C759" s="158"/>
      <c r="D759" s="158"/>
      <c r="E759" s="158"/>
      <c r="F759" s="158"/>
      <c r="G759" s="158"/>
      <c r="H759" s="158"/>
      <c r="I759" s="158"/>
      <c r="J759" s="173" t="s">
        <v>2752</v>
      </c>
      <c r="K759" s="890">
        <f>+(0.004*100)/2</f>
        <v>0.2</v>
      </c>
      <c r="L759" s="157" t="s">
        <v>2753</v>
      </c>
      <c r="M759" s="157"/>
      <c r="N759" s="157"/>
      <c r="O759" s="157"/>
      <c r="P759" s="126"/>
      <c r="Q759" s="157"/>
      <c r="R759" s="157"/>
      <c r="S759" s="157"/>
      <c r="T759" s="157"/>
      <c r="U759" s="157"/>
      <c r="V759" s="157"/>
      <c r="W759" s="157"/>
      <c r="X759" s="157"/>
      <c r="Y759" s="157"/>
      <c r="Z759" s="157"/>
      <c r="AA759" s="157"/>
      <c r="AB759" s="157"/>
      <c r="AC759" s="157"/>
      <c r="AD759" s="157"/>
      <c r="AE759" s="157"/>
      <c r="AF759" s="157"/>
      <c r="AG759" s="157"/>
      <c r="AH759" s="126"/>
      <c r="AI759" s="157"/>
      <c r="AJ759" s="157"/>
      <c r="AK759" s="157" t="s">
        <v>323</v>
      </c>
      <c r="AL759" s="192" t="s">
        <v>293</v>
      </c>
      <c r="AM759" s="186">
        <v>1</v>
      </c>
    </row>
    <row r="760" spans="1:39" ht="33.75" x14ac:dyDescent="0.25">
      <c r="A760" s="158"/>
      <c r="B760" s="158"/>
      <c r="C760" s="158"/>
      <c r="D760" s="158"/>
      <c r="E760" s="158"/>
      <c r="F760" s="158"/>
      <c r="G760" s="158"/>
      <c r="H760" s="158"/>
      <c r="I760" s="158"/>
      <c r="J760" s="173" t="s">
        <v>2754</v>
      </c>
      <c r="K760" s="921">
        <f>+(0.004%*100)/2</f>
        <v>2E-3</v>
      </c>
      <c r="L760" s="890" t="s">
        <v>2755</v>
      </c>
      <c r="M760" s="890"/>
      <c r="N760" s="890"/>
      <c r="O760" s="890"/>
      <c r="P760" s="975"/>
      <c r="Q760" s="890"/>
      <c r="R760" s="890"/>
      <c r="S760" s="890"/>
      <c r="T760" s="890"/>
      <c r="U760" s="890"/>
      <c r="V760" s="890"/>
      <c r="W760" s="890"/>
      <c r="X760" s="890"/>
      <c r="Y760" s="890"/>
      <c r="Z760" s="890"/>
      <c r="AA760" s="890"/>
      <c r="AB760" s="890"/>
      <c r="AC760" s="890"/>
      <c r="AD760" s="890"/>
      <c r="AE760" s="890"/>
      <c r="AF760" s="890"/>
      <c r="AG760" s="890"/>
      <c r="AH760" s="975"/>
      <c r="AI760" s="890"/>
      <c r="AJ760" s="890"/>
      <c r="AK760" s="157" t="s">
        <v>323</v>
      </c>
      <c r="AL760" s="192" t="s">
        <v>293</v>
      </c>
      <c r="AM760" s="186">
        <v>1</v>
      </c>
    </row>
    <row r="761" spans="1:39" ht="157.5" x14ac:dyDescent="0.25">
      <c r="A761" s="158"/>
      <c r="B761" s="158"/>
      <c r="C761" s="158"/>
      <c r="D761" s="158"/>
      <c r="E761" s="158"/>
      <c r="F761" s="158"/>
      <c r="G761" s="173" t="s">
        <v>2756</v>
      </c>
      <c r="H761" s="173" t="s">
        <v>2757</v>
      </c>
      <c r="I761" s="173" t="s">
        <v>2758</v>
      </c>
      <c r="J761" s="173" t="s">
        <v>2759</v>
      </c>
      <c r="K761" s="890">
        <f>+(0.09*100)/2</f>
        <v>4.5</v>
      </c>
      <c r="L761" s="157" t="s">
        <v>2760</v>
      </c>
      <c r="M761" s="976">
        <v>200</v>
      </c>
      <c r="N761" s="186">
        <v>100</v>
      </c>
      <c r="O761" s="186">
        <v>300</v>
      </c>
      <c r="P761" s="26">
        <f t="shared" ref="P761" si="138">+O761/N761</f>
        <v>3</v>
      </c>
      <c r="Q761" s="186" t="s">
        <v>2761</v>
      </c>
      <c r="R761" s="186" t="s">
        <v>2762</v>
      </c>
      <c r="S761" s="186" t="s">
        <v>460</v>
      </c>
      <c r="T761" s="186" t="s">
        <v>89</v>
      </c>
      <c r="U761" s="973">
        <v>150000000</v>
      </c>
      <c r="V761" s="973">
        <v>150000000</v>
      </c>
      <c r="W761" s="186" t="s">
        <v>55</v>
      </c>
      <c r="X761" s="186"/>
      <c r="Y761" s="186"/>
      <c r="Z761" s="186" t="s">
        <v>55</v>
      </c>
      <c r="AA761" s="186"/>
      <c r="AB761" s="186"/>
      <c r="AC761" s="186"/>
      <c r="AD761" s="186"/>
      <c r="AE761" s="186"/>
      <c r="AF761" s="973">
        <v>150000000</v>
      </c>
      <c r="AG761" s="969">
        <v>149992640</v>
      </c>
      <c r="AH761" s="26">
        <f>+AG761/AF761</f>
        <v>0.99995093333333329</v>
      </c>
      <c r="AI761" s="186" t="s">
        <v>2763</v>
      </c>
      <c r="AJ761" s="186" t="s">
        <v>2764</v>
      </c>
      <c r="AK761" s="157" t="s">
        <v>323</v>
      </c>
      <c r="AL761" s="157" t="s">
        <v>1907</v>
      </c>
      <c r="AM761" s="186">
        <v>100</v>
      </c>
    </row>
    <row r="762" spans="1:39" ht="45" x14ac:dyDescent="0.25">
      <c r="A762" s="158"/>
      <c r="B762" s="158"/>
      <c r="C762" s="158"/>
      <c r="D762" s="158"/>
      <c r="E762" s="158"/>
      <c r="F762" s="158"/>
      <c r="G762" s="158"/>
      <c r="H762" s="158"/>
      <c r="I762" s="158"/>
      <c r="J762" s="173" t="s">
        <v>2765</v>
      </c>
      <c r="K762" s="890">
        <f>+(0.03*100)/2</f>
        <v>1.5</v>
      </c>
      <c r="L762" s="157" t="s">
        <v>1797</v>
      </c>
      <c r="M762" s="157"/>
      <c r="N762" s="157"/>
      <c r="O762" s="157"/>
      <c r="P762" s="126"/>
      <c r="Q762" s="157"/>
      <c r="R762" s="157"/>
      <c r="S762" s="157"/>
      <c r="T762" s="157"/>
      <c r="U762" s="157"/>
      <c r="V762" s="157"/>
      <c r="W762" s="157"/>
      <c r="X762" s="157"/>
      <c r="Y762" s="157"/>
      <c r="Z762" s="157"/>
      <c r="AA762" s="157"/>
      <c r="AB762" s="157"/>
      <c r="AC762" s="157"/>
      <c r="AD762" s="157"/>
      <c r="AE762" s="157"/>
      <c r="AF762" s="157"/>
      <c r="AG762" s="157"/>
      <c r="AH762" s="126"/>
      <c r="AI762" s="157"/>
      <c r="AJ762" s="157"/>
      <c r="AK762" s="157" t="s">
        <v>323</v>
      </c>
      <c r="AL762" s="192" t="s">
        <v>293</v>
      </c>
      <c r="AM762" s="186">
        <v>0</v>
      </c>
    </row>
    <row r="763" spans="1:39" ht="33.75" x14ac:dyDescent="0.25">
      <c r="A763" s="158"/>
      <c r="B763" s="158"/>
      <c r="C763" s="158"/>
      <c r="D763" s="158"/>
      <c r="E763" s="158"/>
      <c r="F763" s="158"/>
      <c r="G763" s="158"/>
      <c r="H763" s="158"/>
      <c r="I763" s="158"/>
      <c r="J763" s="173" t="s">
        <v>2766</v>
      </c>
      <c r="K763" s="890">
        <f>+(0.01*100)/2</f>
        <v>0.5</v>
      </c>
      <c r="L763" s="157" t="s">
        <v>2767</v>
      </c>
      <c r="M763" s="157"/>
      <c r="N763" s="157"/>
      <c r="O763" s="157"/>
      <c r="P763" s="126"/>
      <c r="Q763" s="157"/>
      <c r="R763" s="157"/>
      <c r="S763" s="157"/>
      <c r="T763" s="157"/>
      <c r="U763" s="157"/>
      <c r="V763" s="157"/>
      <c r="W763" s="157"/>
      <c r="X763" s="157"/>
      <c r="Y763" s="157"/>
      <c r="Z763" s="157"/>
      <c r="AA763" s="157"/>
      <c r="AB763" s="157"/>
      <c r="AC763" s="157"/>
      <c r="AD763" s="157"/>
      <c r="AE763" s="157"/>
      <c r="AF763" s="157"/>
      <c r="AG763" s="157"/>
      <c r="AH763" s="126"/>
      <c r="AI763" s="157"/>
      <c r="AJ763" s="157"/>
      <c r="AK763" s="157" t="s">
        <v>323</v>
      </c>
      <c r="AL763" s="192" t="s">
        <v>293</v>
      </c>
      <c r="AM763" s="186">
        <v>0</v>
      </c>
    </row>
    <row r="764" spans="1:39" ht="33.75" x14ac:dyDescent="0.25">
      <c r="A764" s="158"/>
      <c r="B764" s="158"/>
      <c r="C764" s="158"/>
      <c r="D764" s="158"/>
      <c r="E764" s="158"/>
      <c r="F764" s="158"/>
      <c r="G764" s="158"/>
      <c r="H764" s="158"/>
      <c r="I764" s="158"/>
      <c r="J764" s="173" t="s">
        <v>2768</v>
      </c>
      <c r="K764" s="890">
        <f>+(0.2*100)/2</f>
        <v>10</v>
      </c>
      <c r="L764" s="157" t="s">
        <v>2769</v>
      </c>
      <c r="M764" s="157"/>
      <c r="N764" s="157"/>
      <c r="O764" s="157"/>
      <c r="P764" s="126"/>
      <c r="Q764" s="157"/>
      <c r="R764" s="157"/>
      <c r="S764" s="157"/>
      <c r="T764" s="157"/>
      <c r="U764" s="157"/>
      <c r="V764" s="157"/>
      <c r="W764" s="157"/>
      <c r="X764" s="157"/>
      <c r="Y764" s="157"/>
      <c r="Z764" s="157"/>
      <c r="AA764" s="157"/>
      <c r="AB764" s="157"/>
      <c r="AC764" s="157"/>
      <c r="AD764" s="157"/>
      <c r="AE764" s="157"/>
      <c r="AF764" s="157"/>
      <c r="AG764" s="157"/>
      <c r="AH764" s="126"/>
      <c r="AI764" s="157"/>
      <c r="AJ764" s="157"/>
      <c r="AK764" s="157" t="s">
        <v>323</v>
      </c>
      <c r="AL764" s="192" t="s">
        <v>293</v>
      </c>
      <c r="AM764" s="186">
        <v>3</v>
      </c>
    </row>
    <row r="765" spans="1:39" ht="45" x14ac:dyDescent="0.25">
      <c r="A765" s="158"/>
      <c r="B765" s="158"/>
      <c r="C765" s="158"/>
      <c r="D765" s="158"/>
      <c r="E765" s="158"/>
      <c r="F765" s="158"/>
      <c r="G765" s="158"/>
      <c r="H765" s="158"/>
      <c r="I765" s="158"/>
      <c r="J765" s="173" t="s">
        <v>2770</v>
      </c>
      <c r="K765" s="890">
        <f>+(0.21*100)/2</f>
        <v>10.5</v>
      </c>
      <c r="L765" s="157" t="s">
        <v>2771</v>
      </c>
      <c r="M765" s="157"/>
      <c r="N765" s="157"/>
      <c r="O765" s="157"/>
      <c r="P765" s="126"/>
      <c r="Q765" s="157"/>
      <c r="R765" s="157"/>
      <c r="S765" s="157"/>
      <c r="T765" s="157"/>
      <c r="U765" s="157"/>
      <c r="V765" s="157"/>
      <c r="W765" s="157"/>
      <c r="X765" s="157"/>
      <c r="Y765" s="157"/>
      <c r="Z765" s="157"/>
      <c r="AA765" s="157"/>
      <c r="AB765" s="157"/>
      <c r="AC765" s="157"/>
      <c r="AD765" s="157"/>
      <c r="AE765" s="157"/>
      <c r="AF765" s="157"/>
      <c r="AG765" s="157"/>
      <c r="AH765" s="126"/>
      <c r="AI765" s="157"/>
      <c r="AJ765" s="157"/>
      <c r="AK765" s="157" t="s">
        <v>323</v>
      </c>
      <c r="AL765" s="192" t="s">
        <v>293</v>
      </c>
      <c r="AM765" s="186">
        <v>1</v>
      </c>
    </row>
    <row r="766" spans="1:39" ht="33.75" x14ac:dyDescent="0.25">
      <c r="A766" s="158"/>
      <c r="B766" s="158"/>
      <c r="C766" s="158"/>
      <c r="D766" s="158"/>
      <c r="E766" s="158"/>
      <c r="F766" s="158"/>
      <c r="G766" s="158"/>
      <c r="H766" s="158"/>
      <c r="I766" s="158"/>
      <c r="J766" s="173" t="s">
        <v>2772</v>
      </c>
      <c r="K766" s="890">
        <f>+(0.01*100)/2</f>
        <v>0.5</v>
      </c>
      <c r="L766" s="157" t="s">
        <v>2773</v>
      </c>
      <c r="M766" s="157"/>
      <c r="N766" s="157"/>
      <c r="O766" s="157"/>
      <c r="P766" s="126"/>
      <c r="Q766" s="157"/>
      <c r="R766" s="157"/>
      <c r="S766" s="157"/>
      <c r="T766" s="157"/>
      <c r="U766" s="157"/>
      <c r="V766" s="157"/>
      <c r="W766" s="157"/>
      <c r="X766" s="157"/>
      <c r="Y766" s="157"/>
      <c r="Z766" s="157"/>
      <c r="AA766" s="157"/>
      <c r="AB766" s="157"/>
      <c r="AC766" s="157"/>
      <c r="AD766" s="157"/>
      <c r="AE766" s="157"/>
      <c r="AF766" s="157"/>
      <c r="AG766" s="157"/>
      <c r="AH766" s="126"/>
      <c r="AI766" s="157"/>
      <c r="AJ766" s="157"/>
      <c r="AK766" s="157" t="s">
        <v>323</v>
      </c>
      <c r="AL766" s="192" t="s">
        <v>293</v>
      </c>
      <c r="AM766" s="186">
        <v>0</v>
      </c>
    </row>
    <row r="767" spans="1:39" ht="67.5" x14ac:dyDescent="0.25">
      <c r="A767" s="170"/>
      <c r="B767" s="170"/>
      <c r="C767" s="170"/>
      <c r="D767" s="170"/>
      <c r="E767" s="170"/>
      <c r="F767" s="170"/>
      <c r="G767" s="170"/>
      <c r="H767" s="170"/>
      <c r="I767" s="170"/>
      <c r="J767" s="173" t="s">
        <v>2774</v>
      </c>
      <c r="K767" s="890">
        <f>+(0.052*100)/2</f>
        <v>2.6</v>
      </c>
      <c r="L767" s="157" t="s">
        <v>2775</v>
      </c>
      <c r="M767" s="157"/>
      <c r="N767" s="157"/>
      <c r="O767" s="157"/>
      <c r="P767" s="126"/>
      <c r="Q767" s="157"/>
      <c r="R767" s="157"/>
      <c r="S767" s="157"/>
      <c r="T767" s="157"/>
      <c r="U767" s="157"/>
      <c r="V767" s="157"/>
      <c r="W767" s="157"/>
      <c r="X767" s="157"/>
      <c r="Y767" s="157"/>
      <c r="Z767" s="157"/>
      <c r="AA767" s="157"/>
      <c r="AB767" s="157"/>
      <c r="AC767" s="157"/>
      <c r="AD767" s="157"/>
      <c r="AE767" s="157"/>
      <c r="AF767" s="157"/>
      <c r="AG767" s="157"/>
      <c r="AH767" s="126"/>
      <c r="AI767" s="157"/>
      <c r="AJ767" s="157"/>
      <c r="AK767" s="157" t="s">
        <v>323</v>
      </c>
      <c r="AL767" s="192" t="s">
        <v>293</v>
      </c>
      <c r="AM767" s="186">
        <v>0</v>
      </c>
    </row>
    <row r="768" spans="1:39" ht="33.75" x14ac:dyDescent="0.25">
      <c r="A768" s="143"/>
      <c r="B768" s="143"/>
      <c r="C768" s="143"/>
      <c r="D768" s="143"/>
      <c r="E768" s="143"/>
      <c r="F768" s="110" t="s">
        <v>158</v>
      </c>
      <c r="G768" s="110"/>
      <c r="H768" s="110"/>
      <c r="I768" s="110"/>
      <c r="J768" s="871"/>
      <c r="K768" s="872">
        <f>SUM(K757:K767)</f>
        <v>100.002</v>
      </c>
      <c r="L768" s="143"/>
      <c r="M768" s="143"/>
      <c r="N768" s="143"/>
      <c r="O768" s="143"/>
      <c r="P768" s="143"/>
      <c r="Q768" s="143"/>
      <c r="R768" s="143"/>
      <c r="S768" s="143"/>
      <c r="T768" s="143"/>
      <c r="U768" s="143"/>
      <c r="V768" s="143"/>
      <c r="W768" s="143"/>
      <c r="X768" s="143"/>
      <c r="Y768" s="143"/>
      <c r="Z768" s="143"/>
      <c r="AA768" s="143"/>
      <c r="AB768" s="143"/>
      <c r="AC768" s="143"/>
      <c r="AD768" s="143"/>
      <c r="AE768" s="143"/>
      <c r="AF768" s="143"/>
      <c r="AG768" s="143"/>
      <c r="AH768" s="143"/>
      <c r="AI768" s="143"/>
      <c r="AJ768" s="143"/>
      <c r="AK768" s="871"/>
      <c r="AL768" s="871"/>
      <c r="AM768" s="977"/>
    </row>
    <row r="769" spans="1:39" ht="22.5" x14ac:dyDescent="0.25">
      <c r="A769" s="279"/>
      <c r="B769" s="279"/>
      <c r="C769" s="279"/>
      <c r="D769" s="279" t="s">
        <v>376</v>
      </c>
      <c r="E769" s="279"/>
      <c r="F769" s="279"/>
      <c r="G769" s="279"/>
      <c r="H769" s="279"/>
      <c r="I769" s="279"/>
      <c r="J769" s="279"/>
      <c r="K769" s="978"/>
      <c r="L769" s="279"/>
      <c r="M769" s="279"/>
      <c r="N769" s="279"/>
      <c r="O769" s="279"/>
      <c r="P769" s="142"/>
      <c r="Q769" s="279"/>
      <c r="R769" s="279"/>
      <c r="S769" s="279"/>
      <c r="T769" s="279"/>
      <c r="U769" s="279"/>
      <c r="V769" s="279"/>
      <c r="W769" s="279"/>
      <c r="X769" s="279"/>
      <c r="Y769" s="279"/>
      <c r="Z769" s="279"/>
      <c r="AA769" s="279"/>
      <c r="AB769" s="279"/>
      <c r="AC769" s="279"/>
      <c r="AD769" s="279"/>
      <c r="AE769" s="279"/>
      <c r="AF769" s="279"/>
      <c r="AG769" s="279"/>
      <c r="AH769" s="142"/>
      <c r="AI769" s="279"/>
      <c r="AJ769" s="279"/>
      <c r="AK769" s="279"/>
      <c r="AL769" s="639"/>
      <c r="AM769" s="279"/>
    </row>
    <row r="770" spans="1:39" x14ac:dyDescent="0.25">
      <c r="A770" s="887" t="s">
        <v>527</v>
      </c>
      <c r="B770" s="887"/>
      <c r="C770" s="887"/>
      <c r="D770" s="887"/>
      <c r="E770" s="887"/>
      <c r="F770" s="887"/>
      <c r="G770" s="887"/>
      <c r="H770" s="887"/>
      <c r="I770" s="887"/>
      <c r="J770" s="887"/>
      <c r="K770" s="979"/>
      <c r="L770" s="887"/>
      <c r="M770" s="887"/>
      <c r="N770" s="887"/>
      <c r="O770" s="887"/>
      <c r="P770" s="980"/>
      <c r="Q770" s="887"/>
      <c r="R770" s="887"/>
      <c r="S770" s="887"/>
      <c r="T770" s="887"/>
      <c r="U770" s="887"/>
      <c r="V770" s="887"/>
      <c r="W770" s="887"/>
      <c r="X770" s="887"/>
      <c r="Y770" s="887"/>
      <c r="Z770" s="887"/>
      <c r="AA770" s="887"/>
      <c r="AB770" s="887"/>
      <c r="AC770" s="887"/>
      <c r="AD770" s="887"/>
      <c r="AE770" s="887"/>
      <c r="AF770" s="887"/>
      <c r="AG770" s="887"/>
      <c r="AH770" s="980"/>
      <c r="AI770" s="887"/>
      <c r="AJ770" s="887"/>
      <c r="AK770" s="887"/>
      <c r="AL770" s="887"/>
      <c r="AM770" s="887"/>
    </row>
    <row r="771" spans="1:39" ht="67.5" x14ac:dyDescent="0.25">
      <c r="A771" s="266" t="s">
        <v>2776</v>
      </c>
      <c r="B771" s="266" t="s">
        <v>2777</v>
      </c>
      <c r="C771" s="266"/>
      <c r="D771" s="139" t="s">
        <v>2778</v>
      </c>
      <c r="E771" s="139"/>
      <c r="F771" s="139" t="s">
        <v>2779</v>
      </c>
      <c r="G771" s="266"/>
      <c r="H771" s="266"/>
      <c r="I771" s="266"/>
      <c r="J771" s="981" t="s">
        <v>2780</v>
      </c>
      <c r="K771" s="284">
        <f>+(0.081*100)/2</f>
        <v>4.05</v>
      </c>
      <c r="L771" s="981" t="s">
        <v>2781</v>
      </c>
      <c r="M771" s="981"/>
      <c r="N771" s="981"/>
      <c r="O771" s="981"/>
      <c r="P771" s="982"/>
      <c r="Q771" s="981"/>
      <c r="R771" s="981"/>
      <c r="S771" s="981"/>
      <c r="T771" s="981"/>
      <c r="U771" s="981"/>
      <c r="V771" s="981"/>
      <c r="W771" s="981"/>
      <c r="X771" s="981"/>
      <c r="Y771" s="981"/>
      <c r="Z771" s="981"/>
      <c r="AA771" s="981"/>
      <c r="AB771" s="981"/>
      <c r="AC771" s="981"/>
      <c r="AD771" s="981"/>
      <c r="AE771" s="981"/>
      <c r="AF771" s="981"/>
      <c r="AG771" s="981"/>
      <c r="AH771" s="982"/>
      <c r="AI771" s="981"/>
      <c r="AJ771" s="981"/>
      <c r="AK771" s="983" t="s">
        <v>292</v>
      </c>
      <c r="AL771" s="984" t="s">
        <v>2782</v>
      </c>
      <c r="AM771" s="265">
        <v>0</v>
      </c>
    </row>
    <row r="772" spans="1:39" ht="90" x14ac:dyDescent="0.25">
      <c r="A772" s="351"/>
      <c r="B772" s="351"/>
      <c r="C772" s="351"/>
      <c r="D772" s="266"/>
      <c r="E772" s="266"/>
      <c r="F772" s="266"/>
      <c r="G772" s="266"/>
      <c r="H772" s="266"/>
      <c r="I772" s="266"/>
      <c r="J772" s="981" t="s">
        <v>2783</v>
      </c>
      <c r="K772" s="284">
        <f>+(0.131*100)/2</f>
        <v>6.5500000000000007</v>
      </c>
      <c r="L772" s="981" t="s">
        <v>2784</v>
      </c>
      <c r="M772" s="981"/>
      <c r="N772" s="981"/>
      <c r="O772" s="981"/>
      <c r="P772" s="982"/>
      <c r="Q772" s="981"/>
      <c r="R772" s="981"/>
      <c r="S772" s="981"/>
      <c r="T772" s="981"/>
      <c r="U772" s="981"/>
      <c r="V772" s="981"/>
      <c r="W772" s="981"/>
      <c r="X772" s="981"/>
      <c r="Y772" s="981"/>
      <c r="Z772" s="981"/>
      <c r="AA772" s="981"/>
      <c r="AB772" s="981"/>
      <c r="AC772" s="981"/>
      <c r="AD772" s="981"/>
      <c r="AE772" s="981"/>
      <c r="AF772" s="981"/>
      <c r="AG772" s="981"/>
      <c r="AH772" s="982"/>
      <c r="AI772" s="981"/>
      <c r="AJ772" s="981"/>
      <c r="AK772" s="983" t="s">
        <v>292</v>
      </c>
      <c r="AL772" s="984" t="s">
        <v>2782</v>
      </c>
      <c r="AM772" s="265">
        <v>1</v>
      </c>
    </row>
    <row r="773" spans="1:39" ht="45" x14ac:dyDescent="0.25">
      <c r="A773" s="351"/>
      <c r="B773" s="351"/>
      <c r="C773" s="351"/>
      <c r="D773" s="266"/>
      <c r="E773" s="266"/>
      <c r="F773" s="266"/>
      <c r="G773" s="266"/>
      <c r="H773" s="266"/>
      <c r="I773" s="266"/>
      <c r="J773" s="981" t="s">
        <v>2785</v>
      </c>
      <c r="K773" s="284">
        <f>+(0.08*100)/2</f>
        <v>4</v>
      </c>
      <c r="L773" s="981" t="s">
        <v>2274</v>
      </c>
      <c r="M773" s="981"/>
      <c r="N773" s="981"/>
      <c r="O773" s="981"/>
      <c r="P773" s="982"/>
      <c r="Q773" s="981"/>
      <c r="R773" s="981"/>
      <c r="S773" s="981"/>
      <c r="T773" s="981"/>
      <c r="U773" s="981"/>
      <c r="V773" s="981"/>
      <c r="W773" s="981"/>
      <c r="X773" s="981"/>
      <c r="Y773" s="981"/>
      <c r="Z773" s="981"/>
      <c r="AA773" s="981"/>
      <c r="AB773" s="981"/>
      <c r="AC773" s="981"/>
      <c r="AD773" s="981"/>
      <c r="AE773" s="981"/>
      <c r="AF773" s="981"/>
      <c r="AG773" s="981"/>
      <c r="AH773" s="982"/>
      <c r="AI773" s="981"/>
      <c r="AJ773" s="981"/>
      <c r="AK773" s="983" t="s">
        <v>292</v>
      </c>
      <c r="AL773" s="984" t="s">
        <v>2782</v>
      </c>
      <c r="AM773" s="265">
        <v>0</v>
      </c>
    </row>
    <row r="774" spans="1:39" ht="57" thickBot="1" x14ac:dyDescent="0.3">
      <c r="A774" s="351"/>
      <c r="B774" s="351"/>
      <c r="C774" s="351"/>
      <c r="D774" s="266"/>
      <c r="E774" s="266"/>
      <c r="F774" s="266"/>
      <c r="G774" s="266"/>
      <c r="H774" s="266"/>
      <c r="I774" s="266"/>
      <c r="J774" s="985" t="s">
        <v>2786</v>
      </c>
      <c r="K774" s="366">
        <f>+(0.1*100)/2</f>
        <v>5</v>
      </c>
      <c r="L774" s="981" t="s">
        <v>2787</v>
      </c>
      <c r="M774" s="981"/>
      <c r="N774" s="981"/>
      <c r="O774" s="981"/>
      <c r="P774" s="982"/>
      <c r="Q774" s="981"/>
      <c r="R774" s="981"/>
      <c r="S774" s="981"/>
      <c r="T774" s="981"/>
      <c r="U774" s="981"/>
      <c r="V774" s="981"/>
      <c r="W774" s="981"/>
      <c r="X774" s="981"/>
      <c r="Y774" s="981"/>
      <c r="Z774" s="981"/>
      <c r="AA774" s="981"/>
      <c r="AB774" s="981"/>
      <c r="AC774" s="981"/>
      <c r="AD774" s="981"/>
      <c r="AE774" s="981"/>
      <c r="AF774" s="981"/>
      <c r="AG774" s="981"/>
      <c r="AH774" s="982"/>
      <c r="AI774" s="981"/>
      <c r="AJ774" s="981"/>
      <c r="AK774" s="983" t="s">
        <v>292</v>
      </c>
      <c r="AL774" s="984" t="s">
        <v>2782</v>
      </c>
      <c r="AM774" s="265">
        <v>0</v>
      </c>
    </row>
    <row r="775" spans="1:39" ht="113.25" thickBot="1" x14ac:dyDescent="0.3">
      <c r="A775" s="351"/>
      <c r="B775" s="351"/>
      <c r="C775" s="351"/>
      <c r="D775" s="266"/>
      <c r="E775" s="266"/>
      <c r="F775" s="266"/>
      <c r="G775" s="329" t="s">
        <v>2788</v>
      </c>
      <c r="H775" s="211"/>
      <c r="I775" s="986"/>
      <c r="J775" s="987" t="s">
        <v>2789</v>
      </c>
      <c r="K775" s="366">
        <f>+(0.37*100)/2</f>
        <v>18.5</v>
      </c>
      <c r="L775" s="988" t="s">
        <v>229</v>
      </c>
      <c r="M775" s="206"/>
      <c r="N775" s="209">
        <v>1</v>
      </c>
      <c r="O775" s="209">
        <v>1</v>
      </c>
      <c r="P775" s="644">
        <f>+O775/N775</f>
        <v>1</v>
      </c>
      <c r="Q775" s="209" t="s">
        <v>2790</v>
      </c>
      <c r="R775" s="209" t="s">
        <v>598</v>
      </c>
      <c r="S775" s="209" t="s">
        <v>54</v>
      </c>
      <c r="T775" s="209" t="s">
        <v>2791</v>
      </c>
      <c r="U775" s="317">
        <f>+'[2]POAI '!$K$89</f>
        <v>140000000</v>
      </c>
      <c r="V775" s="317">
        <f>+'[2]POAI '!$K$89</f>
        <v>140000000</v>
      </c>
      <c r="W775" s="209" t="s">
        <v>55</v>
      </c>
      <c r="X775" s="209"/>
      <c r="Y775" s="209"/>
      <c r="Z775" s="209"/>
      <c r="AA775" s="209"/>
      <c r="AB775" s="209"/>
      <c r="AC775" s="209"/>
      <c r="AD775" s="209"/>
      <c r="AE775" s="209"/>
      <c r="AF775" s="317">
        <f>+'[2]POAI '!$K$89</f>
        <v>140000000</v>
      </c>
      <c r="AG775" s="318">
        <v>139999240</v>
      </c>
      <c r="AH775" s="119">
        <f>+AG775/AF775</f>
        <v>0.9999945714285714</v>
      </c>
      <c r="AI775" s="209"/>
      <c r="AJ775" s="209" t="s">
        <v>2792</v>
      </c>
      <c r="AK775" s="983" t="s">
        <v>292</v>
      </c>
      <c r="AL775" s="984" t="s">
        <v>2782</v>
      </c>
      <c r="AM775" s="265">
        <v>1</v>
      </c>
    </row>
    <row r="776" spans="1:39" ht="56.25" x14ac:dyDescent="0.25">
      <c r="A776" s="351"/>
      <c r="B776" s="351"/>
      <c r="C776" s="351"/>
      <c r="D776" s="266"/>
      <c r="E776" s="266"/>
      <c r="F776" s="266"/>
      <c r="G776" s="217" t="s">
        <v>2793</v>
      </c>
      <c r="H776" s="211"/>
      <c r="I776" s="986"/>
      <c r="J776" s="989"/>
      <c r="K776" s="373"/>
      <c r="L776" s="990"/>
      <c r="M776" s="206"/>
      <c r="N776" s="209">
        <v>1</v>
      </c>
      <c r="O776" s="209">
        <v>1</v>
      </c>
      <c r="P776" s="644">
        <f>+O776/N776</f>
        <v>1</v>
      </c>
      <c r="Q776" s="209" t="s">
        <v>2794</v>
      </c>
      <c r="R776" s="209" t="s">
        <v>598</v>
      </c>
      <c r="S776" s="209" t="s">
        <v>74</v>
      </c>
      <c r="T776" s="209" t="s">
        <v>966</v>
      </c>
      <c r="U776" s="317">
        <f>+'[2]POAI '!$K$96</f>
        <v>51000000</v>
      </c>
      <c r="V776" s="317">
        <f>+'[2]POAI '!$K$96</f>
        <v>51000000</v>
      </c>
      <c r="W776" s="209" t="s">
        <v>55</v>
      </c>
      <c r="X776" s="209"/>
      <c r="Y776" s="209"/>
      <c r="Z776" s="209"/>
      <c r="AA776" s="209"/>
      <c r="AB776" s="209"/>
      <c r="AC776" s="209"/>
      <c r="AD776" s="209"/>
      <c r="AE776" s="209"/>
      <c r="AF776" s="317">
        <f>+'[2]POAI '!$K$96</f>
        <v>51000000</v>
      </c>
      <c r="AG776" s="318">
        <v>50999284</v>
      </c>
      <c r="AH776" s="119">
        <f t="shared" ref="AH776" si="139">+AG776/AF776</f>
        <v>0.99998596078431368</v>
      </c>
      <c r="AI776" s="209"/>
      <c r="AJ776" s="209" t="s">
        <v>2795</v>
      </c>
      <c r="AK776" s="983"/>
      <c r="AL776" s="984"/>
      <c r="AM776" s="265"/>
    </row>
    <row r="777" spans="1:39" ht="45" x14ac:dyDescent="0.25">
      <c r="A777" s="351"/>
      <c r="B777" s="351"/>
      <c r="C777" s="351"/>
      <c r="D777" s="266"/>
      <c r="E777" s="266"/>
      <c r="F777" s="266"/>
      <c r="G777" s="266"/>
      <c r="H777" s="266"/>
      <c r="I777" s="266"/>
      <c r="J777" s="991" t="s">
        <v>2796</v>
      </c>
      <c r="K777" s="373">
        <f>+(0.092*100)/2</f>
        <v>4.5999999999999996</v>
      </c>
      <c r="L777" s="981" t="s">
        <v>2797</v>
      </c>
      <c r="M777" s="981"/>
      <c r="N777" s="981"/>
      <c r="O777" s="981"/>
      <c r="P777" s="982"/>
      <c r="Q777" s="981"/>
      <c r="R777" s="981"/>
      <c r="S777" s="981"/>
      <c r="T777" s="981"/>
      <c r="U777" s="981"/>
      <c r="V777" s="981"/>
      <c r="W777" s="981"/>
      <c r="X777" s="981"/>
      <c r="Y777" s="981"/>
      <c r="Z777" s="981"/>
      <c r="AA777" s="981"/>
      <c r="AB777" s="981"/>
      <c r="AC777" s="981"/>
      <c r="AD777" s="981"/>
      <c r="AE777" s="981"/>
      <c r="AF777" s="981"/>
      <c r="AG777" s="981"/>
      <c r="AH777" s="982"/>
      <c r="AI777" s="981"/>
      <c r="AJ777" s="981"/>
      <c r="AK777" s="983" t="s">
        <v>292</v>
      </c>
      <c r="AL777" s="984" t="s">
        <v>2782</v>
      </c>
      <c r="AM777" s="992">
        <v>0.3</v>
      </c>
    </row>
    <row r="778" spans="1:39" ht="79.5" thickBot="1" x14ac:dyDescent="0.3">
      <c r="A778" s="351"/>
      <c r="B778" s="351"/>
      <c r="C778" s="351"/>
      <c r="D778" s="266"/>
      <c r="E778" s="266"/>
      <c r="F778" s="266"/>
      <c r="G778" s="266"/>
      <c r="H778" s="266"/>
      <c r="I778" s="266"/>
      <c r="J778" s="981" t="s">
        <v>2798</v>
      </c>
      <c r="K778" s="284">
        <f>+(0.139*100)/2</f>
        <v>6.9500000000000011</v>
      </c>
      <c r="L778" s="981" t="s">
        <v>113</v>
      </c>
      <c r="M778" s="981"/>
      <c r="N778" s="981"/>
      <c r="O778" s="981"/>
      <c r="P778" s="982"/>
      <c r="Q778" s="981"/>
      <c r="R778" s="981"/>
      <c r="S778" s="981"/>
      <c r="T778" s="981"/>
      <c r="U778" s="981"/>
      <c r="V778" s="981"/>
      <c r="W778" s="981"/>
      <c r="X778" s="981"/>
      <c r="Y778" s="981"/>
      <c r="Z778" s="981"/>
      <c r="AA778" s="981"/>
      <c r="AB778" s="981"/>
      <c r="AC778" s="981"/>
      <c r="AD778" s="981"/>
      <c r="AE778" s="981"/>
      <c r="AF778" s="981"/>
      <c r="AG778" s="981"/>
      <c r="AH778" s="982"/>
      <c r="AI778" s="981"/>
      <c r="AJ778" s="981"/>
      <c r="AK778" s="983" t="s">
        <v>292</v>
      </c>
      <c r="AL778" s="984" t="s">
        <v>2782</v>
      </c>
      <c r="AM778" s="265">
        <v>1</v>
      </c>
    </row>
    <row r="779" spans="1:39" ht="90" x14ac:dyDescent="0.25">
      <c r="A779" s="351"/>
      <c r="B779" s="351"/>
      <c r="C779" s="351"/>
      <c r="D779" s="266"/>
      <c r="E779" s="266"/>
      <c r="F779" s="266"/>
      <c r="G779" s="205" t="s">
        <v>2799</v>
      </c>
      <c r="H779" s="205"/>
      <c r="I779" s="205"/>
      <c r="J779" s="205" t="s">
        <v>2800</v>
      </c>
      <c r="K779" s="773">
        <f>+(0.321*100)/2</f>
        <v>16.05</v>
      </c>
      <c r="L779" s="205" t="s">
        <v>2801</v>
      </c>
      <c r="M779" s="205"/>
      <c r="N779" s="773">
        <v>1</v>
      </c>
      <c r="O779" s="773">
        <v>1</v>
      </c>
      <c r="P779" s="644">
        <f>+O779/N779</f>
        <v>1</v>
      </c>
      <c r="Q779" s="209" t="s">
        <v>2802</v>
      </c>
      <c r="R779" s="209" t="s">
        <v>2803</v>
      </c>
      <c r="S779" s="209" t="s">
        <v>460</v>
      </c>
      <c r="T779" s="209" t="s">
        <v>90</v>
      </c>
      <c r="U779" s="215">
        <f>+'[2]POAI '!$K$93</f>
        <v>408864200</v>
      </c>
      <c r="V779" s="215">
        <f>+'[2]POAI '!$K$93</f>
        <v>408864200</v>
      </c>
      <c r="W779" s="214" t="s">
        <v>55</v>
      </c>
      <c r="X779" s="214"/>
      <c r="Y779" s="214"/>
      <c r="Z779" s="214"/>
      <c r="AA779" s="214"/>
      <c r="AB779" s="214"/>
      <c r="AC779" s="214"/>
      <c r="AD779" s="214"/>
      <c r="AE779" s="214"/>
      <c r="AF779" s="215">
        <f>+'[2]POAI '!$K$93</f>
        <v>408864200</v>
      </c>
      <c r="AG779" s="215">
        <v>408864040</v>
      </c>
      <c r="AH779" s="350">
        <f t="shared" ref="AH779" si="140">+AG779/AF779</f>
        <v>0.99999960867202364</v>
      </c>
      <c r="AI779" s="214"/>
      <c r="AJ779" s="214" t="s">
        <v>2804</v>
      </c>
      <c r="AK779" s="983" t="s">
        <v>292</v>
      </c>
      <c r="AL779" s="984" t="s">
        <v>2782</v>
      </c>
      <c r="AM779" s="265">
        <v>1</v>
      </c>
    </row>
    <row r="780" spans="1:39" ht="124.5" thickBot="1" x14ac:dyDescent="0.3">
      <c r="A780" s="351"/>
      <c r="B780" s="351"/>
      <c r="C780" s="351"/>
      <c r="D780" s="266"/>
      <c r="E780" s="266"/>
      <c r="F780" s="266"/>
      <c r="G780" s="266"/>
      <c r="H780" s="266"/>
      <c r="I780" s="266"/>
      <c r="J780" s="266"/>
      <c r="K780" s="266"/>
      <c r="L780" s="266"/>
      <c r="M780" s="230"/>
      <c r="N780" s="230"/>
      <c r="O780" s="230"/>
      <c r="P780" s="432"/>
      <c r="Q780" s="209" t="s">
        <v>2805</v>
      </c>
      <c r="R780" s="993" t="s">
        <v>2806</v>
      </c>
      <c r="S780" s="209" t="s">
        <v>460</v>
      </c>
      <c r="T780" s="209" t="s">
        <v>90</v>
      </c>
      <c r="U780" s="994"/>
      <c r="V780" s="995"/>
      <c r="W780" s="995"/>
      <c r="X780" s="995"/>
      <c r="Y780" s="995"/>
      <c r="Z780" s="995"/>
      <c r="AA780" s="995"/>
      <c r="AB780" s="995"/>
      <c r="AC780" s="995"/>
      <c r="AD780" s="995"/>
      <c r="AE780" s="995"/>
      <c r="AF780" s="995"/>
      <c r="AG780" s="995"/>
      <c r="AH780" s="547"/>
      <c r="AI780" s="995"/>
      <c r="AJ780" s="995" t="s">
        <v>2807</v>
      </c>
      <c r="AK780" s="983"/>
      <c r="AL780" s="984"/>
      <c r="AM780" s="265"/>
    </row>
    <row r="781" spans="1:39" ht="90.75" thickBot="1" x14ac:dyDescent="0.3">
      <c r="A781" s="351"/>
      <c r="B781" s="351"/>
      <c r="C781" s="351"/>
      <c r="D781" s="266"/>
      <c r="E781" s="266"/>
      <c r="F781" s="266"/>
      <c r="G781" s="211" t="s">
        <v>2808</v>
      </c>
      <c r="H781" s="211"/>
      <c r="I781" s="986"/>
      <c r="J781" s="996" t="s">
        <v>2809</v>
      </c>
      <c r="K781" s="366">
        <f>+(0.241*100)/2</f>
        <v>12.049999999999999</v>
      </c>
      <c r="L781" s="997" t="s">
        <v>2810</v>
      </c>
      <c r="M781" s="206"/>
      <c r="N781" s="209">
        <v>1</v>
      </c>
      <c r="O781" s="209">
        <v>1</v>
      </c>
      <c r="P781" s="644">
        <f>+O781/N781</f>
        <v>1</v>
      </c>
      <c r="Q781" s="209" t="s">
        <v>2811</v>
      </c>
      <c r="R781" s="209" t="s">
        <v>2812</v>
      </c>
      <c r="S781" s="209" t="s">
        <v>2813</v>
      </c>
      <c r="T781" s="209" t="s">
        <v>90</v>
      </c>
      <c r="U781" s="318">
        <v>298272076</v>
      </c>
      <c r="V781" s="318">
        <v>298272076</v>
      </c>
      <c r="W781" s="209" t="s">
        <v>55</v>
      </c>
      <c r="X781" s="209"/>
      <c r="Y781" s="209"/>
      <c r="Z781" s="209"/>
      <c r="AA781" s="209"/>
      <c r="AB781" s="209"/>
      <c r="AC781" s="209"/>
      <c r="AD781" s="209"/>
      <c r="AE781" s="209"/>
      <c r="AF781" s="318">
        <v>298272076</v>
      </c>
      <c r="AG781" s="318">
        <v>298272076</v>
      </c>
      <c r="AH781" s="119">
        <f t="shared" ref="AH781" si="141">+AG781/AF781</f>
        <v>1</v>
      </c>
      <c r="AI781" s="209"/>
      <c r="AJ781" s="209" t="s">
        <v>2814</v>
      </c>
      <c r="AK781" s="983" t="s">
        <v>292</v>
      </c>
      <c r="AL781" s="984" t="s">
        <v>2782</v>
      </c>
      <c r="AM781" s="265">
        <v>1</v>
      </c>
    </row>
    <row r="782" spans="1:39" ht="79.5" thickBot="1" x14ac:dyDescent="0.3">
      <c r="A782" s="351"/>
      <c r="B782" s="351"/>
      <c r="C782" s="351"/>
      <c r="D782" s="266"/>
      <c r="E782" s="266"/>
      <c r="F782" s="266"/>
      <c r="G782" s="211" t="s">
        <v>2815</v>
      </c>
      <c r="H782" s="210"/>
      <c r="I782" s="223"/>
      <c r="J782" s="998"/>
      <c r="K782" s="370"/>
      <c r="L782" s="999"/>
      <c r="M782" s="209">
        <v>1</v>
      </c>
      <c r="N782" s="209">
        <v>1</v>
      </c>
      <c r="O782" s="1000">
        <f>+N782/M782</f>
        <v>1</v>
      </c>
      <c r="P782" s="233" t="s">
        <v>2816</v>
      </c>
      <c r="Q782" s="209" t="s">
        <v>2817</v>
      </c>
      <c r="R782" s="209" t="s">
        <v>460</v>
      </c>
      <c r="S782" s="209" t="s">
        <v>90</v>
      </c>
      <c r="T782" s="1001">
        <v>100000000</v>
      </c>
      <c r="U782" s="1001">
        <v>100000000</v>
      </c>
      <c r="V782" s="1001" t="s">
        <v>55</v>
      </c>
      <c r="W782" s="1001"/>
      <c r="X782" s="1001"/>
      <c r="Y782" s="1001"/>
      <c r="Z782" s="1001"/>
      <c r="AA782" s="1001"/>
      <c r="AB782" s="1001"/>
      <c r="AC782" s="1001"/>
      <c r="AD782" s="1001"/>
      <c r="AE782" s="1001">
        <v>100000000</v>
      </c>
      <c r="AF782" s="215">
        <v>100000000</v>
      </c>
      <c r="AG782" s="255">
        <f t="shared" ref="AG782" si="142">+AF782/AE782</f>
        <v>1</v>
      </c>
      <c r="AH782" s="1002"/>
      <c r="AI782" s="1001" t="s">
        <v>2818</v>
      </c>
      <c r="AJ782" s="209"/>
      <c r="AK782" s="983"/>
      <c r="AL782" s="984"/>
      <c r="AM782" s="265"/>
    </row>
    <row r="783" spans="1:39" ht="124.5" thickBot="1" x14ac:dyDescent="0.3">
      <c r="A783" s="351"/>
      <c r="B783" s="351"/>
      <c r="C783" s="351"/>
      <c r="D783" s="266"/>
      <c r="E783" s="266"/>
      <c r="F783" s="266"/>
      <c r="G783" s="211"/>
      <c r="H783" s="210"/>
      <c r="I783" s="223"/>
      <c r="J783" s="1003"/>
      <c r="K783" s="373"/>
      <c r="L783" s="1004"/>
      <c r="M783" s="209"/>
      <c r="N783" s="209"/>
      <c r="O783" s="1000"/>
      <c r="P783" s="233"/>
      <c r="Q783" s="211" t="s">
        <v>2819</v>
      </c>
      <c r="R783" s="209" t="s">
        <v>2820</v>
      </c>
      <c r="S783" s="209" t="s">
        <v>460</v>
      </c>
      <c r="T783" s="209" t="s">
        <v>90</v>
      </c>
      <c r="U783" s="1001"/>
      <c r="V783" s="1001"/>
      <c r="W783" s="1001"/>
      <c r="X783" s="1001"/>
      <c r="Y783" s="1001"/>
      <c r="Z783" s="1001"/>
      <c r="AA783" s="1001"/>
      <c r="AB783" s="1001"/>
      <c r="AC783" s="1001"/>
      <c r="AD783" s="1001"/>
      <c r="AE783" s="1001"/>
      <c r="AF783" s="215"/>
      <c r="AG783" s="255"/>
      <c r="AH783" s="1002"/>
      <c r="AI783" s="1001"/>
      <c r="AJ783" s="209"/>
      <c r="AK783" s="983"/>
      <c r="AL783" s="984"/>
      <c r="AM783" s="265"/>
    </row>
    <row r="784" spans="1:39" ht="90" x14ac:dyDescent="0.25">
      <c r="A784" s="351"/>
      <c r="B784" s="351"/>
      <c r="C784" s="351"/>
      <c r="D784" s="266"/>
      <c r="E784" s="266"/>
      <c r="F784" s="266"/>
      <c r="G784" s="696" t="s">
        <v>2821</v>
      </c>
      <c r="H784" s="696" t="s">
        <v>2822</v>
      </c>
      <c r="I784" s="696" t="s">
        <v>2823</v>
      </c>
      <c r="J784" s="383" t="s">
        <v>2824</v>
      </c>
      <c r="K784" s="383">
        <f>+(0.448*100)/2</f>
        <v>22.400000000000002</v>
      </c>
      <c r="L784" s="383" t="s">
        <v>2825</v>
      </c>
      <c r="M784" s="696"/>
      <c r="N784" s="1005">
        <v>1</v>
      </c>
      <c r="O784" s="1005">
        <v>1</v>
      </c>
      <c r="P784" s="644">
        <f>+O784/N784</f>
        <v>1</v>
      </c>
      <c r="Q784" s="193" t="s">
        <v>2823</v>
      </c>
      <c r="R784" s="195" t="s">
        <v>2826</v>
      </c>
      <c r="S784" s="701" t="s">
        <v>966</v>
      </c>
      <c r="T784" s="701" t="s">
        <v>90</v>
      </c>
      <c r="U784" s="1006">
        <f>+'[2]POAI '!$K$88</f>
        <v>686313222.15999997</v>
      </c>
      <c r="V784" s="1006">
        <f>+'[2]POAI '!$K$88</f>
        <v>686313222.15999997</v>
      </c>
      <c r="W784" s="701" t="s">
        <v>55</v>
      </c>
      <c r="X784" s="701"/>
      <c r="Y784" s="701"/>
      <c r="Z784" s="701"/>
      <c r="AA784" s="701"/>
      <c r="AB784" s="701"/>
      <c r="AC784" s="701"/>
      <c r="AD784" s="701"/>
      <c r="AE784" s="701"/>
      <c r="AF784" s="1006">
        <f>+'[2]POAI '!$K$88</f>
        <v>686313222.15999997</v>
      </c>
      <c r="AG784" s="1006">
        <v>686254093.04999995</v>
      </c>
      <c r="AH784" s="644">
        <f>+AG784/AF784</f>
        <v>0.9999138452996521</v>
      </c>
      <c r="AI784" s="981"/>
      <c r="AJ784" s="981"/>
      <c r="AK784" s="983" t="s">
        <v>292</v>
      </c>
      <c r="AL784" s="984" t="s">
        <v>2782</v>
      </c>
      <c r="AM784" s="265">
        <v>1</v>
      </c>
    </row>
    <row r="785" spans="1:39" ht="45" x14ac:dyDescent="0.25">
      <c r="A785" s="351"/>
      <c r="B785" s="351"/>
      <c r="C785" s="351"/>
      <c r="D785" s="266"/>
      <c r="E785" s="266"/>
      <c r="F785" s="266"/>
      <c r="G785" s="266"/>
      <c r="H785" s="266"/>
      <c r="I785" s="266"/>
      <c r="J785" s="383"/>
      <c r="K785" s="383"/>
      <c r="L785" s="266"/>
      <c r="M785" s="210"/>
      <c r="N785" s="210"/>
      <c r="O785" s="210"/>
      <c r="P785" s="439"/>
      <c r="Q785" s="230" t="s">
        <v>2827</v>
      </c>
      <c r="R785" s="1007" t="s">
        <v>2828</v>
      </c>
      <c r="S785" s="994"/>
      <c r="T785" s="994"/>
      <c r="U785" s="994"/>
      <c r="V785" s="994"/>
      <c r="W785" s="994"/>
      <c r="X785" s="994"/>
      <c r="Y785" s="994"/>
      <c r="Z785" s="994"/>
      <c r="AA785" s="994"/>
      <c r="AB785" s="994"/>
      <c r="AC785" s="994"/>
      <c r="AD785" s="994"/>
      <c r="AE785" s="994"/>
      <c r="AF785" s="994"/>
      <c r="AG785" s="994"/>
      <c r="AH785" s="568"/>
      <c r="AI785" s="981"/>
      <c r="AJ785" s="981"/>
      <c r="AK785" s="983"/>
      <c r="AL785" s="984"/>
      <c r="AM785" s="265"/>
    </row>
    <row r="786" spans="1:39" ht="56.25" x14ac:dyDescent="0.25">
      <c r="A786" s="351"/>
      <c r="B786" s="351"/>
      <c r="C786" s="351"/>
      <c r="D786" s="266"/>
      <c r="E786" s="266"/>
      <c r="F786" s="266"/>
      <c r="G786" s="266"/>
      <c r="H786" s="266"/>
      <c r="I786" s="266"/>
      <c r="J786" s="383"/>
      <c r="K786" s="383"/>
      <c r="L786" s="266"/>
      <c r="M786" s="210"/>
      <c r="N786" s="210"/>
      <c r="O786" s="210"/>
      <c r="P786" s="439"/>
      <c r="Q786" s="230" t="s">
        <v>2829</v>
      </c>
      <c r="R786" s="1007" t="s">
        <v>2830</v>
      </c>
      <c r="S786" s="994"/>
      <c r="T786" s="994"/>
      <c r="U786" s="994"/>
      <c r="V786" s="994"/>
      <c r="W786" s="994"/>
      <c r="X786" s="994"/>
      <c r="Y786" s="994"/>
      <c r="Z786" s="994"/>
      <c r="AA786" s="994"/>
      <c r="AB786" s="994"/>
      <c r="AC786" s="994"/>
      <c r="AD786" s="994"/>
      <c r="AE786" s="994"/>
      <c r="AF786" s="994"/>
      <c r="AG786" s="994"/>
      <c r="AH786" s="568"/>
      <c r="AI786" s="981"/>
      <c r="AJ786" s="981"/>
      <c r="AK786" s="983"/>
      <c r="AL786" s="984"/>
      <c r="AM786" s="265"/>
    </row>
    <row r="787" spans="1:39" ht="56.25" x14ac:dyDescent="0.25">
      <c r="A787" s="351"/>
      <c r="B787" s="351"/>
      <c r="C787" s="351"/>
      <c r="D787" s="266"/>
      <c r="E787" s="266"/>
      <c r="F787" s="266"/>
      <c r="G787" s="266"/>
      <c r="H787" s="266"/>
      <c r="I787" s="266"/>
      <c r="J787" s="383"/>
      <c r="K787" s="383"/>
      <c r="L787" s="266"/>
      <c r="M787" s="210"/>
      <c r="N787" s="210"/>
      <c r="O787" s="210"/>
      <c r="P787" s="439"/>
      <c r="Q787" s="230" t="s">
        <v>2831</v>
      </c>
      <c r="R787" s="1007" t="s">
        <v>2832</v>
      </c>
      <c r="S787" s="994"/>
      <c r="T787" s="994"/>
      <c r="U787" s="994"/>
      <c r="V787" s="994"/>
      <c r="W787" s="994"/>
      <c r="X787" s="994"/>
      <c r="Y787" s="994"/>
      <c r="Z787" s="994"/>
      <c r="AA787" s="994"/>
      <c r="AB787" s="994"/>
      <c r="AC787" s="994"/>
      <c r="AD787" s="994"/>
      <c r="AE787" s="994"/>
      <c r="AF787" s="994"/>
      <c r="AG787" s="994"/>
      <c r="AH787" s="568"/>
      <c r="AI787" s="981"/>
      <c r="AJ787" s="981"/>
      <c r="AK787" s="983"/>
      <c r="AL787" s="984"/>
      <c r="AM787" s="265"/>
    </row>
    <row r="788" spans="1:39" ht="67.5" x14ac:dyDescent="0.25">
      <c r="A788" s="351"/>
      <c r="B788" s="351"/>
      <c r="C788" s="351"/>
      <c r="D788" s="266"/>
      <c r="E788" s="266"/>
      <c r="F788" s="266"/>
      <c r="G788" s="266"/>
      <c r="H788" s="266"/>
      <c r="I788" s="266"/>
      <c r="J788" s="383"/>
      <c r="K788" s="383"/>
      <c r="L788" s="266"/>
      <c r="M788" s="210"/>
      <c r="N788" s="210"/>
      <c r="O788" s="210"/>
      <c r="P788" s="439"/>
      <c r="Q788" s="230" t="s">
        <v>2833</v>
      </c>
      <c r="R788" s="1007" t="s">
        <v>2834</v>
      </c>
      <c r="S788" s="994"/>
      <c r="T788" s="994"/>
      <c r="U788" s="994"/>
      <c r="V788" s="994"/>
      <c r="W788" s="994"/>
      <c r="X788" s="994"/>
      <c r="Y788" s="994"/>
      <c r="Z788" s="994"/>
      <c r="AA788" s="994"/>
      <c r="AB788" s="994"/>
      <c r="AC788" s="994"/>
      <c r="AD788" s="994"/>
      <c r="AE788" s="994"/>
      <c r="AF788" s="994"/>
      <c r="AG788" s="994"/>
      <c r="AH788" s="568"/>
      <c r="AI788" s="981"/>
      <c r="AJ788" s="981"/>
      <c r="AK788" s="983"/>
      <c r="AL788" s="984"/>
      <c r="AM788" s="265"/>
    </row>
    <row r="789" spans="1:39" ht="57" thickBot="1" x14ac:dyDescent="0.3">
      <c r="A789" s="351"/>
      <c r="B789" s="351"/>
      <c r="C789" s="351"/>
      <c r="D789" s="266"/>
      <c r="E789" s="266"/>
      <c r="F789" s="266"/>
      <c r="G789" s="266"/>
      <c r="H789" s="266"/>
      <c r="I789" s="266"/>
      <c r="J789" s="383"/>
      <c r="K789" s="383"/>
      <c r="L789" s="266"/>
      <c r="M789" s="230"/>
      <c r="N789" s="230"/>
      <c r="O789" s="230"/>
      <c r="P789" s="432"/>
      <c r="Q789" s="230" t="s">
        <v>2835</v>
      </c>
      <c r="R789" s="1007" t="s">
        <v>2834</v>
      </c>
      <c r="S789" s="995"/>
      <c r="T789" s="995"/>
      <c r="U789" s="995"/>
      <c r="V789" s="995"/>
      <c r="W789" s="995"/>
      <c r="X789" s="995"/>
      <c r="Y789" s="995"/>
      <c r="Z789" s="995"/>
      <c r="AA789" s="995"/>
      <c r="AB789" s="995"/>
      <c r="AC789" s="995"/>
      <c r="AD789" s="995"/>
      <c r="AE789" s="995"/>
      <c r="AF789" s="995"/>
      <c r="AG789" s="995"/>
      <c r="AH789" s="547"/>
      <c r="AI789" s="981"/>
      <c r="AJ789" s="981"/>
      <c r="AK789" s="983"/>
      <c r="AL789" s="984"/>
      <c r="AM789" s="265"/>
    </row>
    <row r="790" spans="1:39" ht="79.5" thickBot="1" x14ac:dyDescent="0.3">
      <c r="A790" s="351"/>
      <c r="B790" s="351"/>
      <c r="C790" s="351"/>
      <c r="D790" s="266"/>
      <c r="E790" s="266"/>
      <c r="F790" s="266"/>
      <c r="G790" s="206" t="s">
        <v>2836</v>
      </c>
      <c r="H790" s="211"/>
      <c r="I790" s="211"/>
      <c r="J790" s="383"/>
      <c r="K790" s="383"/>
      <c r="L790" s="266"/>
      <c r="M790" s="206"/>
      <c r="N790" s="209">
        <v>1</v>
      </c>
      <c r="O790" s="209">
        <v>1</v>
      </c>
      <c r="P790" s="644">
        <f>+O790/N790</f>
        <v>1</v>
      </c>
      <c r="Q790" s="209" t="s">
        <v>2837</v>
      </c>
      <c r="R790" s="209" t="s">
        <v>2838</v>
      </c>
      <c r="S790" s="209" t="s">
        <v>90</v>
      </c>
      <c r="T790" s="209" t="s">
        <v>90</v>
      </c>
      <c r="U790" s="317">
        <f>+'[2]POAI '!$K$92</f>
        <v>50000000</v>
      </c>
      <c r="V790" s="317">
        <f>+'[2]POAI '!$K$92</f>
        <v>50000000</v>
      </c>
      <c r="W790" s="209"/>
      <c r="X790" s="209"/>
      <c r="Y790" s="209"/>
      <c r="Z790" s="209" t="s">
        <v>55</v>
      </c>
      <c r="AA790" s="209"/>
      <c r="AB790" s="209"/>
      <c r="AC790" s="209"/>
      <c r="AD790" s="209"/>
      <c r="AE790" s="209"/>
      <c r="AF790" s="318">
        <v>50000000</v>
      </c>
      <c r="AG790" s="318">
        <v>50000000</v>
      </c>
      <c r="AH790" s="119">
        <f t="shared" ref="AH790:AH794" si="143">+AG790/AF790</f>
        <v>1</v>
      </c>
      <c r="AI790" s="209"/>
      <c r="AJ790" s="209"/>
      <c r="AK790" s="983"/>
      <c r="AL790" s="984"/>
      <c r="AM790" s="265"/>
    </row>
    <row r="791" spans="1:39" ht="90" x14ac:dyDescent="0.25">
      <c r="A791" s="351"/>
      <c r="B791" s="351"/>
      <c r="C791" s="351"/>
      <c r="D791" s="266"/>
      <c r="E791" s="266"/>
      <c r="F791" s="266"/>
      <c r="G791" s="206" t="s">
        <v>2839</v>
      </c>
      <c r="H791" s="211"/>
      <c r="I791" s="211"/>
      <c r="J791" s="383"/>
      <c r="K791" s="383"/>
      <c r="L791" s="266"/>
      <c r="M791" s="696"/>
      <c r="N791" s="1005">
        <v>1</v>
      </c>
      <c r="O791" s="773">
        <v>1</v>
      </c>
      <c r="P791" s="644">
        <f>+O791/N791</f>
        <v>1</v>
      </c>
      <c r="Q791" s="230" t="s">
        <v>2831</v>
      </c>
      <c r="R791" s="209" t="s">
        <v>2832</v>
      </c>
      <c r="S791" s="209" t="s">
        <v>966</v>
      </c>
      <c r="T791" s="212" t="s">
        <v>90</v>
      </c>
      <c r="U791" s="317">
        <v>100000000</v>
      </c>
      <c r="V791" s="317">
        <v>100000000</v>
      </c>
      <c r="W791" s="209" t="s">
        <v>55</v>
      </c>
      <c r="X791" s="209"/>
      <c r="Y791" s="209"/>
      <c r="Z791" s="209"/>
      <c r="AA791" s="209"/>
      <c r="AB791" s="209"/>
      <c r="AC791" s="209"/>
      <c r="AD791" s="209"/>
      <c r="AE791" s="209"/>
      <c r="AF791" s="317">
        <v>100000000</v>
      </c>
      <c r="AG791" s="318">
        <v>99493200</v>
      </c>
      <c r="AH791" s="119">
        <f t="shared" si="143"/>
        <v>0.99493200000000004</v>
      </c>
      <c r="AI791" s="209"/>
      <c r="AJ791" s="209"/>
      <c r="AK791" s="983"/>
      <c r="AL791" s="984"/>
      <c r="AM791" s="265"/>
    </row>
    <row r="792" spans="1:39" ht="102" thickBot="1" x14ac:dyDescent="0.3">
      <c r="A792" s="351"/>
      <c r="B792" s="351"/>
      <c r="C792" s="351"/>
      <c r="D792" s="266"/>
      <c r="E792" s="266"/>
      <c r="F792" s="266"/>
      <c r="G792" s="211" t="s">
        <v>2840</v>
      </c>
      <c r="H792" s="211"/>
      <c r="I792" s="211"/>
      <c r="J792" s="383"/>
      <c r="K792" s="383"/>
      <c r="L792" s="266"/>
      <c r="M792" s="230"/>
      <c r="N792" s="230"/>
      <c r="O792" s="230"/>
      <c r="P792" s="432"/>
      <c r="Q792" s="230" t="s">
        <v>724</v>
      </c>
      <c r="R792" s="1007"/>
      <c r="S792" s="1007" t="s">
        <v>966</v>
      </c>
      <c r="T792" s="1008" t="s">
        <v>90</v>
      </c>
      <c r="U792" s="317">
        <f>+'[2]POAI '!$K$95</f>
        <v>16000000</v>
      </c>
      <c r="V792" s="317">
        <f>+'[2]POAI '!$K$95</f>
        <v>16000000</v>
      </c>
      <c r="W792" s="209" t="s">
        <v>55</v>
      </c>
      <c r="X792" s="209"/>
      <c r="Y792" s="209"/>
      <c r="Z792" s="209"/>
      <c r="AA792" s="209"/>
      <c r="AB792" s="209"/>
      <c r="AC792" s="209"/>
      <c r="AD792" s="209"/>
      <c r="AE792" s="209"/>
      <c r="AF792" s="317">
        <f>+'[2]POAI '!$K$95</f>
        <v>16000000</v>
      </c>
      <c r="AG792" s="318">
        <v>15997953.6</v>
      </c>
      <c r="AH792" s="119">
        <f t="shared" si="143"/>
        <v>0.99987209999999993</v>
      </c>
      <c r="AI792" s="209"/>
      <c r="AJ792" s="209"/>
      <c r="AK792" s="983"/>
      <c r="AL792" s="984"/>
      <c r="AM792" s="265"/>
    </row>
    <row r="793" spans="1:39" ht="79.5" thickBot="1" x14ac:dyDescent="0.3">
      <c r="A793" s="351"/>
      <c r="B793" s="351"/>
      <c r="C793" s="351"/>
      <c r="D793" s="266"/>
      <c r="E793" s="266"/>
      <c r="F793" s="266"/>
      <c r="G793" s="211" t="s">
        <v>2841</v>
      </c>
      <c r="H793" s="211"/>
      <c r="I793" s="211" t="s">
        <v>2842</v>
      </c>
      <c r="J793" s="383"/>
      <c r="K793" s="383"/>
      <c r="L793" s="266"/>
      <c r="M793" s="696"/>
      <c r="N793" s="1005">
        <v>1</v>
      </c>
      <c r="O793" s="209">
        <v>1</v>
      </c>
      <c r="P793" s="644">
        <f>+O793/N793</f>
        <v>1</v>
      </c>
      <c r="Q793" s="211" t="s">
        <v>2841</v>
      </c>
      <c r="R793" s="209" t="s">
        <v>2843</v>
      </c>
      <c r="S793" s="209" t="s">
        <v>90</v>
      </c>
      <c r="T793" s="209" t="s">
        <v>90</v>
      </c>
      <c r="U793" s="317">
        <f>+'[2]POAI '!$K$97</f>
        <v>45000000</v>
      </c>
      <c r="V793" s="317">
        <f>+'[2]POAI '!$K$97</f>
        <v>45000000</v>
      </c>
      <c r="W793" s="209" t="s">
        <v>55</v>
      </c>
      <c r="X793" s="209"/>
      <c r="Y793" s="209"/>
      <c r="Z793" s="209"/>
      <c r="AA793" s="209"/>
      <c r="AB793" s="209"/>
      <c r="AC793" s="209"/>
      <c r="AD793" s="209"/>
      <c r="AE793" s="209"/>
      <c r="AF793" s="317">
        <f>+'[2]POAI '!$K$97</f>
        <v>45000000</v>
      </c>
      <c r="AG793" s="318">
        <v>40039998.300000004</v>
      </c>
      <c r="AH793" s="119">
        <f t="shared" si="143"/>
        <v>0.88977774000000009</v>
      </c>
      <c r="AI793" s="209"/>
      <c r="AJ793" s="209"/>
      <c r="AK793" s="209"/>
      <c r="AL793" s="984"/>
      <c r="AM793" s="265"/>
    </row>
    <row r="794" spans="1:39" ht="112.5" x14ac:dyDescent="0.25">
      <c r="A794" s="351"/>
      <c r="B794" s="351"/>
      <c r="C794" s="351"/>
      <c r="D794" s="266"/>
      <c r="E794" s="266"/>
      <c r="F794" s="266"/>
      <c r="G794" s="217" t="s">
        <v>2844</v>
      </c>
      <c r="H794" s="211"/>
      <c r="I794" s="211"/>
      <c r="J794" s="383"/>
      <c r="K794" s="383"/>
      <c r="L794" s="266"/>
      <c r="M794" s="230"/>
      <c r="N794" s="1005">
        <v>1</v>
      </c>
      <c r="O794" s="209">
        <v>1</v>
      </c>
      <c r="P794" s="644">
        <f>+O794/N794</f>
        <v>1</v>
      </c>
      <c r="Q794" s="209" t="s">
        <v>2845</v>
      </c>
      <c r="R794" s="209" t="s">
        <v>2846</v>
      </c>
      <c r="S794" s="209" t="s">
        <v>194</v>
      </c>
      <c r="T794" s="209" t="s">
        <v>90</v>
      </c>
      <c r="U794" s="318">
        <v>130000000</v>
      </c>
      <c r="V794" s="318">
        <v>130000000</v>
      </c>
      <c r="W794" s="209" t="s">
        <v>55</v>
      </c>
      <c r="X794" s="209"/>
      <c r="Y794" s="209"/>
      <c r="Z794" s="209"/>
      <c r="AA794" s="209"/>
      <c r="AB794" s="209"/>
      <c r="AC794" s="209"/>
      <c r="AD794" s="209"/>
      <c r="AE794" s="209"/>
      <c r="AF794" s="318">
        <v>130000000</v>
      </c>
      <c r="AG794" s="318">
        <v>129538391</v>
      </c>
      <c r="AH794" s="119">
        <f t="shared" si="143"/>
        <v>0.99644916153846153</v>
      </c>
      <c r="AI794" s="209"/>
      <c r="AJ794" s="209"/>
      <c r="AK794" s="209"/>
      <c r="AL794" s="984"/>
      <c r="AM794" s="265"/>
    </row>
    <row r="795" spans="1:39" ht="33.75" x14ac:dyDescent="0.25">
      <c r="A795" s="351"/>
      <c r="B795" s="351"/>
      <c r="C795" s="351"/>
      <c r="D795" s="266"/>
      <c r="E795" s="266"/>
      <c r="F795" s="110" t="s">
        <v>158</v>
      </c>
      <c r="G795" s="110"/>
      <c r="H795" s="110"/>
      <c r="I795" s="110"/>
      <c r="J795" s="1009"/>
      <c r="K795" s="1010">
        <f>SUM(K771:K789)</f>
        <v>100.15</v>
      </c>
      <c r="L795" s="1011"/>
      <c r="M795" s="1009"/>
      <c r="N795" s="1009"/>
      <c r="O795" s="1009"/>
      <c r="P795" s="1012"/>
      <c r="Q795" s="1009"/>
      <c r="R795" s="1009"/>
      <c r="S795" s="1009"/>
      <c r="T795" s="1009"/>
      <c r="U795" s="1009"/>
      <c r="V795" s="1009"/>
      <c r="W795" s="1009"/>
      <c r="X795" s="1009"/>
      <c r="Y795" s="1009"/>
      <c r="Z795" s="1009"/>
      <c r="AA795" s="1009"/>
      <c r="AB795" s="1009"/>
      <c r="AC795" s="1009"/>
      <c r="AD795" s="1009"/>
      <c r="AE795" s="1009"/>
      <c r="AF795" s="1009"/>
      <c r="AG795" s="1009"/>
      <c r="AH795" s="1012"/>
      <c r="AI795" s="1009"/>
      <c r="AJ795" s="1009"/>
      <c r="AK795" s="1013"/>
      <c r="AL795" s="1014"/>
      <c r="AM795" s="1015"/>
    </row>
    <row r="796" spans="1:39" ht="213.75" x14ac:dyDescent="0.25">
      <c r="A796" s="351"/>
      <c r="B796" s="351"/>
      <c r="C796" s="351"/>
      <c r="D796" s="266"/>
      <c r="E796" s="266"/>
      <c r="F796" s="139" t="s">
        <v>2847</v>
      </c>
      <c r="G796" s="300" t="s">
        <v>2848</v>
      </c>
      <c r="H796" s="300" t="s">
        <v>2849</v>
      </c>
      <c r="I796" s="300" t="s">
        <v>2850</v>
      </c>
      <c r="J796" s="1016" t="s">
        <v>2851</v>
      </c>
      <c r="K796" s="1017">
        <f>+(1.06*100)/2</f>
        <v>53</v>
      </c>
      <c r="L796" s="371" t="s">
        <v>2852</v>
      </c>
      <c r="M796" s="1018">
        <v>1</v>
      </c>
      <c r="N796" s="1019">
        <v>1</v>
      </c>
      <c r="O796" s="1019">
        <v>1</v>
      </c>
      <c r="P796" s="55">
        <f t="shared" ref="P796" si="144">+O796/N796</f>
        <v>1</v>
      </c>
      <c r="Q796" s="300" t="s">
        <v>2853</v>
      </c>
      <c r="R796" s="1020"/>
      <c r="S796" s="300" t="s">
        <v>90</v>
      </c>
      <c r="T796" s="300" t="s">
        <v>1154</v>
      </c>
      <c r="U796" s="301">
        <v>540376977</v>
      </c>
      <c r="V796" s="301">
        <v>540376977</v>
      </c>
      <c r="W796" s="1020" t="s">
        <v>55</v>
      </c>
      <c r="X796" s="1020"/>
      <c r="Y796" s="1020"/>
      <c r="Z796" s="1020"/>
      <c r="AA796" s="1020"/>
      <c r="AB796" s="1020"/>
      <c r="AC796" s="1020"/>
      <c r="AD796" s="1020"/>
      <c r="AE796" s="1020"/>
      <c r="AF796" s="301">
        <v>540376977</v>
      </c>
      <c r="AG796" s="108">
        <v>540376977</v>
      </c>
      <c r="AH796" s="49">
        <f t="shared" ref="AH796:AH797" si="145">+AG796/AF796</f>
        <v>1</v>
      </c>
      <c r="AI796" s="300" t="s">
        <v>2854</v>
      </c>
      <c r="AJ796" s="300" t="s">
        <v>2855</v>
      </c>
      <c r="AK796" s="300"/>
      <c r="AL796" s="300" t="s">
        <v>2856</v>
      </c>
      <c r="AM796" s="265">
        <v>1</v>
      </c>
    </row>
    <row r="797" spans="1:39" ht="123.75" x14ac:dyDescent="0.25">
      <c r="A797" s="351"/>
      <c r="B797" s="351"/>
      <c r="C797" s="351"/>
      <c r="D797" s="266"/>
      <c r="E797" s="266"/>
      <c r="F797" s="266"/>
      <c r="G797" s="300" t="s">
        <v>2857</v>
      </c>
      <c r="H797" s="300" t="s">
        <v>2858</v>
      </c>
      <c r="I797" s="381" t="s">
        <v>2859</v>
      </c>
      <c r="J797" s="1021"/>
      <c r="K797" s="1022"/>
      <c r="L797" s="374"/>
      <c r="M797" s="1023"/>
      <c r="N797" s="374"/>
      <c r="O797" s="374"/>
      <c r="P797" s="598"/>
      <c r="Q797" s="1020" t="s">
        <v>2860</v>
      </c>
      <c r="R797" s="1020"/>
      <c r="S797" s="1020" t="s">
        <v>286</v>
      </c>
      <c r="T797" s="1020" t="s">
        <v>90</v>
      </c>
      <c r="U797" s="301">
        <v>150000000</v>
      </c>
      <c r="V797" s="301">
        <v>150000000</v>
      </c>
      <c r="W797" s="1020" t="s">
        <v>55</v>
      </c>
      <c r="X797" s="1020"/>
      <c r="Y797" s="1020"/>
      <c r="Z797" s="1020"/>
      <c r="AA797" s="1020"/>
      <c r="AB797" s="1020"/>
      <c r="AC797" s="1020"/>
      <c r="AD797" s="1020"/>
      <c r="AE797" s="1020"/>
      <c r="AF797" s="301">
        <v>150000000</v>
      </c>
      <c r="AG797" s="301">
        <v>150000000</v>
      </c>
      <c r="AH797" s="1024">
        <f t="shared" si="145"/>
        <v>1</v>
      </c>
      <c r="AI797" s="300" t="s">
        <v>287</v>
      </c>
      <c r="AJ797" s="1020"/>
      <c r="AK797" s="1020"/>
      <c r="AL797" s="300" t="s">
        <v>2856</v>
      </c>
      <c r="AM797" s="265"/>
    </row>
    <row r="798" spans="1:39" ht="135" x14ac:dyDescent="0.25">
      <c r="A798" s="351"/>
      <c r="B798" s="351"/>
      <c r="C798" s="351"/>
      <c r="D798" s="266"/>
      <c r="E798" s="266"/>
      <c r="F798" s="351"/>
      <c r="G798" s="381" t="s">
        <v>2861</v>
      </c>
      <c r="H798" s="381" t="s">
        <v>2862</v>
      </c>
      <c r="I798" s="1025" t="s">
        <v>2863</v>
      </c>
      <c r="J798" s="987" t="s">
        <v>2864</v>
      </c>
      <c r="K798" s="981">
        <f>+(0.35*100)/2</f>
        <v>17.5</v>
      </c>
      <c r="L798" s="990" t="s">
        <v>2865</v>
      </c>
      <c r="M798" s="300">
        <v>1</v>
      </c>
      <c r="N798" s="300">
        <v>1</v>
      </c>
      <c r="O798" s="1020">
        <v>1</v>
      </c>
      <c r="P798" s="1024">
        <f t="shared" ref="P798:P800" si="146">+O798/N798</f>
        <v>1</v>
      </c>
      <c r="Q798" s="300" t="s">
        <v>2866</v>
      </c>
      <c r="R798" s="1020"/>
      <c r="S798" s="300" t="s">
        <v>2867</v>
      </c>
      <c r="T798" s="300" t="s">
        <v>2868</v>
      </c>
      <c r="U798" s="1020"/>
      <c r="V798" s="301">
        <v>114555800</v>
      </c>
      <c r="W798" s="1020" t="s">
        <v>55</v>
      </c>
      <c r="X798" s="1020"/>
      <c r="Y798" s="1020"/>
      <c r="Z798" s="1020"/>
      <c r="AA798" s="1020"/>
      <c r="AB798" s="1020"/>
      <c r="AC798" s="1020"/>
      <c r="AD798" s="1020"/>
      <c r="AE798" s="1020"/>
      <c r="AF798" s="301">
        <v>114555800</v>
      </c>
      <c r="AG798" s="108">
        <v>114555800</v>
      </c>
      <c r="AH798" s="49">
        <f>+AG798/AF798</f>
        <v>1</v>
      </c>
      <c r="AI798" s="300" t="s">
        <v>287</v>
      </c>
      <c r="AJ798" s="300" t="s">
        <v>2869</v>
      </c>
      <c r="AK798" s="300"/>
      <c r="AL798" s="300" t="s">
        <v>2856</v>
      </c>
      <c r="AM798" s="265">
        <v>1</v>
      </c>
    </row>
    <row r="799" spans="1:39" ht="236.25" x14ac:dyDescent="0.25">
      <c r="A799" s="351"/>
      <c r="B799" s="351"/>
      <c r="C799" s="351"/>
      <c r="D799" s="266"/>
      <c r="E799" s="266"/>
      <c r="F799" s="351"/>
      <c r="G799" s="300" t="s">
        <v>2870</v>
      </c>
      <c r="H799" s="300" t="s">
        <v>2871</v>
      </c>
      <c r="I799" s="1026" t="s">
        <v>2872</v>
      </c>
      <c r="J799" s="1027"/>
      <c r="K799" s="1028"/>
      <c r="L799" s="981"/>
      <c r="M799" s="300"/>
      <c r="N799" s="300"/>
      <c r="O799" s="1020"/>
      <c r="P799" s="1024"/>
      <c r="Q799" s="300"/>
      <c r="R799" s="1020"/>
      <c r="S799" s="300"/>
      <c r="T799" s="300"/>
      <c r="U799" s="1020"/>
      <c r="V799" s="301"/>
      <c r="W799" s="1020"/>
      <c r="X799" s="1020"/>
      <c r="Y799" s="1020"/>
      <c r="Z799" s="1020"/>
      <c r="AA799" s="1020"/>
      <c r="AB799" s="1020"/>
      <c r="AC799" s="1020"/>
      <c r="AD799" s="1020"/>
      <c r="AE799" s="1020"/>
      <c r="AF799" s="301"/>
      <c r="AG799" s="108"/>
      <c r="AH799" s="49"/>
      <c r="AI799" s="300"/>
      <c r="AJ799" s="300"/>
      <c r="AK799" s="300"/>
      <c r="AL799" s="300"/>
      <c r="AM799" s="265"/>
    </row>
    <row r="800" spans="1:39" ht="90" x14ac:dyDescent="0.25">
      <c r="A800" s="351"/>
      <c r="B800" s="351"/>
      <c r="C800" s="351"/>
      <c r="D800" s="266"/>
      <c r="E800" s="266"/>
      <c r="F800" s="351"/>
      <c r="G800" s="300" t="s">
        <v>2873</v>
      </c>
      <c r="H800" s="300" t="s">
        <v>2874</v>
      </c>
      <c r="I800" s="300" t="s">
        <v>2875</v>
      </c>
      <c r="J800" s="991" t="s">
        <v>2876</v>
      </c>
      <c r="K800" s="284">
        <f>+(0.16*100)/2</f>
        <v>8</v>
      </c>
      <c r="L800" s="981" t="s">
        <v>2877</v>
      </c>
      <c r="M800" s="1020">
        <v>1</v>
      </c>
      <c r="N800" s="1020">
        <v>1</v>
      </c>
      <c r="O800" s="1020">
        <v>1</v>
      </c>
      <c r="P800" s="1024">
        <f t="shared" si="146"/>
        <v>1</v>
      </c>
      <c r="Q800" s="300" t="s">
        <v>284</v>
      </c>
      <c r="R800" s="1020"/>
      <c r="S800" s="300" t="s">
        <v>548</v>
      </c>
      <c r="T800" s="300" t="s">
        <v>286</v>
      </c>
      <c r="U800" s="301">
        <v>50016000</v>
      </c>
      <c r="V800" s="301">
        <v>50016000</v>
      </c>
      <c r="W800" s="1020" t="s">
        <v>55</v>
      </c>
      <c r="X800" s="1020"/>
      <c r="Y800" s="1020"/>
      <c r="Z800" s="1020"/>
      <c r="AA800" s="1020"/>
      <c r="AB800" s="1020"/>
      <c r="AC800" s="1020"/>
      <c r="AD800" s="1020"/>
      <c r="AE800" s="1020"/>
      <c r="AF800" s="301">
        <v>50016000</v>
      </c>
      <c r="AG800" s="108">
        <v>49346603.480000004</v>
      </c>
      <c r="AH800" s="49">
        <f t="shared" ref="AH800" si="147">+AG800/AF800</f>
        <v>0.98661635236724254</v>
      </c>
      <c r="AI800" s="300" t="s">
        <v>287</v>
      </c>
      <c r="AJ800" s="300"/>
      <c r="AK800" s="1020"/>
      <c r="AL800" s="300" t="s">
        <v>2856</v>
      </c>
      <c r="AM800" s="265">
        <v>1</v>
      </c>
    </row>
    <row r="801" spans="1:39" ht="45" x14ac:dyDescent="0.25">
      <c r="A801" s="351"/>
      <c r="B801" s="351"/>
      <c r="C801" s="351"/>
      <c r="D801" s="266"/>
      <c r="E801" s="266"/>
      <c r="F801" s="351"/>
      <c r="G801" s="351"/>
      <c r="H801" s="351"/>
      <c r="I801" s="351"/>
      <c r="J801" s="981" t="s">
        <v>2878</v>
      </c>
      <c r="K801" s="284">
        <f>+(0.43*100)/2</f>
        <v>21.5</v>
      </c>
      <c r="L801" s="981" t="s">
        <v>2879</v>
      </c>
      <c r="M801" s="981"/>
      <c r="N801" s="981"/>
      <c r="O801" s="981"/>
      <c r="P801" s="982"/>
      <c r="Q801" s="981"/>
      <c r="R801" s="981"/>
      <c r="S801" s="981"/>
      <c r="T801" s="981"/>
      <c r="U801" s="981"/>
      <c r="V801" s="981"/>
      <c r="W801" s="981"/>
      <c r="X801" s="981"/>
      <c r="Y801" s="981"/>
      <c r="Z801" s="981"/>
      <c r="AA801" s="981"/>
      <c r="AB801" s="981"/>
      <c r="AC801" s="981"/>
      <c r="AD801" s="981"/>
      <c r="AE801" s="981"/>
      <c r="AF801" s="981"/>
      <c r="AG801" s="981"/>
      <c r="AH801" s="982"/>
      <c r="AI801" s="981"/>
      <c r="AJ801" s="981"/>
      <c r="AK801" s="983" t="s">
        <v>292</v>
      </c>
      <c r="AL801" s="984" t="s">
        <v>2880</v>
      </c>
      <c r="AM801" s="118">
        <v>0.03</v>
      </c>
    </row>
    <row r="802" spans="1:39" ht="33.75" x14ac:dyDescent="0.25">
      <c r="A802" s="351"/>
      <c r="B802" s="351"/>
      <c r="C802" s="351"/>
      <c r="D802" s="266"/>
      <c r="E802" s="266"/>
      <c r="F802" s="110" t="s">
        <v>158</v>
      </c>
      <c r="G802" s="110"/>
      <c r="H802" s="110"/>
      <c r="I802" s="110"/>
      <c r="J802" s="1009"/>
      <c r="K802" s="1029">
        <f t="shared" ref="K802" si="148">SUM(K796:K801)</f>
        <v>100</v>
      </c>
      <c r="L802" s="1009"/>
      <c r="M802" s="1009"/>
      <c r="N802" s="1009"/>
      <c r="O802" s="1009"/>
      <c r="P802" s="1012"/>
      <c r="Q802" s="1009"/>
      <c r="R802" s="1009"/>
      <c r="S802" s="1009"/>
      <c r="T802" s="1009"/>
      <c r="U802" s="1009"/>
      <c r="V802" s="1009"/>
      <c r="W802" s="1009"/>
      <c r="X802" s="1009"/>
      <c r="Y802" s="1009"/>
      <c r="Z802" s="1009"/>
      <c r="AA802" s="1009"/>
      <c r="AB802" s="1009"/>
      <c r="AC802" s="1009"/>
      <c r="AD802" s="1009"/>
      <c r="AE802" s="1009"/>
      <c r="AF802" s="1009"/>
      <c r="AG802" s="1009"/>
      <c r="AH802" s="1012"/>
      <c r="AI802" s="1009"/>
      <c r="AJ802" s="1009"/>
      <c r="AK802" s="1013"/>
      <c r="AL802" s="1014"/>
      <c r="AM802" s="1015">
        <v>2.68</v>
      </c>
    </row>
    <row r="803" spans="1:39" ht="45" x14ac:dyDescent="0.25">
      <c r="A803" s="351"/>
      <c r="B803" s="351"/>
      <c r="C803" s="351"/>
      <c r="D803" s="266"/>
      <c r="E803" s="266"/>
      <c r="F803" s="139" t="s">
        <v>2881</v>
      </c>
      <c r="G803" s="266"/>
      <c r="H803" s="266"/>
      <c r="I803" s="266"/>
      <c r="J803" s="981" t="s">
        <v>2882</v>
      </c>
      <c r="K803" s="284">
        <f>+(0.275*100)/2</f>
        <v>13.750000000000002</v>
      </c>
      <c r="L803" s="981" t="s">
        <v>2883</v>
      </c>
      <c r="M803" s="981"/>
      <c r="N803" s="981"/>
      <c r="O803" s="981"/>
      <c r="P803" s="982"/>
      <c r="Q803" s="981"/>
      <c r="R803" s="981"/>
      <c r="S803" s="981"/>
      <c r="T803" s="981"/>
      <c r="U803" s="981"/>
      <c r="V803" s="981"/>
      <c r="W803" s="981"/>
      <c r="X803" s="981"/>
      <c r="Y803" s="981"/>
      <c r="Z803" s="981"/>
      <c r="AA803" s="981"/>
      <c r="AB803" s="981"/>
      <c r="AC803" s="981"/>
      <c r="AD803" s="981"/>
      <c r="AE803" s="981"/>
      <c r="AF803" s="981"/>
      <c r="AG803" s="981"/>
      <c r="AH803" s="982"/>
      <c r="AI803" s="981"/>
      <c r="AJ803" s="981"/>
      <c r="AK803" s="983" t="s">
        <v>2884</v>
      </c>
      <c r="AL803" s="984" t="s">
        <v>247</v>
      </c>
      <c r="AM803" s="265">
        <v>0</v>
      </c>
    </row>
    <row r="804" spans="1:39" ht="101.25" x14ac:dyDescent="0.25">
      <c r="A804" s="351"/>
      <c r="B804" s="351"/>
      <c r="C804" s="351"/>
      <c r="D804" s="266"/>
      <c r="E804" s="266"/>
      <c r="F804" s="351"/>
      <c r="G804" s="1030" t="s">
        <v>2885</v>
      </c>
      <c r="H804" s="1030" t="s">
        <v>2886</v>
      </c>
      <c r="I804" s="1030" t="s">
        <v>2887</v>
      </c>
      <c r="J804" s="981" t="s">
        <v>2888</v>
      </c>
      <c r="K804" s="284">
        <f>+(0.138*100)/2</f>
        <v>6.9</v>
      </c>
      <c r="L804" s="981" t="s">
        <v>2889</v>
      </c>
      <c r="M804" s="981"/>
      <c r="N804" s="265">
        <v>3</v>
      </c>
      <c r="O804" s="265">
        <v>0</v>
      </c>
      <c r="P804" s="119">
        <f t="shared" ref="P804:P808" si="149">+O804/N804</f>
        <v>0</v>
      </c>
      <c r="Q804" s="265" t="s">
        <v>2890</v>
      </c>
      <c r="R804" s="265" t="s">
        <v>321</v>
      </c>
      <c r="S804" s="139" t="s">
        <v>2891</v>
      </c>
      <c r="T804" s="139" t="s">
        <v>2892</v>
      </c>
      <c r="U804" s="310">
        <v>80000000</v>
      </c>
      <c r="V804" s="310"/>
      <c r="W804" s="310"/>
      <c r="X804" s="310"/>
      <c r="Y804" s="310" t="s">
        <v>55</v>
      </c>
      <c r="Z804" s="310"/>
      <c r="AA804" s="310"/>
      <c r="AB804" s="310"/>
      <c r="AC804" s="310"/>
      <c r="AD804" s="310"/>
      <c r="AE804" s="310"/>
      <c r="AF804" s="310">
        <v>80000000</v>
      </c>
      <c r="AG804" s="310">
        <v>80000000</v>
      </c>
      <c r="AH804" s="350">
        <f t="shared" ref="AH804" si="150">+AG804/AF804</f>
        <v>1</v>
      </c>
      <c r="AI804" s="310"/>
      <c r="AJ804" s="310" t="s">
        <v>2893</v>
      </c>
      <c r="AK804" s="310" t="s">
        <v>2884</v>
      </c>
      <c r="AL804" s="310" t="s">
        <v>247</v>
      </c>
      <c r="AM804" s="265">
        <v>3</v>
      </c>
    </row>
    <row r="805" spans="1:39" ht="78.75" x14ac:dyDescent="0.25">
      <c r="A805" s="351"/>
      <c r="B805" s="351"/>
      <c r="C805" s="351"/>
      <c r="D805" s="266"/>
      <c r="E805" s="266"/>
      <c r="F805" s="351"/>
      <c r="G805" s="351"/>
      <c r="H805" s="351"/>
      <c r="I805" s="351"/>
      <c r="J805" s="981" t="s">
        <v>2894</v>
      </c>
      <c r="K805" s="284">
        <f>+(0.235*100)/2</f>
        <v>11.75</v>
      </c>
      <c r="L805" s="981" t="s">
        <v>2895</v>
      </c>
      <c r="M805" s="981"/>
      <c r="N805" s="265">
        <v>2</v>
      </c>
      <c r="O805" s="265">
        <v>0</v>
      </c>
      <c r="P805" s="119">
        <f t="shared" si="149"/>
        <v>0</v>
      </c>
      <c r="Q805" s="139" t="s">
        <v>2896</v>
      </c>
      <c r="R805" s="139" t="s">
        <v>829</v>
      </c>
      <c r="S805" s="981"/>
      <c r="T805" s="981"/>
      <c r="U805" s="981"/>
      <c r="V805" s="981"/>
      <c r="W805" s="981"/>
      <c r="X805" s="981"/>
      <c r="Y805" s="981"/>
      <c r="Z805" s="981"/>
      <c r="AA805" s="981"/>
      <c r="AB805" s="981"/>
      <c r="AC805" s="981"/>
      <c r="AD805" s="981"/>
      <c r="AE805" s="981"/>
      <c r="AF805" s="981"/>
      <c r="AG805" s="981"/>
      <c r="AH805" s="982"/>
      <c r="AI805" s="981"/>
      <c r="AJ805" s="981"/>
      <c r="AK805" s="983" t="s">
        <v>2884</v>
      </c>
      <c r="AL805" s="984" t="s">
        <v>247</v>
      </c>
      <c r="AM805" s="265">
        <v>2</v>
      </c>
    </row>
    <row r="806" spans="1:39" ht="56.25" x14ac:dyDescent="0.25">
      <c r="A806" s="351"/>
      <c r="B806" s="351"/>
      <c r="C806" s="351"/>
      <c r="D806" s="266"/>
      <c r="E806" s="266"/>
      <c r="F806" s="351"/>
      <c r="G806" s="351"/>
      <c r="H806" s="351"/>
      <c r="I806" s="351"/>
      <c r="J806" s="981" t="s">
        <v>2897</v>
      </c>
      <c r="K806" s="284">
        <f>+(0.182*100)/2</f>
        <v>9.1</v>
      </c>
      <c r="L806" s="981" t="s">
        <v>113</v>
      </c>
      <c r="M806" s="981"/>
      <c r="N806" s="265">
        <v>1</v>
      </c>
      <c r="O806" s="265">
        <v>0</v>
      </c>
      <c r="P806" s="119">
        <f t="shared" si="149"/>
        <v>0</v>
      </c>
      <c r="Q806" s="278"/>
      <c r="R806" s="278"/>
      <c r="S806" s="981"/>
      <c r="T806" s="981"/>
      <c r="U806" s="981"/>
      <c r="V806" s="981"/>
      <c r="W806" s="981"/>
      <c r="X806" s="981"/>
      <c r="Y806" s="981"/>
      <c r="Z806" s="981"/>
      <c r="AA806" s="981"/>
      <c r="AB806" s="981"/>
      <c r="AC806" s="981"/>
      <c r="AD806" s="981"/>
      <c r="AE806" s="981"/>
      <c r="AF806" s="981"/>
      <c r="AG806" s="981"/>
      <c r="AH806" s="982"/>
      <c r="AI806" s="981"/>
      <c r="AJ806" s="981"/>
      <c r="AK806" s="983" t="s">
        <v>2884</v>
      </c>
      <c r="AL806" s="984" t="s">
        <v>247</v>
      </c>
      <c r="AM806" s="265">
        <v>1</v>
      </c>
    </row>
    <row r="807" spans="1:39" ht="101.25" x14ac:dyDescent="0.25">
      <c r="A807" s="351"/>
      <c r="B807" s="351"/>
      <c r="C807" s="351"/>
      <c r="D807" s="266"/>
      <c r="E807" s="266"/>
      <c r="F807" s="351"/>
      <c r="G807" s="981" t="s">
        <v>2898</v>
      </c>
      <c r="H807" s="981" t="s">
        <v>2899</v>
      </c>
      <c r="I807" s="981" t="s">
        <v>2900</v>
      </c>
      <c r="J807" s="981" t="s">
        <v>2901</v>
      </c>
      <c r="K807" s="284">
        <f>+(0.239*100)/2</f>
        <v>11.95</v>
      </c>
      <c r="L807" s="981" t="s">
        <v>1466</v>
      </c>
      <c r="M807" s="981"/>
      <c r="N807" s="265">
        <v>1</v>
      </c>
      <c r="O807" s="265">
        <v>0</v>
      </c>
      <c r="P807" s="119">
        <f t="shared" si="149"/>
        <v>0</v>
      </c>
      <c r="Q807" s="265" t="s">
        <v>2902</v>
      </c>
      <c r="R807" s="265" t="s">
        <v>2903</v>
      </c>
      <c r="S807" s="265" t="s">
        <v>411</v>
      </c>
      <c r="T807" s="265" t="s">
        <v>2904</v>
      </c>
      <c r="U807" s="286">
        <f>+'[2]POAI '!$K$69</f>
        <v>50000000</v>
      </c>
      <c r="V807" s="265" t="s">
        <v>55</v>
      </c>
      <c r="W807" s="265"/>
      <c r="X807" s="265"/>
      <c r="Y807" s="265"/>
      <c r="Z807" s="265"/>
      <c r="AA807" s="265"/>
      <c r="AB807" s="265"/>
      <c r="AC807" s="265"/>
      <c r="AD807" s="265"/>
      <c r="AE807" s="265"/>
      <c r="AF807" s="268">
        <v>50000000</v>
      </c>
      <c r="AG807" s="268">
        <v>50000000</v>
      </c>
      <c r="AH807" s="162">
        <f t="shared" ref="AH807:AH808" si="151">+AG807/AF807</f>
        <v>1</v>
      </c>
      <c r="AI807" s="265"/>
      <c r="AJ807" s="265" t="s">
        <v>2905</v>
      </c>
      <c r="AK807" s="983" t="s">
        <v>2884</v>
      </c>
      <c r="AL807" s="983" t="s">
        <v>247</v>
      </c>
      <c r="AM807" s="265">
        <v>1</v>
      </c>
    </row>
    <row r="808" spans="1:39" ht="101.25" x14ac:dyDescent="0.25">
      <c r="A808" s="351"/>
      <c r="B808" s="351"/>
      <c r="C808" s="351"/>
      <c r="D808" s="266"/>
      <c r="E808" s="266"/>
      <c r="F808" s="351"/>
      <c r="G808" s="981" t="s">
        <v>2906</v>
      </c>
      <c r="H808" s="981" t="s">
        <v>2907</v>
      </c>
      <c r="I808" s="981" t="s">
        <v>2908</v>
      </c>
      <c r="J808" s="981" t="s">
        <v>2909</v>
      </c>
      <c r="K808" s="284">
        <f>+(0.138*100)/2</f>
        <v>6.9</v>
      </c>
      <c r="L808" s="981" t="s">
        <v>1998</v>
      </c>
      <c r="M808" s="981"/>
      <c r="N808" s="265">
        <v>5</v>
      </c>
      <c r="O808" s="265">
        <v>0</v>
      </c>
      <c r="P808" s="119">
        <f t="shared" si="149"/>
        <v>0</v>
      </c>
      <c r="Q808" s="265" t="s">
        <v>2910</v>
      </c>
      <c r="R808" s="265" t="s">
        <v>321</v>
      </c>
      <c r="S808" s="265" t="s">
        <v>411</v>
      </c>
      <c r="T808" s="265" t="s">
        <v>2904</v>
      </c>
      <c r="U808" s="286">
        <v>70000000</v>
      </c>
      <c r="V808" s="265" t="s">
        <v>55</v>
      </c>
      <c r="W808" s="265"/>
      <c r="X808" s="265"/>
      <c r="Y808" s="265"/>
      <c r="Z808" s="265"/>
      <c r="AA808" s="265"/>
      <c r="AB808" s="265"/>
      <c r="AC808" s="265"/>
      <c r="AD808" s="265"/>
      <c r="AE808" s="265"/>
      <c r="AF808" s="286">
        <v>70000000</v>
      </c>
      <c r="AG808" s="268">
        <v>0</v>
      </c>
      <c r="AH808" s="162">
        <f t="shared" si="151"/>
        <v>0</v>
      </c>
      <c r="AI808" s="265"/>
      <c r="AJ808" s="265" t="s">
        <v>2911</v>
      </c>
      <c r="AK808" s="983" t="s">
        <v>2884</v>
      </c>
      <c r="AL808" s="983" t="s">
        <v>247</v>
      </c>
      <c r="AM808" s="265">
        <v>5</v>
      </c>
    </row>
    <row r="809" spans="1:39" ht="45" x14ac:dyDescent="0.25">
      <c r="A809" s="351"/>
      <c r="B809" s="351"/>
      <c r="C809" s="351"/>
      <c r="D809" s="266"/>
      <c r="E809" s="266"/>
      <c r="F809" s="351"/>
      <c r="G809" s="351"/>
      <c r="H809" s="351"/>
      <c r="I809" s="351"/>
      <c r="J809" s="981" t="s">
        <v>2912</v>
      </c>
      <c r="K809" s="284">
        <f>+(0.238*100)/2</f>
        <v>11.899999999999999</v>
      </c>
      <c r="L809" s="981" t="s">
        <v>2913</v>
      </c>
      <c r="M809" s="981"/>
      <c r="N809" s="981"/>
      <c r="O809" s="981"/>
      <c r="P809" s="982"/>
      <c r="Q809" s="981"/>
      <c r="R809" s="981"/>
      <c r="S809" s="981"/>
      <c r="T809" s="981"/>
      <c r="U809" s="981"/>
      <c r="V809" s="981"/>
      <c r="W809" s="981"/>
      <c r="X809" s="981"/>
      <c r="Y809" s="981"/>
      <c r="Z809" s="981"/>
      <c r="AA809" s="981"/>
      <c r="AB809" s="981"/>
      <c r="AC809" s="981"/>
      <c r="AD809" s="981"/>
      <c r="AE809" s="981"/>
      <c r="AF809" s="981"/>
      <c r="AG809" s="981"/>
      <c r="AH809" s="982"/>
      <c r="AI809" s="981"/>
      <c r="AJ809" s="981"/>
      <c r="AK809" s="983" t="s">
        <v>2884</v>
      </c>
      <c r="AL809" s="984" t="s">
        <v>293</v>
      </c>
      <c r="AM809" s="265">
        <v>1</v>
      </c>
    </row>
    <row r="810" spans="1:39" ht="56.25" x14ac:dyDescent="0.25">
      <c r="A810" s="351"/>
      <c r="B810" s="351"/>
      <c r="C810" s="351"/>
      <c r="D810" s="266"/>
      <c r="E810" s="266"/>
      <c r="F810" s="351"/>
      <c r="G810" s="351"/>
      <c r="H810" s="351"/>
      <c r="I810" s="351"/>
      <c r="J810" s="981" t="s">
        <v>2914</v>
      </c>
      <c r="K810" s="284">
        <f>+(0.182*100)/2</f>
        <v>9.1</v>
      </c>
      <c r="L810" s="981" t="s">
        <v>2915</v>
      </c>
      <c r="M810" s="981"/>
      <c r="N810" s="981"/>
      <c r="O810" s="981"/>
      <c r="P810" s="982"/>
      <c r="Q810" s="981"/>
      <c r="R810" s="981"/>
      <c r="S810" s="981"/>
      <c r="T810" s="981"/>
      <c r="U810" s="981"/>
      <c r="V810" s="981"/>
      <c r="W810" s="981"/>
      <c r="X810" s="981"/>
      <c r="Y810" s="981"/>
      <c r="Z810" s="981"/>
      <c r="AA810" s="981"/>
      <c r="AB810" s="981"/>
      <c r="AC810" s="981"/>
      <c r="AD810" s="981"/>
      <c r="AE810" s="981"/>
      <c r="AF810" s="981"/>
      <c r="AG810" s="981"/>
      <c r="AH810" s="982"/>
      <c r="AI810" s="981"/>
      <c r="AJ810" s="981"/>
      <c r="AK810" s="983" t="s">
        <v>2884</v>
      </c>
      <c r="AL810" s="984" t="s">
        <v>293</v>
      </c>
      <c r="AM810" s="265">
        <v>1</v>
      </c>
    </row>
    <row r="811" spans="1:39" ht="45" x14ac:dyDescent="0.25">
      <c r="A811" s="351"/>
      <c r="B811" s="351"/>
      <c r="C811" s="351"/>
      <c r="D811" s="266"/>
      <c r="E811" s="266"/>
      <c r="F811" s="351"/>
      <c r="G811" s="351"/>
      <c r="H811" s="351"/>
      <c r="I811" s="351"/>
      <c r="J811" s="981" t="s">
        <v>2916</v>
      </c>
      <c r="K811" s="284">
        <f>+(0.104*100)/2</f>
        <v>5.2</v>
      </c>
      <c r="L811" s="981" t="s">
        <v>2917</v>
      </c>
      <c r="M811" s="981"/>
      <c r="N811" s="981"/>
      <c r="O811" s="981"/>
      <c r="P811" s="982"/>
      <c r="Q811" s="981"/>
      <c r="R811" s="981"/>
      <c r="S811" s="981"/>
      <c r="T811" s="981"/>
      <c r="U811" s="981"/>
      <c r="V811" s="981"/>
      <c r="W811" s="981"/>
      <c r="X811" s="981"/>
      <c r="Y811" s="981"/>
      <c r="Z811" s="981"/>
      <c r="AA811" s="981"/>
      <c r="AB811" s="981"/>
      <c r="AC811" s="981"/>
      <c r="AD811" s="981"/>
      <c r="AE811" s="981"/>
      <c r="AF811" s="981"/>
      <c r="AG811" s="981"/>
      <c r="AH811" s="982"/>
      <c r="AI811" s="981"/>
      <c r="AJ811" s="981"/>
      <c r="AK811" s="983" t="s">
        <v>292</v>
      </c>
      <c r="AL811" s="984" t="s">
        <v>293</v>
      </c>
      <c r="AM811" s="265">
        <v>2</v>
      </c>
    </row>
    <row r="812" spans="1:39" ht="33.75" x14ac:dyDescent="0.25">
      <c r="A812" s="351"/>
      <c r="B812" s="351"/>
      <c r="C812" s="351"/>
      <c r="D812" s="266"/>
      <c r="E812" s="266"/>
      <c r="F812" s="351"/>
      <c r="G812" s="351"/>
      <c r="H812" s="351"/>
      <c r="I812" s="351"/>
      <c r="J812" s="981" t="s">
        <v>2918</v>
      </c>
      <c r="K812" s="284">
        <f>+(0.029*100)/2</f>
        <v>1.4500000000000002</v>
      </c>
      <c r="L812" s="981" t="s">
        <v>2919</v>
      </c>
      <c r="M812" s="981"/>
      <c r="N812" s="981"/>
      <c r="O812" s="981"/>
      <c r="P812" s="982"/>
      <c r="Q812" s="981"/>
      <c r="R812" s="981"/>
      <c r="S812" s="981"/>
      <c r="T812" s="981"/>
      <c r="U812" s="981"/>
      <c r="V812" s="981"/>
      <c r="W812" s="981"/>
      <c r="X812" s="981"/>
      <c r="Y812" s="981"/>
      <c r="Z812" s="981"/>
      <c r="AA812" s="981"/>
      <c r="AB812" s="981"/>
      <c r="AC812" s="981"/>
      <c r="AD812" s="981"/>
      <c r="AE812" s="981"/>
      <c r="AF812" s="981"/>
      <c r="AG812" s="981"/>
      <c r="AH812" s="982"/>
      <c r="AI812" s="981"/>
      <c r="AJ812" s="981"/>
      <c r="AK812" s="983" t="s">
        <v>292</v>
      </c>
      <c r="AL812" s="984" t="s">
        <v>293</v>
      </c>
      <c r="AM812" s="265">
        <v>1</v>
      </c>
    </row>
    <row r="813" spans="1:39" ht="135" x14ac:dyDescent="0.25">
      <c r="A813" s="351"/>
      <c r="B813" s="351"/>
      <c r="C813" s="351"/>
      <c r="D813" s="266"/>
      <c r="E813" s="266"/>
      <c r="F813" s="351"/>
      <c r="G813" s="1030" t="s">
        <v>2920</v>
      </c>
      <c r="H813" s="1031"/>
      <c r="I813" s="1031"/>
      <c r="J813" s="981" t="s">
        <v>2921</v>
      </c>
      <c r="K813" s="284">
        <f>+(0.137*100)/2</f>
        <v>6.8500000000000005</v>
      </c>
      <c r="L813" s="981" t="s">
        <v>2922</v>
      </c>
      <c r="M813" s="981"/>
      <c r="N813" s="265">
        <v>1</v>
      </c>
      <c r="O813" s="265">
        <v>1</v>
      </c>
      <c r="P813" s="119">
        <f>+O813/N813</f>
        <v>1</v>
      </c>
      <c r="Q813" s="139" t="s">
        <v>2923</v>
      </c>
      <c r="R813" s="139" t="s">
        <v>1270</v>
      </c>
      <c r="S813" s="139" t="s">
        <v>2924</v>
      </c>
      <c r="T813" s="139" t="s">
        <v>90</v>
      </c>
      <c r="U813" s="274">
        <v>100000000</v>
      </c>
      <c r="V813" s="274">
        <v>100000000</v>
      </c>
      <c r="W813" s="139" t="s">
        <v>55</v>
      </c>
      <c r="X813" s="139"/>
      <c r="Y813" s="139"/>
      <c r="Z813" s="139"/>
      <c r="AA813" s="139"/>
      <c r="AB813" s="139"/>
      <c r="AC813" s="139"/>
      <c r="AD813" s="139"/>
      <c r="AE813" s="139"/>
      <c r="AF813" s="274">
        <v>100000000</v>
      </c>
      <c r="AG813" s="274">
        <v>99995480</v>
      </c>
      <c r="AH813" s="26">
        <f>+AG813/AF813</f>
        <v>0.99995480000000003</v>
      </c>
      <c r="AI813" s="139" t="s">
        <v>2925</v>
      </c>
      <c r="AJ813" s="139" t="s">
        <v>2926</v>
      </c>
      <c r="AK813" s="139" t="s">
        <v>292</v>
      </c>
      <c r="AL813" s="139" t="s">
        <v>293</v>
      </c>
      <c r="AM813" s="265">
        <v>1</v>
      </c>
    </row>
    <row r="814" spans="1:39" ht="123.75" x14ac:dyDescent="0.25">
      <c r="A814" s="351"/>
      <c r="B814" s="351"/>
      <c r="C814" s="351"/>
      <c r="D814" s="266"/>
      <c r="E814" s="266"/>
      <c r="F814" s="351"/>
      <c r="G814" s="1030" t="s">
        <v>2927</v>
      </c>
      <c r="H814" s="1030" t="s">
        <v>2928</v>
      </c>
      <c r="I814" s="1030" t="s">
        <v>2929</v>
      </c>
      <c r="J814" s="981" t="s">
        <v>2930</v>
      </c>
      <c r="K814" s="284">
        <f>+(0.104*100)/2</f>
        <v>5.2</v>
      </c>
      <c r="L814" s="981" t="s">
        <v>2931</v>
      </c>
      <c r="M814" s="981"/>
      <c r="N814" s="140">
        <v>1</v>
      </c>
      <c r="O814" s="140">
        <v>1</v>
      </c>
      <c r="P814" s="26">
        <f t="shared" ref="P814" si="152">+O814/N814</f>
        <v>1</v>
      </c>
      <c r="Q814" s="139" t="s">
        <v>2932</v>
      </c>
      <c r="R814" s="139" t="s">
        <v>321</v>
      </c>
      <c r="S814" s="139" t="s">
        <v>54</v>
      </c>
      <c r="T814" s="139" t="s">
        <v>89</v>
      </c>
      <c r="U814" s="1032">
        <v>167920011.78</v>
      </c>
      <c r="V814" s="1032">
        <v>167920011.78</v>
      </c>
      <c r="W814" s="1032"/>
      <c r="X814" s="1032"/>
      <c r="Y814" s="1032"/>
      <c r="Z814" s="1032" t="s">
        <v>55</v>
      </c>
      <c r="AA814" s="1032"/>
      <c r="AB814" s="1032"/>
      <c r="AC814" s="1032"/>
      <c r="AD814" s="1032"/>
      <c r="AE814" s="1032"/>
      <c r="AF814" s="1032">
        <v>167920011.78</v>
      </c>
      <c r="AG814" s="1032">
        <v>167920011.78</v>
      </c>
      <c r="AH814" s="26">
        <f>+AG814/AF814</f>
        <v>1</v>
      </c>
      <c r="AI814" s="139" t="s">
        <v>1609</v>
      </c>
      <c r="AJ814" s="139" t="s">
        <v>2933</v>
      </c>
      <c r="AK814" s="139" t="s">
        <v>292</v>
      </c>
      <c r="AL814" s="139" t="s">
        <v>293</v>
      </c>
      <c r="AM814" s="265">
        <v>1</v>
      </c>
    </row>
    <row r="815" spans="1:39" ht="33.75" x14ac:dyDescent="0.25">
      <c r="A815" s="351"/>
      <c r="B815" s="351"/>
      <c r="C815" s="351"/>
      <c r="D815" s="143"/>
      <c r="E815" s="143"/>
      <c r="F815" s="110" t="s">
        <v>158</v>
      </c>
      <c r="G815" s="110"/>
      <c r="H815" s="110"/>
      <c r="I815" s="110"/>
      <c r="J815" s="1009"/>
      <c r="K815" s="1033">
        <f t="shared" ref="K815" si="153">SUM(K803:K814)</f>
        <v>100.05</v>
      </c>
      <c r="L815" s="1009"/>
      <c r="M815" s="1009"/>
      <c r="N815" s="1009"/>
      <c r="O815" s="1009"/>
      <c r="P815" s="1012"/>
      <c r="Q815" s="1009"/>
      <c r="R815" s="1009"/>
      <c r="S815" s="1009"/>
      <c r="T815" s="1009"/>
      <c r="U815" s="1009"/>
      <c r="V815" s="1009"/>
      <c r="W815" s="1009"/>
      <c r="X815" s="1009"/>
      <c r="Y815" s="1009"/>
      <c r="Z815" s="1009"/>
      <c r="AA815" s="1009"/>
      <c r="AB815" s="1009"/>
      <c r="AC815" s="1009"/>
      <c r="AD815" s="1009"/>
      <c r="AE815" s="1009"/>
      <c r="AF815" s="1009"/>
      <c r="AG815" s="1009"/>
      <c r="AH815" s="1012"/>
      <c r="AI815" s="1009"/>
      <c r="AJ815" s="1009"/>
      <c r="AK815" s="1013"/>
      <c r="AL815" s="1014"/>
      <c r="AM815" s="144"/>
    </row>
    <row r="816" spans="1:39" x14ac:dyDescent="0.25">
      <c r="A816" s="351"/>
      <c r="B816" s="351"/>
      <c r="C816" s="351"/>
      <c r="D816" s="279"/>
      <c r="E816" s="279"/>
      <c r="F816" s="1034"/>
      <c r="G816" s="1034"/>
      <c r="H816" s="1034"/>
      <c r="I816" s="1034"/>
      <c r="J816" s="1035"/>
      <c r="K816" s="1036"/>
      <c r="L816" s="1035"/>
      <c r="M816" s="1035"/>
      <c r="N816" s="1035"/>
      <c r="O816" s="1035"/>
      <c r="P816" s="1012"/>
      <c r="Q816" s="1035"/>
      <c r="R816" s="1035"/>
      <c r="S816" s="1035"/>
      <c r="T816" s="1035"/>
      <c r="U816" s="1035"/>
      <c r="V816" s="1035"/>
      <c r="W816" s="1035"/>
      <c r="X816" s="1035"/>
      <c r="Y816" s="1035"/>
      <c r="Z816" s="1035"/>
      <c r="AA816" s="1035"/>
      <c r="AB816" s="1035"/>
      <c r="AC816" s="1035"/>
      <c r="AD816" s="1035"/>
      <c r="AE816" s="1035"/>
      <c r="AF816" s="1035"/>
      <c r="AG816" s="1035"/>
      <c r="AH816" s="1012"/>
      <c r="AI816" s="1035"/>
      <c r="AJ816" s="1035"/>
      <c r="AK816" s="1037"/>
      <c r="AL816" s="1038"/>
      <c r="AM816" s="242"/>
    </row>
    <row r="817" spans="1:39" ht="45" x14ac:dyDescent="0.25">
      <c r="A817" s="351"/>
      <c r="B817" s="351"/>
      <c r="C817" s="351"/>
      <c r="D817" s="266" t="s">
        <v>2934</v>
      </c>
      <c r="E817" s="266"/>
      <c r="F817" s="139" t="s">
        <v>2935</v>
      </c>
      <c r="G817" s="266"/>
      <c r="H817" s="266"/>
      <c r="I817" s="266"/>
      <c r="J817" s="981" t="s">
        <v>2936</v>
      </c>
      <c r="K817" s="284">
        <f t="shared" ref="K817:K863" si="154">+(0.3*100)/4.5</f>
        <v>6.666666666666667</v>
      </c>
      <c r="L817" s="981" t="s">
        <v>2937</v>
      </c>
      <c r="M817" s="991"/>
      <c r="N817" s="991"/>
      <c r="O817" s="991"/>
      <c r="P817" s="1039"/>
      <c r="Q817" s="991"/>
      <c r="R817" s="991"/>
      <c r="S817" s="991"/>
      <c r="T817" s="991"/>
      <c r="U817" s="991"/>
      <c r="V817" s="991"/>
      <c r="W817" s="991"/>
      <c r="X817" s="991"/>
      <c r="Y817" s="991"/>
      <c r="Z817" s="991"/>
      <c r="AA817" s="991"/>
      <c r="AB817" s="991"/>
      <c r="AC817" s="991"/>
      <c r="AD817" s="991"/>
      <c r="AE817" s="991"/>
      <c r="AF817" s="991"/>
      <c r="AG817" s="991"/>
      <c r="AH817" s="1039"/>
      <c r="AI817" s="991"/>
      <c r="AJ817" s="991"/>
      <c r="AK817" s="1040" t="s">
        <v>2938</v>
      </c>
      <c r="AL817" s="1041" t="s">
        <v>247</v>
      </c>
      <c r="AM817" s="1042">
        <v>1</v>
      </c>
    </row>
    <row r="818" spans="1:39" ht="45" x14ac:dyDescent="0.25">
      <c r="A818" s="351"/>
      <c r="B818" s="351"/>
      <c r="C818" s="351"/>
      <c r="D818" s="266"/>
      <c r="E818" s="266"/>
      <c r="F818" s="351"/>
      <c r="G818" s="351"/>
      <c r="H818" s="351"/>
      <c r="I818" s="351"/>
      <c r="J818" s="985" t="s">
        <v>2939</v>
      </c>
      <c r="K818" s="284">
        <f t="shared" si="154"/>
        <v>6.666666666666667</v>
      </c>
      <c r="L818" s="982" t="s">
        <v>2940</v>
      </c>
      <c r="M818" s="982"/>
      <c r="N818" s="982"/>
      <c r="O818" s="982"/>
      <c r="P818" s="982"/>
      <c r="Q818" s="982"/>
      <c r="R818" s="982"/>
      <c r="S818" s="982"/>
      <c r="T818" s="982"/>
      <c r="U818" s="982"/>
      <c r="V818" s="982"/>
      <c r="W818" s="982"/>
      <c r="X818" s="982"/>
      <c r="Y818" s="982"/>
      <c r="Z818" s="982"/>
      <c r="AA818" s="982"/>
      <c r="AB818" s="982"/>
      <c r="AC818" s="982"/>
      <c r="AD818" s="982"/>
      <c r="AE818" s="982"/>
      <c r="AF818" s="982"/>
      <c r="AG818" s="982"/>
      <c r="AH818" s="982"/>
      <c r="AI818" s="982"/>
      <c r="AJ818" s="982"/>
      <c r="AK818" s="983" t="s">
        <v>2938</v>
      </c>
      <c r="AL818" s="984" t="s">
        <v>247</v>
      </c>
      <c r="AM818" s="1043">
        <v>3</v>
      </c>
    </row>
    <row r="819" spans="1:39" ht="112.5" x14ac:dyDescent="0.25">
      <c r="A819" s="351"/>
      <c r="B819" s="351"/>
      <c r="C819" s="351"/>
      <c r="D819" s="266"/>
      <c r="E819" s="266"/>
      <c r="F819" s="351"/>
      <c r="G819" s="981" t="s">
        <v>2941</v>
      </c>
      <c r="H819" s="981" t="s">
        <v>2942</v>
      </c>
      <c r="I819" s="1044" t="s">
        <v>2943</v>
      </c>
      <c r="J819" s="985" t="s">
        <v>2944</v>
      </c>
      <c r="K819" s="305">
        <f t="shared" si="154"/>
        <v>6.666666666666667</v>
      </c>
      <c r="L819" s="981" t="s">
        <v>2945</v>
      </c>
      <c r="M819" s="981"/>
      <c r="N819" s="1043">
        <v>1</v>
      </c>
      <c r="O819" s="1043">
        <v>1</v>
      </c>
      <c r="P819" s="119">
        <f t="shared" ref="P819:P825" si="155">+O819/N819</f>
        <v>1</v>
      </c>
      <c r="Q819" s="1043" t="s">
        <v>2946</v>
      </c>
      <c r="R819" s="1043" t="s">
        <v>2947</v>
      </c>
      <c r="S819" s="1043" t="s">
        <v>966</v>
      </c>
      <c r="T819" s="1043" t="s">
        <v>549</v>
      </c>
      <c r="U819" s="286">
        <v>10000000</v>
      </c>
      <c r="V819" s="1043"/>
      <c r="W819" s="1043"/>
      <c r="X819" s="1043"/>
      <c r="Y819" s="1043"/>
      <c r="Z819" s="1043"/>
      <c r="AA819" s="1043"/>
      <c r="AB819" s="1043"/>
      <c r="AC819" s="1043"/>
      <c r="AD819" s="1043"/>
      <c r="AE819" s="1043" t="s">
        <v>55</v>
      </c>
      <c r="AF819" s="286">
        <v>10000000</v>
      </c>
      <c r="AG819" s="1045">
        <v>9999780</v>
      </c>
      <c r="AH819" s="162">
        <f t="shared" ref="AH819:AH842" si="156">+AG819/AF819</f>
        <v>0.99997800000000003</v>
      </c>
      <c r="AI819" s="1043" t="s">
        <v>2948</v>
      </c>
      <c r="AJ819" s="1043"/>
      <c r="AK819" s="983" t="s">
        <v>2938</v>
      </c>
      <c r="AL819" s="983" t="s">
        <v>247</v>
      </c>
      <c r="AM819" s="1043">
        <v>1</v>
      </c>
    </row>
    <row r="820" spans="1:39" ht="112.5" x14ac:dyDescent="0.25">
      <c r="A820" s="351"/>
      <c r="B820" s="351"/>
      <c r="C820" s="351"/>
      <c r="D820" s="266"/>
      <c r="E820" s="266"/>
      <c r="F820" s="351"/>
      <c r="G820" s="381" t="s">
        <v>2941</v>
      </c>
      <c r="H820" s="981" t="s">
        <v>2949</v>
      </c>
      <c r="I820" s="981" t="s">
        <v>2950</v>
      </c>
      <c r="J820" s="1046"/>
      <c r="K820" s="305"/>
      <c r="L820" s="981"/>
      <c r="M820" s="981"/>
      <c r="N820" s="1043">
        <v>1</v>
      </c>
      <c r="O820" s="1043">
        <v>1</v>
      </c>
      <c r="P820" s="119">
        <f t="shared" si="155"/>
        <v>1</v>
      </c>
      <c r="Q820" s="1043" t="s">
        <v>2951</v>
      </c>
      <c r="R820" s="1043" t="s">
        <v>2947</v>
      </c>
      <c r="S820" s="1043" t="s">
        <v>966</v>
      </c>
      <c r="T820" s="1043" t="s">
        <v>90</v>
      </c>
      <c r="U820" s="286">
        <v>10000000</v>
      </c>
      <c r="V820" s="1043"/>
      <c r="W820" s="1043"/>
      <c r="X820" s="1043"/>
      <c r="Y820" s="1043"/>
      <c r="Z820" s="1043"/>
      <c r="AA820" s="1043"/>
      <c r="AB820" s="1043"/>
      <c r="AC820" s="1043"/>
      <c r="AD820" s="1043"/>
      <c r="AE820" s="1043" t="s">
        <v>55</v>
      </c>
      <c r="AF820" s="286">
        <v>10000000</v>
      </c>
      <c r="AG820" s="268">
        <v>9999780</v>
      </c>
      <c r="AH820" s="162">
        <f t="shared" si="156"/>
        <v>0.99997800000000003</v>
      </c>
      <c r="AI820" s="1043"/>
      <c r="AJ820" s="1043"/>
      <c r="AK820" s="983"/>
      <c r="AL820" s="983"/>
      <c r="AM820" s="1043"/>
    </row>
    <row r="821" spans="1:39" ht="123.75" x14ac:dyDescent="0.25">
      <c r="A821" s="351"/>
      <c r="B821" s="351"/>
      <c r="C821" s="351"/>
      <c r="D821" s="266"/>
      <c r="E821" s="266"/>
      <c r="F821" s="351"/>
      <c r="G821" s="981" t="s">
        <v>2952</v>
      </c>
      <c r="H821" s="981" t="s">
        <v>2953</v>
      </c>
      <c r="I821" s="1044" t="s">
        <v>2954</v>
      </c>
      <c r="J821" s="991"/>
      <c r="K821" s="305"/>
      <c r="L821" s="981"/>
      <c r="M821" s="981"/>
      <c r="N821" s="1043">
        <v>1</v>
      </c>
      <c r="O821" s="1043">
        <v>1</v>
      </c>
      <c r="P821" s="119">
        <f t="shared" si="155"/>
        <v>1</v>
      </c>
      <c r="Q821" s="1043" t="s">
        <v>2955</v>
      </c>
      <c r="R821" s="1043" t="s">
        <v>2956</v>
      </c>
      <c r="S821" s="1043" t="s">
        <v>386</v>
      </c>
      <c r="T821" s="1043" t="s">
        <v>549</v>
      </c>
      <c r="U821" s="286">
        <v>200000000</v>
      </c>
      <c r="V821" s="1043"/>
      <c r="W821" s="1043"/>
      <c r="X821" s="1043"/>
      <c r="Y821" s="1043"/>
      <c r="Z821" s="1043"/>
      <c r="AA821" s="1043"/>
      <c r="AB821" s="1043"/>
      <c r="AC821" s="1043"/>
      <c r="AD821" s="1043"/>
      <c r="AE821" s="1043" t="s">
        <v>55</v>
      </c>
      <c r="AF821" s="286">
        <v>200000000</v>
      </c>
      <c r="AG821" s="268">
        <v>199900000</v>
      </c>
      <c r="AH821" s="162">
        <f t="shared" si="156"/>
        <v>0.99950000000000006</v>
      </c>
      <c r="AI821" s="1043" t="s">
        <v>2948</v>
      </c>
      <c r="AJ821" s="1043"/>
      <c r="AK821" s="983"/>
      <c r="AL821" s="983"/>
      <c r="AM821" s="1043"/>
    </row>
    <row r="822" spans="1:39" ht="101.25" x14ac:dyDescent="0.25">
      <c r="A822" s="351"/>
      <c r="B822" s="351"/>
      <c r="C822" s="351"/>
      <c r="D822" s="266"/>
      <c r="E822" s="266"/>
      <c r="F822" s="351"/>
      <c r="G822" s="981" t="s">
        <v>2957</v>
      </c>
      <c r="H822" s="981" t="s">
        <v>2958</v>
      </c>
      <c r="I822" s="981" t="s">
        <v>2959</v>
      </c>
      <c r="J822" s="991" t="s">
        <v>2960</v>
      </c>
      <c r="K822" s="284">
        <f t="shared" si="154"/>
        <v>6.666666666666667</v>
      </c>
      <c r="L822" s="981" t="s">
        <v>1797</v>
      </c>
      <c r="M822" s="981"/>
      <c r="N822" s="1043">
        <v>1</v>
      </c>
      <c r="O822" s="1043">
        <v>1</v>
      </c>
      <c r="P822" s="119">
        <f t="shared" si="155"/>
        <v>1</v>
      </c>
      <c r="Q822" s="1043" t="s">
        <v>2961</v>
      </c>
      <c r="R822" s="1043" t="s">
        <v>2962</v>
      </c>
      <c r="S822" s="1043" t="s">
        <v>74</v>
      </c>
      <c r="T822" s="1043" t="s">
        <v>549</v>
      </c>
      <c r="U822" s="286">
        <v>10000000</v>
      </c>
      <c r="V822" s="1043"/>
      <c r="W822" s="1043"/>
      <c r="X822" s="1043"/>
      <c r="Y822" s="1043"/>
      <c r="Z822" s="1043"/>
      <c r="AA822" s="1043"/>
      <c r="AB822" s="1043"/>
      <c r="AC822" s="1043"/>
      <c r="AD822" s="1043"/>
      <c r="AE822" s="1043" t="s">
        <v>55</v>
      </c>
      <c r="AF822" s="286">
        <v>10000000</v>
      </c>
      <c r="AG822" s="286">
        <v>10000000</v>
      </c>
      <c r="AH822" s="162">
        <f t="shared" si="156"/>
        <v>1</v>
      </c>
      <c r="AI822" s="1043" t="s">
        <v>2948</v>
      </c>
      <c r="AJ822" s="1043"/>
      <c r="AK822" s="983" t="s">
        <v>2938</v>
      </c>
      <c r="AL822" s="983" t="s">
        <v>247</v>
      </c>
      <c r="AM822" s="1043">
        <v>1</v>
      </c>
    </row>
    <row r="823" spans="1:39" ht="112.5" x14ac:dyDescent="0.25">
      <c r="A823" s="351"/>
      <c r="B823" s="351"/>
      <c r="C823" s="351"/>
      <c r="D823" s="266"/>
      <c r="E823" s="266"/>
      <c r="F823" s="351"/>
      <c r="G823" s="981" t="s">
        <v>2963</v>
      </c>
      <c r="H823" s="981" t="s">
        <v>2964</v>
      </c>
      <c r="I823" s="981" t="s">
        <v>2965</v>
      </c>
      <c r="J823" s="981" t="s">
        <v>2966</v>
      </c>
      <c r="K823" s="284">
        <f t="shared" si="154"/>
        <v>6.666666666666667</v>
      </c>
      <c r="L823" s="981" t="s">
        <v>1857</v>
      </c>
      <c r="M823" s="981"/>
      <c r="N823" s="1043">
        <v>1</v>
      </c>
      <c r="O823" s="1043">
        <v>1</v>
      </c>
      <c r="P823" s="119">
        <f t="shared" si="155"/>
        <v>1</v>
      </c>
      <c r="Q823" s="1043" t="s">
        <v>2967</v>
      </c>
      <c r="R823" s="1043" t="s">
        <v>2968</v>
      </c>
      <c r="S823" s="1043" t="s">
        <v>74</v>
      </c>
      <c r="T823" s="1043" t="s">
        <v>2969</v>
      </c>
      <c r="U823" s="286">
        <v>10000000</v>
      </c>
      <c r="V823" s="1043"/>
      <c r="W823" s="1043"/>
      <c r="X823" s="1043"/>
      <c r="Y823" s="1043"/>
      <c r="Z823" s="1043"/>
      <c r="AA823" s="1043"/>
      <c r="AB823" s="1043"/>
      <c r="AC823" s="1043"/>
      <c r="AD823" s="1043"/>
      <c r="AE823" s="1043" t="s">
        <v>55</v>
      </c>
      <c r="AF823" s="286">
        <v>10000000</v>
      </c>
      <c r="AG823" s="286">
        <v>10000000</v>
      </c>
      <c r="AH823" s="162">
        <f t="shared" si="156"/>
        <v>1</v>
      </c>
      <c r="AI823" s="1043" t="s">
        <v>2948</v>
      </c>
      <c r="AJ823" s="1043"/>
      <c r="AK823" s="983" t="s">
        <v>2938</v>
      </c>
      <c r="AL823" s="983" t="s">
        <v>247</v>
      </c>
      <c r="AM823" s="1043">
        <v>1</v>
      </c>
    </row>
    <row r="824" spans="1:39" ht="101.25" x14ac:dyDescent="0.25">
      <c r="A824" s="351"/>
      <c r="B824" s="351"/>
      <c r="C824" s="351"/>
      <c r="D824" s="266"/>
      <c r="E824" s="266"/>
      <c r="F824" s="351"/>
      <c r="G824" s="1030" t="s">
        <v>2970</v>
      </c>
      <c r="H824" s="981" t="s">
        <v>2964</v>
      </c>
      <c r="I824" s="981" t="s">
        <v>2971</v>
      </c>
      <c r="J824" s="1030" t="s">
        <v>2972</v>
      </c>
      <c r="K824" s="284">
        <f t="shared" si="154"/>
        <v>6.666666666666667</v>
      </c>
      <c r="L824" s="1047" t="s">
        <v>2973</v>
      </c>
      <c r="M824" s="1030"/>
      <c r="N824" s="1048">
        <v>3</v>
      </c>
      <c r="O824" s="1048">
        <v>3</v>
      </c>
      <c r="P824" s="119">
        <f t="shared" si="155"/>
        <v>1</v>
      </c>
      <c r="Q824" s="1043" t="s">
        <v>2974</v>
      </c>
      <c r="R824" s="1043" t="s">
        <v>2975</v>
      </c>
      <c r="S824" s="1043" t="s">
        <v>90</v>
      </c>
      <c r="T824" s="1043" t="s">
        <v>549</v>
      </c>
      <c r="U824" s="286">
        <v>20000000</v>
      </c>
      <c r="V824" s="1043"/>
      <c r="W824" s="1043"/>
      <c r="X824" s="1043"/>
      <c r="Y824" s="1043"/>
      <c r="Z824" s="1043"/>
      <c r="AA824" s="1043"/>
      <c r="AB824" s="1043"/>
      <c r="AC824" s="1043"/>
      <c r="AD824" s="1043"/>
      <c r="AE824" s="1043" t="s">
        <v>55</v>
      </c>
      <c r="AF824" s="286">
        <v>20000000</v>
      </c>
      <c r="AG824" s="268">
        <v>0</v>
      </c>
      <c r="AH824" s="162">
        <f t="shared" si="156"/>
        <v>0</v>
      </c>
      <c r="AI824" s="1043" t="s">
        <v>2976</v>
      </c>
      <c r="AJ824" s="1043"/>
      <c r="AK824" s="983" t="s">
        <v>2938</v>
      </c>
      <c r="AL824" s="983"/>
      <c r="AM824" s="1043">
        <v>3</v>
      </c>
    </row>
    <row r="825" spans="1:39" ht="123.75" x14ac:dyDescent="0.25">
      <c r="A825" s="351"/>
      <c r="B825" s="351"/>
      <c r="C825" s="351"/>
      <c r="D825" s="266"/>
      <c r="E825" s="266"/>
      <c r="F825" s="351"/>
      <c r="G825" s="981" t="s">
        <v>2977</v>
      </c>
      <c r="H825" s="981" t="s">
        <v>2978</v>
      </c>
      <c r="I825" s="981" t="s">
        <v>2979</v>
      </c>
      <c r="J825" s="1047"/>
      <c r="K825" s="1047"/>
      <c r="L825" s="1047"/>
      <c r="M825" s="981"/>
      <c r="N825" s="1043">
        <v>2</v>
      </c>
      <c r="O825" s="1043">
        <v>1</v>
      </c>
      <c r="P825" s="119">
        <f t="shared" si="155"/>
        <v>0.5</v>
      </c>
      <c r="Q825" s="1043" t="s">
        <v>2980</v>
      </c>
      <c r="R825" s="1043" t="s">
        <v>2981</v>
      </c>
      <c r="S825" s="1043" t="s">
        <v>54</v>
      </c>
      <c r="T825" s="1043" t="s">
        <v>549</v>
      </c>
      <c r="U825" s="286">
        <v>118997889.62</v>
      </c>
      <c r="V825" s="1043"/>
      <c r="W825" s="1043"/>
      <c r="X825" s="1043"/>
      <c r="Y825" s="1043"/>
      <c r="Z825" s="1043"/>
      <c r="AA825" s="1043"/>
      <c r="AB825" s="1043"/>
      <c r="AC825" s="1043"/>
      <c r="AD825" s="1043"/>
      <c r="AE825" s="1043" t="s">
        <v>55</v>
      </c>
      <c r="AF825" s="286">
        <v>118997889.62</v>
      </c>
      <c r="AG825" s="268">
        <v>118997628.06</v>
      </c>
      <c r="AH825" s="162">
        <f t="shared" si="156"/>
        <v>0.99999780197782639</v>
      </c>
      <c r="AI825" s="1043" t="s">
        <v>2948</v>
      </c>
      <c r="AJ825" s="1043"/>
      <c r="AK825" s="983"/>
      <c r="AL825" s="983"/>
      <c r="AM825" s="1043"/>
    </row>
    <row r="826" spans="1:39" ht="78.75" x14ac:dyDescent="0.25">
      <c r="A826" s="351"/>
      <c r="B826" s="351"/>
      <c r="C826" s="351"/>
      <c r="D826" s="266"/>
      <c r="E826" s="266"/>
      <c r="F826" s="351"/>
      <c r="G826" s="1030" t="s">
        <v>2982</v>
      </c>
      <c r="H826" s="981" t="s">
        <v>2983</v>
      </c>
      <c r="I826" s="981" t="s">
        <v>2984</v>
      </c>
      <c r="J826" s="1047"/>
      <c r="K826" s="1047"/>
      <c r="L826" s="1047"/>
      <c r="M826" s="1049"/>
      <c r="N826" s="1049"/>
      <c r="O826" s="1049"/>
      <c r="P826" s="1050"/>
      <c r="Q826" s="1043" t="s">
        <v>2985</v>
      </c>
      <c r="R826" s="1043" t="s">
        <v>1270</v>
      </c>
      <c r="S826" s="1043" t="s">
        <v>966</v>
      </c>
      <c r="T826" s="1043" t="s">
        <v>90</v>
      </c>
      <c r="U826" s="286">
        <v>33500000</v>
      </c>
      <c r="V826" s="1043"/>
      <c r="W826" s="1043"/>
      <c r="X826" s="1043"/>
      <c r="Y826" s="1043"/>
      <c r="Z826" s="1043"/>
      <c r="AA826" s="1043"/>
      <c r="AB826" s="1043"/>
      <c r="AC826" s="1043"/>
      <c r="AD826" s="1043"/>
      <c r="AE826" s="1043" t="s">
        <v>55</v>
      </c>
      <c r="AF826" s="286">
        <v>33500000</v>
      </c>
      <c r="AG826" s="268">
        <v>0</v>
      </c>
      <c r="AH826" s="162">
        <f t="shared" si="156"/>
        <v>0</v>
      </c>
      <c r="AI826" s="1043" t="s">
        <v>2948</v>
      </c>
      <c r="AJ826" s="1043" t="s">
        <v>2986</v>
      </c>
      <c r="AK826" s="983" t="s">
        <v>2938</v>
      </c>
      <c r="AL826" s="983"/>
      <c r="AM826" s="1043"/>
    </row>
    <row r="827" spans="1:39" ht="146.25" x14ac:dyDescent="0.25">
      <c r="A827" s="351"/>
      <c r="B827" s="351"/>
      <c r="C827" s="351"/>
      <c r="D827" s="266"/>
      <c r="E827" s="266"/>
      <c r="F827" s="351"/>
      <c r="G827" s="981" t="s">
        <v>2987</v>
      </c>
      <c r="H827" s="981" t="s">
        <v>2988</v>
      </c>
      <c r="I827" s="981" t="s">
        <v>2989</v>
      </c>
      <c r="J827" s="1047"/>
      <c r="K827" s="1047"/>
      <c r="L827" s="1047"/>
      <c r="M827" s="1030"/>
      <c r="N827" s="1051">
        <v>2</v>
      </c>
      <c r="O827" s="1051">
        <v>1</v>
      </c>
      <c r="P827" s="26">
        <f t="shared" ref="P827" si="157">+O827/N827</f>
        <v>0.5</v>
      </c>
      <c r="Q827" s="1043" t="s">
        <v>2990</v>
      </c>
      <c r="R827" s="1043" t="s">
        <v>2991</v>
      </c>
      <c r="S827" s="1043" t="s">
        <v>2992</v>
      </c>
      <c r="T827" s="1043" t="s">
        <v>549</v>
      </c>
      <c r="U827" s="286">
        <v>130000000</v>
      </c>
      <c r="V827" s="1043"/>
      <c r="W827" s="1043"/>
      <c r="X827" s="1043"/>
      <c r="Y827" s="1043"/>
      <c r="Z827" s="1043"/>
      <c r="AA827" s="1043"/>
      <c r="AB827" s="1043"/>
      <c r="AC827" s="1043"/>
      <c r="AD827" s="1043"/>
      <c r="AE827" s="1043" t="s">
        <v>55</v>
      </c>
      <c r="AF827" s="286">
        <v>130000000</v>
      </c>
      <c r="AG827" s="268">
        <v>129346560</v>
      </c>
      <c r="AH827" s="162">
        <f t="shared" si="156"/>
        <v>0.99497353846153846</v>
      </c>
      <c r="AI827" s="1043" t="s">
        <v>2948</v>
      </c>
      <c r="AJ827" s="1043"/>
      <c r="AK827" s="983"/>
      <c r="AL827" s="983"/>
      <c r="AM827" s="1043"/>
    </row>
    <row r="828" spans="1:39" ht="157.5" x14ac:dyDescent="0.25">
      <c r="A828" s="351"/>
      <c r="B828" s="351"/>
      <c r="C828" s="351"/>
      <c r="D828" s="266"/>
      <c r="E828" s="266"/>
      <c r="F828" s="351"/>
      <c r="G828" s="981" t="s">
        <v>2993</v>
      </c>
      <c r="H828" s="981" t="s">
        <v>2994</v>
      </c>
      <c r="I828" s="981" t="s">
        <v>2995</v>
      </c>
      <c r="J828" s="1047"/>
      <c r="K828" s="1047"/>
      <c r="L828" s="1047"/>
      <c r="M828" s="1049"/>
      <c r="N828" s="1052"/>
      <c r="O828" s="1052"/>
      <c r="P828" s="191"/>
      <c r="Q828" s="265" t="s">
        <v>2996</v>
      </c>
      <c r="R828" s="265" t="s">
        <v>2997</v>
      </c>
      <c r="S828" s="1043" t="s">
        <v>386</v>
      </c>
      <c r="T828" s="1043" t="s">
        <v>460</v>
      </c>
      <c r="U828" s="268">
        <v>50000000</v>
      </c>
      <c r="V828" s="1043"/>
      <c r="W828" s="1043"/>
      <c r="X828" s="1043"/>
      <c r="Y828" s="1043"/>
      <c r="Z828" s="1043"/>
      <c r="AA828" s="1043"/>
      <c r="AB828" s="1043"/>
      <c r="AC828" s="1043"/>
      <c r="AD828" s="1043"/>
      <c r="AE828" s="1043" t="s">
        <v>55</v>
      </c>
      <c r="AF828" s="268">
        <v>50000000</v>
      </c>
      <c r="AG828" s="268">
        <v>49999944</v>
      </c>
      <c r="AH828" s="162">
        <f t="shared" si="156"/>
        <v>0.99999888000000003</v>
      </c>
      <c r="AI828" s="1043" t="s">
        <v>2948</v>
      </c>
      <c r="AJ828" s="1043"/>
      <c r="AK828" s="983"/>
      <c r="AL828" s="983"/>
      <c r="AM828" s="1043"/>
    </row>
    <row r="829" spans="1:39" ht="135" x14ac:dyDescent="0.25">
      <c r="A829" s="351"/>
      <c r="B829" s="351"/>
      <c r="C829" s="351"/>
      <c r="D829" s="266"/>
      <c r="E829" s="266"/>
      <c r="F829" s="351"/>
      <c r="G829" s="981" t="s">
        <v>2998</v>
      </c>
      <c r="H829" s="981" t="s">
        <v>2994</v>
      </c>
      <c r="I829" s="981" t="s">
        <v>2995</v>
      </c>
      <c r="J829" s="1047"/>
      <c r="K829" s="1047"/>
      <c r="L829" s="1047"/>
      <c r="M829" s="981"/>
      <c r="N829" s="1043">
        <v>2</v>
      </c>
      <c r="O829" s="1043">
        <v>2</v>
      </c>
      <c r="P829" s="119">
        <f t="shared" ref="P829:P830" si="158">+O829/N829</f>
        <v>1</v>
      </c>
      <c r="Q829" s="265" t="s">
        <v>2999</v>
      </c>
      <c r="R829" s="265" t="s">
        <v>2997</v>
      </c>
      <c r="S829" s="1053">
        <v>41699</v>
      </c>
      <c r="T829" s="1053">
        <v>41791</v>
      </c>
      <c r="U829" s="286">
        <v>197000000</v>
      </c>
      <c r="V829" s="1043"/>
      <c r="W829" s="1043"/>
      <c r="X829" s="1043"/>
      <c r="Y829" s="1043"/>
      <c r="Z829" s="1043"/>
      <c r="AA829" s="1043"/>
      <c r="AB829" s="1043"/>
      <c r="AC829" s="1043"/>
      <c r="AD829" s="1043"/>
      <c r="AE829" s="1043" t="s">
        <v>55</v>
      </c>
      <c r="AF829" s="286">
        <v>197000000</v>
      </c>
      <c r="AG829" s="286">
        <v>197000000</v>
      </c>
      <c r="AH829" s="162">
        <f t="shared" si="156"/>
        <v>1</v>
      </c>
      <c r="AI829" s="118" t="s">
        <v>3000</v>
      </c>
      <c r="AJ829" s="1043"/>
      <c r="AK829" s="983"/>
      <c r="AL829" s="983"/>
      <c r="AM829" s="1043"/>
    </row>
    <row r="830" spans="1:39" ht="101.25" x14ac:dyDescent="0.25">
      <c r="A830" s="351"/>
      <c r="B830" s="351"/>
      <c r="C830" s="351"/>
      <c r="D830" s="266"/>
      <c r="E830" s="266"/>
      <c r="F830" s="351"/>
      <c r="G830" s="981" t="s">
        <v>3001</v>
      </c>
      <c r="H830" s="981" t="s">
        <v>3002</v>
      </c>
      <c r="I830" s="981" t="s">
        <v>3003</v>
      </c>
      <c r="J830" s="1047"/>
      <c r="K830" s="1047"/>
      <c r="L830" s="1047"/>
      <c r="M830" s="1030"/>
      <c r="N830" s="1054">
        <v>2</v>
      </c>
      <c r="O830" s="1030">
        <v>0.02</v>
      </c>
      <c r="P830" s="26">
        <f t="shared" si="158"/>
        <v>0.01</v>
      </c>
      <c r="Q830" s="1043" t="s">
        <v>3004</v>
      </c>
      <c r="R830" s="1043" t="s">
        <v>2991</v>
      </c>
      <c r="S830" s="1043" t="s">
        <v>3005</v>
      </c>
      <c r="T830" s="1043" t="s">
        <v>549</v>
      </c>
      <c r="U830" s="286">
        <v>154000000</v>
      </c>
      <c r="V830" s="1043"/>
      <c r="W830" s="1043"/>
      <c r="X830" s="1043"/>
      <c r="Y830" s="1043"/>
      <c r="Z830" s="1043"/>
      <c r="AA830" s="1043"/>
      <c r="AB830" s="1043"/>
      <c r="AC830" s="1043"/>
      <c r="AD830" s="1043"/>
      <c r="AE830" s="1043" t="s">
        <v>55</v>
      </c>
      <c r="AF830" s="286">
        <v>154000000</v>
      </c>
      <c r="AG830" s="286">
        <v>154000000</v>
      </c>
      <c r="AH830" s="162">
        <f t="shared" si="156"/>
        <v>1</v>
      </c>
      <c r="AI830" s="1043" t="s">
        <v>2948</v>
      </c>
      <c r="AJ830" s="1043"/>
      <c r="AK830" s="983"/>
      <c r="AL830" s="983"/>
      <c r="AM830" s="1043"/>
    </row>
    <row r="831" spans="1:39" ht="67.5" x14ac:dyDescent="0.25">
      <c r="A831" s="351"/>
      <c r="B831" s="351"/>
      <c r="C831" s="351"/>
      <c r="D831" s="266"/>
      <c r="E831" s="266"/>
      <c r="F831" s="351"/>
      <c r="G831" s="981" t="s">
        <v>3006</v>
      </c>
      <c r="H831" s="981" t="s">
        <v>3007</v>
      </c>
      <c r="I831" s="981" t="s">
        <v>3008</v>
      </c>
      <c r="J831" s="1047"/>
      <c r="K831" s="1047"/>
      <c r="L831" s="1047"/>
      <c r="M831" s="1049"/>
      <c r="N831" s="1049"/>
      <c r="O831" s="1049"/>
      <c r="P831" s="162"/>
      <c r="Q831" s="1043" t="s">
        <v>3009</v>
      </c>
      <c r="R831" s="1043" t="s">
        <v>3010</v>
      </c>
      <c r="S831" s="1043" t="s">
        <v>966</v>
      </c>
      <c r="T831" s="1043" t="s">
        <v>549</v>
      </c>
      <c r="U831" s="286">
        <v>50000000</v>
      </c>
      <c r="V831" s="1043"/>
      <c r="W831" s="1043"/>
      <c r="X831" s="1043"/>
      <c r="Y831" s="1043"/>
      <c r="Z831" s="1043"/>
      <c r="AA831" s="1043"/>
      <c r="AB831" s="1043"/>
      <c r="AC831" s="1043"/>
      <c r="AD831" s="1043"/>
      <c r="AE831" s="1043" t="s">
        <v>55</v>
      </c>
      <c r="AF831" s="286">
        <v>50000000</v>
      </c>
      <c r="AG831" s="286">
        <v>50000000</v>
      </c>
      <c r="AH831" s="162">
        <f t="shared" si="156"/>
        <v>1</v>
      </c>
      <c r="AI831" s="1043" t="s">
        <v>2948</v>
      </c>
      <c r="AJ831" s="1043"/>
      <c r="AK831" s="983"/>
      <c r="AL831" s="983"/>
      <c r="AM831" s="1043"/>
    </row>
    <row r="832" spans="1:39" ht="112.5" x14ac:dyDescent="0.25">
      <c r="A832" s="351"/>
      <c r="B832" s="351"/>
      <c r="C832" s="351"/>
      <c r="D832" s="266"/>
      <c r="E832" s="266"/>
      <c r="F832" s="351"/>
      <c r="G832" s="981" t="s">
        <v>3011</v>
      </c>
      <c r="H832" s="981" t="s">
        <v>3012</v>
      </c>
      <c r="I832" s="117" t="s">
        <v>3013</v>
      </c>
      <c r="J832" s="981" t="s">
        <v>3014</v>
      </c>
      <c r="K832" s="284">
        <f t="shared" si="154"/>
        <v>6.666666666666667</v>
      </c>
      <c r="L832" s="981" t="s">
        <v>3015</v>
      </c>
      <c r="M832" s="981"/>
      <c r="N832" s="1043">
        <v>1</v>
      </c>
      <c r="O832" s="1043">
        <v>1</v>
      </c>
      <c r="P832" s="119">
        <f t="shared" ref="P832:P840" si="159">+O832/N832</f>
        <v>1</v>
      </c>
      <c r="Q832" s="1043" t="s">
        <v>3016</v>
      </c>
      <c r="R832" s="1043" t="s">
        <v>3017</v>
      </c>
      <c r="S832" s="1043" t="s">
        <v>386</v>
      </c>
      <c r="T832" s="1043" t="s">
        <v>549</v>
      </c>
      <c r="U832" s="286">
        <v>67519533.950000003</v>
      </c>
      <c r="V832" s="1043"/>
      <c r="W832" s="1043"/>
      <c r="X832" s="1043"/>
      <c r="Y832" s="1043"/>
      <c r="Z832" s="1043"/>
      <c r="AA832" s="1043"/>
      <c r="AB832" s="1043"/>
      <c r="AC832" s="1043"/>
      <c r="AD832" s="1043"/>
      <c r="AE832" s="1043" t="s">
        <v>55</v>
      </c>
      <c r="AF832" s="286">
        <v>67519533.950000003</v>
      </c>
      <c r="AG832" s="268">
        <v>53272866.670000002</v>
      </c>
      <c r="AH832" s="162">
        <f t="shared" si="156"/>
        <v>0.78899932439477394</v>
      </c>
      <c r="AI832" s="1043" t="s">
        <v>2948</v>
      </c>
      <c r="AJ832" s="1043"/>
      <c r="AK832" s="983" t="s">
        <v>2938</v>
      </c>
      <c r="AL832" s="983" t="s">
        <v>247</v>
      </c>
      <c r="AM832" s="1043">
        <v>1</v>
      </c>
    </row>
    <row r="833" spans="1:39" ht="78.75" x14ac:dyDescent="0.25">
      <c r="A833" s="351"/>
      <c r="B833" s="351"/>
      <c r="C833" s="351"/>
      <c r="D833" s="266"/>
      <c r="E833" s="266"/>
      <c r="F833" s="351"/>
      <c r="G833" s="981" t="s">
        <v>3018</v>
      </c>
      <c r="H833" s="981" t="s">
        <v>3019</v>
      </c>
      <c r="I833" s="981" t="s">
        <v>3020</v>
      </c>
      <c r="J833" s="981" t="s">
        <v>3021</v>
      </c>
      <c r="K833" s="284">
        <f t="shared" si="154"/>
        <v>6.666666666666667</v>
      </c>
      <c r="L833" s="981" t="s">
        <v>3022</v>
      </c>
      <c r="M833" s="981"/>
      <c r="N833" s="1043">
        <v>1</v>
      </c>
      <c r="O833" s="1043">
        <v>1</v>
      </c>
      <c r="P833" s="119">
        <f t="shared" si="159"/>
        <v>1</v>
      </c>
      <c r="Q833" s="1043" t="s">
        <v>3023</v>
      </c>
      <c r="R833" s="1043" t="s">
        <v>3024</v>
      </c>
      <c r="S833" s="1043" t="s">
        <v>386</v>
      </c>
      <c r="T833" s="1043" t="s">
        <v>549</v>
      </c>
      <c r="U833" s="286">
        <v>150000000</v>
      </c>
      <c r="V833" s="1043"/>
      <c r="W833" s="1043"/>
      <c r="X833" s="1043"/>
      <c r="Y833" s="1043"/>
      <c r="Z833" s="1043"/>
      <c r="AA833" s="1043"/>
      <c r="AB833" s="1043"/>
      <c r="AC833" s="1043"/>
      <c r="AD833" s="1043"/>
      <c r="AE833" s="1043" t="s">
        <v>55</v>
      </c>
      <c r="AF833" s="286">
        <v>150000000</v>
      </c>
      <c r="AG833" s="268">
        <v>76000000</v>
      </c>
      <c r="AH833" s="162">
        <f t="shared" si="156"/>
        <v>0.50666666666666671</v>
      </c>
      <c r="AI833" s="1043" t="s">
        <v>2948</v>
      </c>
      <c r="AJ833" s="1043"/>
      <c r="AK833" s="983" t="s">
        <v>2938</v>
      </c>
      <c r="AL833" s="983" t="s">
        <v>247</v>
      </c>
      <c r="AM833" s="1043">
        <v>1</v>
      </c>
    </row>
    <row r="834" spans="1:39" ht="90" x14ac:dyDescent="0.25">
      <c r="A834" s="351"/>
      <c r="B834" s="351"/>
      <c r="C834" s="351"/>
      <c r="D834" s="266"/>
      <c r="E834" s="266"/>
      <c r="F834" s="351"/>
      <c r="G834" s="981" t="s">
        <v>3025</v>
      </c>
      <c r="H834" s="981" t="s">
        <v>3026</v>
      </c>
      <c r="I834" s="981" t="s">
        <v>3027</v>
      </c>
      <c r="J834" s="981" t="s">
        <v>3028</v>
      </c>
      <c r="K834" s="284">
        <f t="shared" si="154"/>
        <v>6.666666666666667</v>
      </c>
      <c r="L834" s="981" t="s">
        <v>102</v>
      </c>
      <c r="M834" s="981"/>
      <c r="N834" s="1043">
        <v>1</v>
      </c>
      <c r="O834" s="1043">
        <v>1</v>
      </c>
      <c r="P834" s="119">
        <f t="shared" si="159"/>
        <v>1</v>
      </c>
      <c r="Q834" s="1043" t="s">
        <v>3029</v>
      </c>
      <c r="R834" s="1043" t="s">
        <v>3030</v>
      </c>
      <c r="S834" s="1043" t="s">
        <v>74</v>
      </c>
      <c r="T834" s="1043" t="s">
        <v>549</v>
      </c>
      <c r="U834" s="286">
        <v>15000000</v>
      </c>
      <c r="V834" s="1043"/>
      <c r="W834" s="1043"/>
      <c r="X834" s="1043"/>
      <c r="Y834" s="1043"/>
      <c r="Z834" s="1043"/>
      <c r="AA834" s="1043"/>
      <c r="AB834" s="1043"/>
      <c r="AC834" s="1043"/>
      <c r="AD834" s="1043"/>
      <c r="AE834" s="1043" t="s">
        <v>55</v>
      </c>
      <c r="AF834" s="286">
        <v>15000000</v>
      </c>
      <c r="AG834" s="268">
        <v>14999612</v>
      </c>
      <c r="AH834" s="162">
        <f t="shared" si="156"/>
        <v>0.99997413333333329</v>
      </c>
      <c r="AI834" s="1043" t="s">
        <v>2948</v>
      </c>
      <c r="AJ834" s="1043"/>
      <c r="AK834" s="983" t="s">
        <v>2938</v>
      </c>
      <c r="AL834" s="983" t="s">
        <v>247</v>
      </c>
      <c r="AM834" s="1043">
        <v>1</v>
      </c>
    </row>
    <row r="835" spans="1:39" ht="90" x14ac:dyDescent="0.25">
      <c r="A835" s="351"/>
      <c r="B835" s="351"/>
      <c r="C835" s="351"/>
      <c r="D835" s="266"/>
      <c r="E835" s="266"/>
      <c r="F835" s="351"/>
      <c r="G835" s="981" t="s">
        <v>3031</v>
      </c>
      <c r="H835" s="981" t="s">
        <v>3032</v>
      </c>
      <c r="I835" s="981" t="s">
        <v>3033</v>
      </c>
      <c r="J835" s="981" t="s">
        <v>3034</v>
      </c>
      <c r="K835" s="284">
        <f t="shared" si="154"/>
        <v>6.666666666666667</v>
      </c>
      <c r="L835" s="981" t="s">
        <v>3035</v>
      </c>
      <c r="M835" s="981"/>
      <c r="N835" s="1043">
        <v>1</v>
      </c>
      <c r="O835" s="1043">
        <v>1</v>
      </c>
      <c r="P835" s="119">
        <f t="shared" si="159"/>
        <v>1</v>
      </c>
      <c r="Q835" s="1043" t="s">
        <v>3036</v>
      </c>
      <c r="R835" s="1043" t="s">
        <v>3037</v>
      </c>
      <c r="S835" s="1043" t="s">
        <v>966</v>
      </c>
      <c r="T835" s="1043" t="s">
        <v>549</v>
      </c>
      <c r="U835" s="286">
        <v>50000000</v>
      </c>
      <c r="V835" s="268"/>
      <c r="W835" s="1043"/>
      <c r="X835" s="1043"/>
      <c r="Y835" s="1043"/>
      <c r="Z835" s="1043"/>
      <c r="AA835" s="1043"/>
      <c r="AB835" s="1043"/>
      <c r="AC835" s="1043"/>
      <c r="AD835" s="1043"/>
      <c r="AE835" s="1043" t="s">
        <v>55</v>
      </c>
      <c r="AF835" s="286">
        <v>50000000</v>
      </c>
      <c r="AG835" s="268">
        <v>49996000</v>
      </c>
      <c r="AH835" s="162">
        <f t="shared" si="156"/>
        <v>0.99992000000000003</v>
      </c>
      <c r="AI835" s="1043" t="s">
        <v>2948</v>
      </c>
      <c r="AJ835" s="1043"/>
      <c r="AK835" s="983" t="s">
        <v>2938</v>
      </c>
      <c r="AL835" s="983" t="s">
        <v>247</v>
      </c>
      <c r="AM835" s="1043">
        <v>1</v>
      </c>
    </row>
    <row r="836" spans="1:39" ht="101.25" x14ac:dyDescent="0.25">
      <c r="A836" s="351"/>
      <c r="B836" s="351"/>
      <c r="C836" s="351"/>
      <c r="D836" s="266"/>
      <c r="E836" s="266"/>
      <c r="F836" s="351"/>
      <c r="G836" s="981" t="s">
        <v>3038</v>
      </c>
      <c r="H836" s="981" t="s">
        <v>2964</v>
      </c>
      <c r="I836" s="981" t="s">
        <v>3039</v>
      </c>
      <c r="J836" s="981" t="s">
        <v>3040</v>
      </c>
      <c r="K836" s="284">
        <f t="shared" si="154"/>
        <v>6.666666666666667</v>
      </c>
      <c r="L836" s="981" t="s">
        <v>102</v>
      </c>
      <c r="M836" s="981"/>
      <c r="N836" s="1043">
        <v>1</v>
      </c>
      <c r="O836" s="1043">
        <v>1</v>
      </c>
      <c r="P836" s="119">
        <f t="shared" si="159"/>
        <v>1</v>
      </c>
      <c r="Q836" s="1043" t="s">
        <v>3041</v>
      </c>
      <c r="R836" s="1043" t="s">
        <v>3042</v>
      </c>
      <c r="S836" s="1043" t="s">
        <v>89</v>
      </c>
      <c r="T836" s="1043" t="s">
        <v>3043</v>
      </c>
      <c r="U836" s="286">
        <v>15000000</v>
      </c>
      <c r="V836" s="1043"/>
      <c r="W836" s="1043"/>
      <c r="X836" s="1043"/>
      <c r="Y836" s="1043"/>
      <c r="Z836" s="1043"/>
      <c r="AA836" s="1043"/>
      <c r="AB836" s="1043"/>
      <c r="AC836" s="1043"/>
      <c r="AD836" s="1043"/>
      <c r="AE836" s="1043" t="s">
        <v>55</v>
      </c>
      <c r="AF836" s="286">
        <v>15000000</v>
      </c>
      <c r="AG836" s="286">
        <v>15000000</v>
      </c>
      <c r="AH836" s="162">
        <f t="shared" si="156"/>
        <v>1</v>
      </c>
      <c r="AI836" s="1043" t="s">
        <v>2948</v>
      </c>
      <c r="AJ836" s="1043"/>
      <c r="AK836" s="983" t="s">
        <v>2938</v>
      </c>
      <c r="AL836" s="983" t="s">
        <v>247</v>
      </c>
      <c r="AM836" s="1043">
        <v>1</v>
      </c>
    </row>
    <row r="837" spans="1:39" ht="135" x14ac:dyDescent="0.25">
      <c r="A837" s="351"/>
      <c r="B837" s="351"/>
      <c r="C837" s="351"/>
      <c r="D837" s="266"/>
      <c r="E837" s="266"/>
      <c r="F837" s="351"/>
      <c r="G837" s="981" t="s">
        <v>3044</v>
      </c>
      <c r="H837" s="981" t="s">
        <v>3045</v>
      </c>
      <c r="I837" s="981" t="s">
        <v>3046</v>
      </c>
      <c r="J837" s="981" t="s">
        <v>3047</v>
      </c>
      <c r="K837" s="284">
        <f t="shared" si="154"/>
        <v>6.666666666666667</v>
      </c>
      <c r="L837" s="981" t="s">
        <v>3022</v>
      </c>
      <c r="M837" s="981"/>
      <c r="N837" s="1043">
        <v>1</v>
      </c>
      <c r="O837" s="1043">
        <v>1</v>
      </c>
      <c r="P837" s="119">
        <f t="shared" si="159"/>
        <v>1</v>
      </c>
      <c r="Q837" s="1043" t="s">
        <v>3048</v>
      </c>
      <c r="R837" s="1043" t="s">
        <v>3049</v>
      </c>
      <c r="S837" s="1043" t="s">
        <v>966</v>
      </c>
      <c r="T837" s="1043" t="s">
        <v>432</v>
      </c>
      <c r="U837" s="286">
        <v>50000000</v>
      </c>
      <c r="V837" s="1043"/>
      <c r="W837" s="1043"/>
      <c r="X837" s="1043"/>
      <c r="Y837" s="1043"/>
      <c r="Z837" s="1043"/>
      <c r="AA837" s="1043"/>
      <c r="AB837" s="1043"/>
      <c r="AC837" s="1043"/>
      <c r="AD837" s="1043"/>
      <c r="AE837" s="1043" t="s">
        <v>55</v>
      </c>
      <c r="AF837" s="286">
        <v>50000000</v>
      </c>
      <c r="AG837" s="286">
        <v>50000000</v>
      </c>
      <c r="AH837" s="162">
        <f t="shared" si="156"/>
        <v>1</v>
      </c>
      <c r="AI837" s="1043" t="s">
        <v>1922</v>
      </c>
      <c r="AJ837" s="1043" t="s">
        <v>3050</v>
      </c>
      <c r="AK837" s="983" t="s">
        <v>2938</v>
      </c>
      <c r="AL837" s="983" t="s">
        <v>247</v>
      </c>
      <c r="AM837" s="1043">
        <v>1</v>
      </c>
    </row>
    <row r="838" spans="1:39" ht="135" x14ac:dyDescent="0.25">
      <c r="A838" s="351"/>
      <c r="B838" s="351"/>
      <c r="C838" s="351"/>
      <c r="D838" s="266"/>
      <c r="E838" s="266"/>
      <c r="F838" s="351"/>
      <c r="G838" s="981" t="s">
        <v>3051</v>
      </c>
      <c r="H838" s="981" t="s">
        <v>3052</v>
      </c>
      <c r="I838" s="981" t="s">
        <v>3053</v>
      </c>
      <c r="J838" s="985" t="s">
        <v>3054</v>
      </c>
      <c r="K838" s="284">
        <f t="shared" si="154"/>
        <v>6.666666666666667</v>
      </c>
      <c r="L838" s="981" t="s">
        <v>229</v>
      </c>
      <c r="M838" s="981"/>
      <c r="N838" s="1043">
        <v>1</v>
      </c>
      <c r="O838" s="1043">
        <v>1</v>
      </c>
      <c r="P838" s="119">
        <f t="shared" si="159"/>
        <v>1</v>
      </c>
      <c r="Q838" s="1043" t="s">
        <v>3055</v>
      </c>
      <c r="R838" s="1043" t="s">
        <v>3056</v>
      </c>
      <c r="S838" s="1043" t="s">
        <v>548</v>
      </c>
      <c r="T838" s="1043" t="s">
        <v>549</v>
      </c>
      <c r="U838" s="286">
        <v>54175496</v>
      </c>
      <c r="V838" s="1043"/>
      <c r="W838" s="1043"/>
      <c r="X838" s="1043"/>
      <c r="Y838" s="1043"/>
      <c r="Z838" s="1043"/>
      <c r="AA838" s="1043"/>
      <c r="AB838" s="1043"/>
      <c r="AC838" s="1043"/>
      <c r="AD838" s="1043"/>
      <c r="AE838" s="1043" t="s">
        <v>55</v>
      </c>
      <c r="AF838" s="286">
        <v>54175496</v>
      </c>
      <c r="AG838" s="286">
        <v>54175496</v>
      </c>
      <c r="AH838" s="162">
        <f t="shared" si="156"/>
        <v>1</v>
      </c>
      <c r="AI838" s="1043" t="s">
        <v>2948</v>
      </c>
      <c r="AJ838" s="1043"/>
      <c r="AK838" s="983"/>
      <c r="AL838" s="983"/>
      <c r="AM838" s="1043">
        <v>1</v>
      </c>
    </row>
    <row r="839" spans="1:39" ht="112.5" x14ac:dyDescent="0.25">
      <c r="A839" s="351"/>
      <c r="B839" s="351"/>
      <c r="C839" s="351"/>
      <c r="D839" s="266"/>
      <c r="E839" s="266"/>
      <c r="F839" s="351"/>
      <c r="G839" s="981" t="s">
        <v>3057</v>
      </c>
      <c r="H839" s="981" t="s">
        <v>3052</v>
      </c>
      <c r="I839" s="981" t="s">
        <v>3053</v>
      </c>
      <c r="J839" s="981" t="s">
        <v>3054</v>
      </c>
      <c r="K839" s="284"/>
      <c r="L839" s="985"/>
      <c r="M839" s="981"/>
      <c r="N839" s="1043">
        <v>1</v>
      </c>
      <c r="O839" s="1043">
        <v>1</v>
      </c>
      <c r="P839" s="119">
        <f t="shared" si="159"/>
        <v>1</v>
      </c>
      <c r="Q839" s="1043" t="s">
        <v>3058</v>
      </c>
      <c r="R839" s="1043" t="s">
        <v>3059</v>
      </c>
      <c r="S839" s="1043" t="s">
        <v>484</v>
      </c>
      <c r="T839" s="1043" t="s">
        <v>549</v>
      </c>
      <c r="U839" s="268">
        <v>61819657</v>
      </c>
      <c r="V839" s="1043"/>
      <c r="W839" s="1043"/>
      <c r="X839" s="1043"/>
      <c r="Y839" s="1043"/>
      <c r="Z839" s="1043"/>
      <c r="AA839" s="1043"/>
      <c r="AB839" s="1043"/>
      <c r="AC839" s="1043"/>
      <c r="AD839" s="1043"/>
      <c r="AE839" s="1043" t="s">
        <v>55</v>
      </c>
      <c r="AF839" s="268">
        <v>61819657</v>
      </c>
      <c r="AG839" s="268">
        <v>61239504.399999999</v>
      </c>
      <c r="AH839" s="162">
        <f t="shared" si="156"/>
        <v>0.99061540247627056</v>
      </c>
      <c r="AI839" s="1043" t="s">
        <v>2948</v>
      </c>
      <c r="AJ839" s="1043"/>
      <c r="AK839" s="983"/>
      <c r="AL839" s="983"/>
      <c r="AM839" s="1043"/>
    </row>
    <row r="840" spans="1:39" ht="90" x14ac:dyDescent="0.25">
      <c r="A840" s="351"/>
      <c r="B840" s="351"/>
      <c r="C840" s="351"/>
      <c r="D840" s="266"/>
      <c r="E840" s="266"/>
      <c r="F840" s="351"/>
      <c r="G840" s="981" t="s">
        <v>3060</v>
      </c>
      <c r="H840" s="981" t="s">
        <v>3061</v>
      </c>
      <c r="I840" s="1044" t="s">
        <v>3062</v>
      </c>
      <c r="J840" s="985" t="s">
        <v>3063</v>
      </c>
      <c r="K840" s="284">
        <f t="shared" si="154"/>
        <v>6.666666666666667</v>
      </c>
      <c r="L840" s="985" t="s">
        <v>3064</v>
      </c>
      <c r="M840" s="1047"/>
      <c r="N840" s="1047">
        <v>1</v>
      </c>
      <c r="O840" s="1047">
        <v>0</v>
      </c>
      <c r="P840" s="26">
        <f t="shared" si="159"/>
        <v>0</v>
      </c>
      <c r="Q840" s="981" t="s">
        <v>3065</v>
      </c>
      <c r="R840" s="1043" t="s">
        <v>300</v>
      </c>
      <c r="S840" s="1043" t="s">
        <v>3066</v>
      </c>
      <c r="T840" s="1043" t="s">
        <v>549</v>
      </c>
      <c r="U840" s="286">
        <v>200000000</v>
      </c>
      <c r="V840" s="1043"/>
      <c r="W840" s="1043"/>
      <c r="X840" s="1043"/>
      <c r="Y840" s="1043"/>
      <c r="Z840" s="1043"/>
      <c r="AA840" s="1043"/>
      <c r="AB840" s="1043"/>
      <c r="AC840" s="1043"/>
      <c r="AD840" s="1043"/>
      <c r="AE840" s="1043" t="s">
        <v>55</v>
      </c>
      <c r="AF840" s="286">
        <v>200000000</v>
      </c>
      <c r="AG840" s="268">
        <v>0</v>
      </c>
      <c r="AH840" s="162">
        <f>AVERAGE(AH842:AH862)</f>
        <v>0.54390543127051016</v>
      </c>
      <c r="AI840" s="1043" t="s">
        <v>56</v>
      </c>
      <c r="AJ840" s="1043"/>
      <c r="AK840" s="983" t="s">
        <v>2938</v>
      </c>
      <c r="AL840" s="983" t="s">
        <v>247</v>
      </c>
      <c r="AM840" s="1043">
        <v>1</v>
      </c>
    </row>
    <row r="841" spans="1:39" ht="67.5" x14ac:dyDescent="0.25">
      <c r="A841" s="351"/>
      <c r="B841" s="351"/>
      <c r="C841" s="351"/>
      <c r="D841" s="266"/>
      <c r="E841" s="266"/>
      <c r="F841" s="351"/>
      <c r="G841" s="981" t="s">
        <v>3067</v>
      </c>
      <c r="H841" s="981" t="s">
        <v>3068</v>
      </c>
      <c r="I841" s="1044" t="s">
        <v>3069</v>
      </c>
      <c r="J841" s="1046"/>
      <c r="K841" s="1046"/>
      <c r="L841" s="1046"/>
      <c r="M841" s="1047"/>
      <c r="N841" s="1047"/>
      <c r="O841" s="1047"/>
      <c r="P841" s="652"/>
      <c r="Q841" s="1043" t="s">
        <v>3070</v>
      </c>
      <c r="R841" s="1043" t="s">
        <v>3071</v>
      </c>
      <c r="S841" s="1043" t="s">
        <v>966</v>
      </c>
      <c r="T841" s="1043" t="s">
        <v>90</v>
      </c>
      <c r="U841" s="286">
        <v>276000000</v>
      </c>
      <c r="V841" s="1043"/>
      <c r="W841" s="1043"/>
      <c r="X841" s="1043"/>
      <c r="Y841" s="1043"/>
      <c r="Z841" s="1043"/>
      <c r="AA841" s="1043"/>
      <c r="AB841" s="1043"/>
      <c r="AC841" s="1043"/>
      <c r="AD841" s="1043"/>
      <c r="AE841" s="1043" t="s">
        <v>55</v>
      </c>
      <c r="AF841" s="286">
        <v>276000000</v>
      </c>
      <c r="AG841" s="268">
        <v>275998572.45999998</v>
      </c>
      <c r="AH841" s="162">
        <f t="shared" si="156"/>
        <v>0.99999482775362314</v>
      </c>
      <c r="AI841" s="1043" t="s">
        <v>3072</v>
      </c>
      <c r="AJ841" s="1043" t="s">
        <v>936</v>
      </c>
      <c r="AK841" s="983"/>
      <c r="AL841" s="983"/>
      <c r="AM841" s="1043"/>
    </row>
    <row r="842" spans="1:39" ht="90" x14ac:dyDescent="0.25">
      <c r="A842" s="351"/>
      <c r="B842" s="351"/>
      <c r="C842" s="351"/>
      <c r="D842" s="266"/>
      <c r="E842" s="266"/>
      <c r="F842" s="351"/>
      <c r="G842" s="981" t="s">
        <v>3073</v>
      </c>
      <c r="H842" s="981" t="s">
        <v>3074</v>
      </c>
      <c r="I842" s="1044" t="s">
        <v>3075</v>
      </c>
      <c r="J842" s="1046"/>
      <c r="K842" s="1046"/>
      <c r="L842" s="1046"/>
      <c r="M842" s="1047"/>
      <c r="N842" s="1047"/>
      <c r="O842" s="1047"/>
      <c r="P842" s="652">
        <f>AVERAGE(P845:P868)</f>
        <v>0.72727272727272729</v>
      </c>
      <c r="Q842" s="1043" t="s">
        <v>3076</v>
      </c>
      <c r="R842" s="1043" t="s">
        <v>3077</v>
      </c>
      <c r="S842" s="1043" t="s">
        <v>90</v>
      </c>
      <c r="T842" s="1043" t="s">
        <v>90</v>
      </c>
      <c r="U842" s="286">
        <v>276000000</v>
      </c>
      <c r="V842" s="1043"/>
      <c r="W842" s="1043"/>
      <c r="X842" s="1043"/>
      <c r="Y842" s="1043"/>
      <c r="Z842" s="1043"/>
      <c r="AA842" s="1043"/>
      <c r="AB842" s="1043"/>
      <c r="AC842" s="1043"/>
      <c r="AD842" s="1043"/>
      <c r="AE842" s="1043" t="s">
        <v>55</v>
      </c>
      <c r="AF842" s="286">
        <v>276000000</v>
      </c>
      <c r="AG842" s="286">
        <v>276000000</v>
      </c>
      <c r="AH842" s="162">
        <f t="shared" si="156"/>
        <v>1</v>
      </c>
      <c r="AI842" s="1043" t="s">
        <v>3078</v>
      </c>
      <c r="AJ842" s="1043"/>
      <c r="AK842" s="983"/>
      <c r="AL842" s="983"/>
      <c r="AM842" s="1043"/>
    </row>
    <row r="843" spans="1:39" ht="78.75" x14ac:dyDescent="0.25">
      <c r="A843" s="351"/>
      <c r="B843" s="351"/>
      <c r="C843" s="351"/>
      <c r="D843" s="266"/>
      <c r="E843" s="266"/>
      <c r="F843" s="351"/>
      <c r="G843" s="981" t="s">
        <v>3079</v>
      </c>
      <c r="H843" s="981" t="s">
        <v>3080</v>
      </c>
      <c r="I843" s="1044" t="s">
        <v>3081</v>
      </c>
      <c r="J843" s="1046"/>
      <c r="K843" s="1046"/>
      <c r="L843" s="1046"/>
      <c r="M843" s="1047"/>
      <c r="N843" s="1047"/>
      <c r="O843" s="1047"/>
      <c r="P843" s="652"/>
      <c r="Q843" s="1043" t="s">
        <v>3082</v>
      </c>
      <c r="R843" s="1043" t="s">
        <v>3083</v>
      </c>
      <c r="S843" s="1043" t="s">
        <v>966</v>
      </c>
      <c r="T843" s="1043" t="s">
        <v>90</v>
      </c>
      <c r="U843" s="286">
        <v>276000000</v>
      </c>
      <c r="V843" s="1043"/>
      <c r="W843" s="1043"/>
      <c r="X843" s="1043"/>
      <c r="Y843" s="1043"/>
      <c r="Z843" s="1043"/>
      <c r="AA843" s="1043"/>
      <c r="AB843" s="1043"/>
      <c r="AC843" s="1043"/>
      <c r="AD843" s="1043"/>
      <c r="AE843" s="1043" t="s">
        <v>55</v>
      </c>
      <c r="AF843" s="286">
        <v>276000000</v>
      </c>
      <c r="AG843" s="268">
        <v>0</v>
      </c>
      <c r="AH843" s="162">
        <f>+AG843/AF843</f>
        <v>0</v>
      </c>
      <c r="AI843" s="1043" t="s">
        <v>3078</v>
      </c>
      <c r="AJ843" s="1043" t="s">
        <v>3084</v>
      </c>
      <c r="AK843" s="983"/>
      <c r="AL843" s="983" t="s">
        <v>3085</v>
      </c>
      <c r="AM843" s="1043"/>
    </row>
    <row r="844" spans="1:39" ht="90" x14ac:dyDescent="0.25">
      <c r="A844" s="351"/>
      <c r="B844" s="351"/>
      <c r="C844" s="351"/>
      <c r="D844" s="266"/>
      <c r="E844" s="266"/>
      <c r="F844" s="351"/>
      <c r="G844" s="981" t="s">
        <v>3086</v>
      </c>
      <c r="H844" s="981" t="s">
        <v>3087</v>
      </c>
      <c r="I844" s="1044" t="s">
        <v>3088</v>
      </c>
      <c r="J844" s="1046"/>
      <c r="K844" s="991"/>
      <c r="L844" s="991"/>
      <c r="M844" s="1049"/>
      <c r="N844" s="1049"/>
      <c r="O844" s="1049"/>
      <c r="P844" s="191"/>
      <c r="Q844" s="1043" t="s">
        <v>3089</v>
      </c>
      <c r="R844" s="1043" t="s">
        <v>3090</v>
      </c>
      <c r="S844" s="1043" t="s">
        <v>2969</v>
      </c>
      <c r="T844" s="1043" t="s">
        <v>549</v>
      </c>
      <c r="U844" s="286">
        <v>303500000</v>
      </c>
      <c r="V844" s="1043"/>
      <c r="W844" s="1043"/>
      <c r="X844" s="1043"/>
      <c r="Y844" s="1043"/>
      <c r="Z844" s="1043"/>
      <c r="AA844" s="1043"/>
      <c r="AB844" s="1043"/>
      <c r="AC844" s="1043"/>
      <c r="AD844" s="1043"/>
      <c r="AE844" s="1043" t="s">
        <v>55</v>
      </c>
      <c r="AF844" s="286">
        <v>303500000</v>
      </c>
      <c r="AG844" s="268">
        <v>0</v>
      </c>
      <c r="AH844" s="162">
        <f>+AG844/AF844</f>
        <v>0</v>
      </c>
      <c r="AI844" s="1043" t="s">
        <v>2948</v>
      </c>
      <c r="AJ844" s="1043" t="s">
        <v>3091</v>
      </c>
      <c r="AK844" s="983"/>
      <c r="AL844" s="983"/>
      <c r="AM844" s="1043"/>
    </row>
    <row r="845" spans="1:39" ht="123.75" x14ac:dyDescent="0.25">
      <c r="A845" s="351"/>
      <c r="B845" s="351"/>
      <c r="C845" s="351"/>
      <c r="D845" s="266"/>
      <c r="E845" s="266"/>
      <c r="F845" s="351"/>
      <c r="G845" s="981" t="s">
        <v>3092</v>
      </c>
      <c r="H845" s="981" t="s">
        <v>3052</v>
      </c>
      <c r="I845" s="981" t="s">
        <v>3093</v>
      </c>
      <c r="J845" s="1046"/>
      <c r="K845" s="1046"/>
      <c r="L845" s="991"/>
      <c r="M845" s="981"/>
      <c r="N845" s="1043">
        <v>1</v>
      </c>
      <c r="O845" s="1043">
        <v>1</v>
      </c>
      <c r="P845" s="119">
        <f t="shared" ref="P845:P849" si="160">+O845/N845</f>
        <v>1</v>
      </c>
      <c r="Q845" s="1043" t="s">
        <v>3094</v>
      </c>
      <c r="R845" s="1043" t="s">
        <v>3095</v>
      </c>
      <c r="S845" s="1043" t="s">
        <v>966</v>
      </c>
      <c r="T845" s="1043" t="s">
        <v>549</v>
      </c>
      <c r="U845" s="268">
        <v>189396086</v>
      </c>
      <c r="V845" s="1043"/>
      <c r="W845" s="1043"/>
      <c r="X845" s="1043"/>
      <c r="Y845" s="1043"/>
      <c r="Z845" s="1043"/>
      <c r="AA845" s="1043"/>
      <c r="AB845" s="1043"/>
      <c r="AC845" s="1043"/>
      <c r="AD845" s="1043"/>
      <c r="AE845" s="1043" t="s">
        <v>55</v>
      </c>
      <c r="AF845" s="268">
        <v>189396086</v>
      </c>
      <c r="AG845" s="268">
        <v>169006961</v>
      </c>
      <c r="AH845" s="162">
        <f t="shared" ref="AH845:AH868" si="161">+AG845/AF845</f>
        <v>0.89234664015179277</v>
      </c>
      <c r="AI845" s="1043" t="s">
        <v>2948</v>
      </c>
      <c r="AJ845" s="1043"/>
      <c r="AK845" s="983"/>
      <c r="AL845" s="983"/>
      <c r="AM845" s="1043"/>
    </row>
    <row r="846" spans="1:39" ht="90" x14ac:dyDescent="0.25">
      <c r="A846" s="351"/>
      <c r="B846" s="351"/>
      <c r="C846" s="351"/>
      <c r="D846" s="266"/>
      <c r="E846" s="266"/>
      <c r="F846" s="351"/>
      <c r="G846" s="981" t="s">
        <v>3096</v>
      </c>
      <c r="H846" s="981" t="s">
        <v>3097</v>
      </c>
      <c r="I846" s="981" t="s">
        <v>3098</v>
      </c>
      <c r="J846" s="1046"/>
      <c r="K846" s="1046"/>
      <c r="L846" s="991"/>
      <c r="M846" s="981"/>
      <c r="N846" s="1043">
        <v>1</v>
      </c>
      <c r="O846" s="1043">
        <v>1</v>
      </c>
      <c r="P846" s="119">
        <f t="shared" si="160"/>
        <v>1</v>
      </c>
      <c r="Q846" s="1043" t="s">
        <v>3099</v>
      </c>
      <c r="R846" s="1043" t="s">
        <v>3100</v>
      </c>
      <c r="S846" s="1043" t="s">
        <v>3066</v>
      </c>
      <c r="T846" s="1043" t="s">
        <v>54</v>
      </c>
      <c r="U846" s="286">
        <v>565260846.74000001</v>
      </c>
      <c r="V846" s="1043"/>
      <c r="W846" s="1043"/>
      <c r="X846" s="1043"/>
      <c r="Y846" s="1043"/>
      <c r="Z846" s="1043"/>
      <c r="AA846" s="1043"/>
      <c r="AB846" s="1043"/>
      <c r="AC846" s="1043"/>
      <c r="AD846" s="1043"/>
      <c r="AE846" s="1043" t="s">
        <v>55</v>
      </c>
      <c r="AF846" s="286">
        <v>565260846.74000001</v>
      </c>
      <c r="AG846" s="268">
        <v>562427810</v>
      </c>
      <c r="AH846" s="162">
        <f t="shared" si="161"/>
        <v>0.99498808955840679</v>
      </c>
      <c r="AI846" s="1043" t="s">
        <v>2948</v>
      </c>
      <c r="AJ846" s="1043"/>
      <c r="AK846" s="983"/>
      <c r="AL846" s="983"/>
      <c r="AM846" s="1043"/>
    </row>
    <row r="847" spans="1:39" ht="90" x14ac:dyDescent="0.25">
      <c r="A847" s="351"/>
      <c r="B847" s="351"/>
      <c r="C847" s="351"/>
      <c r="D847" s="266"/>
      <c r="E847" s="266"/>
      <c r="F847" s="351"/>
      <c r="G847" s="981" t="s">
        <v>3101</v>
      </c>
      <c r="H847" s="981" t="s">
        <v>3102</v>
      </c>
      <c r="I847" s="981" t="s">
        <v>3103</v>
      </c>
      <c r="J847" s="1046"/>
      <c r="K847" s="1046"/>
      <c r="L847" s="1046"/>
      <c r="M847" s="981"/>
      <c r="N847" s="1043">
        <v>1</v>
      </c>
      <c r="O847" s="1043">
        <v>1</v>
      </c>
      <c r="P847" s="119">
        <f t="shared" si="160"/>
        <v>1</v>
      </c>
      <c r="Q847" s="1043" t="s">
        <v>3104</v>
      </c>
      <c r="R847" s="1043" t="s">
        <v>598</v>
      </c>
      <c r="S847" s="1043" t="s">
        <v>90</v>
      </c>
      <c r="T847" s="1043" t="s">
        <v>549</v>
      </c>
      <c r="U847" s="286">
        <v>15000000</v>
      </c>
      <c r="V847" s="1043"/>
      <c r="W847" s="1043"/>
      <c r="X847" s="1043"/>
      <c r="Y847" s="1043"/>
      <c r="Z847" s="1043"/>
      <c r="AA847" s="1043"/>
      <c r="AB847" s="1043"/>
      <c r="AC847" s="1043"/>
      <c r="AD847" s="1043"/>
      <c r="AE847" s="1043" t="s">
        <v>55</v>
      </c>
      <c r="AF847" s="286">
        <v>15000000</v>
      </c>
      <c r="AG847" s="286">
        <v>15000000</v>
      </c>
      <c r="AH847" s="162">
        <f t="shared" si="161"/>
        <v>1</v>
      </c>
      <c r="AI847" s="1043" t="s">
        <v>2948</v>
      </c>
      <c r="AJ847" s="1043"/>
      <c r="AK847" s="983"/>
      <c r="AL847" s="983"/>
      <c r="AM847" s="1043"/>
    </row>
    <row r="848" spans="1:39" ht="146.25" x14ac:dyDescent="0.25">
      <c r="A848" s="351"/>
      <c r="B848" s="351"/>
      <c r="C848" s="351"/>
      <c r="D848" s="266"/>
      <c r="E848" s="266"/>
      <c r="F848" s="351"/>
      <c r="G848" s="981" t="s">
        <v>3105</v>
      </c>
      <c r="H848" s="981" t="s">
        <v>3106</v>
      </c>
      <c r="I848" s="981" t="s">
        <v>3107</v>
      </c>
      <c r="J848" s="1046"/>
      <c r="K848" s="1046"/>
      <c r="L848" s="1046"/>
      <c r="M848" s="981"/>
      <c r="N848" s="1043">
        <v>1</v>
      </c>
      <c r="O848" s="1043">
        <v>1</v>
      </c>
      <c r="P848" s="119">
        <f t="shared" si="160"/>
        <v>1</v>
      </c>
      <c r="Q848" s="1043" t="s">
        <v>3108</v>
      </c>
      <c r="R848" s="1043" t="s">
        <v>598</v>
      </c>
      <c r="S848" s="1043" t="s">
        <v>90</v>
      </c>
      <c r="T848" s="1043" t="s">
        <v>549</v>
      </c>
      <c r="U848" s="286">
        <v>100000000</v>
      </c>
      <c r="V848" s="1043"/>
      <c r="W848" s="1043"/>
      <c r="X848" s="1043"/>
      <c r="Y848" s="1043"/>
      <c r="Z848" s="1043"/>
      <c r="AA848" s="1043"/>
      <c r="AB848" s="1043"/>
      <c r="AC848" s="1043"/>
      <c r="AD848" s="1043"/>
      <c r="AE848" s="1043" t="s">
        <v>55</v>
      </c>
      <c r="AF848" s="286">
        <v>100000000</v>
      </c>
      <c r="AG848" s="268">
        <v>99951400</v>
      </c>
      <c r="AH848" s="162">
        <f t="shared" si="161"/>
        <v>0.99951400000000001</v>
      </c>
      <c r="AI848" s="1043" t="s">
        <v>2948</v>
      </c>
      <c r="AJ848" s="1043" t="s">
        <v>3109</v>
      </c>
      <c r="AK848" s="983"/>
      <c r="AL848" s="983"/>
      <c r="AM848" s="1043"/>
    </row>
    <row r="849" spans="1:39" ht="101.25" x14ac:dyDescent="0.25">
      <c r="A849" s="351"/>
      <c r="B849" s="351"/>
      <c r="C849" s="351"/>
      <c r="D849" s="266"/>
      <c r="E849" s="266"/>
      <c r="F849" s="351"/>
      <c r="G849" s="981" t="s">
        <v>3110</v>
      </c>
      <c r="H849" s="981" t="s">
        <v>3111</v>
      </c>
      <c r="I849" s="981" t="s">
        <v>3112</v>
      </c>
      <c r="J849" s="1046"/>
      <c r="K849" s="1046"/>
      <c r="L849" s="1046"/>
      <c r="M849" s="348"/>
      <c r="N849" s="1055">
        <v>1</v>
      </c>
      <c r="O849" s="348">
        <v>0</v>
      </c>
      <c r="P849" s="1056">
        <f t="shared" si="160"/>
        <v>0</v>
      </c>
      <c r="Q849" s="1043" t="s">
        <v>3113</v>
      </c>
      <c r="R849" s="1043" t="s">
        <v>3114</v>
      </c>
      <c r="S849" s="1043" t="s">
        <v>966</v>
      </c>
      <c r="T849" s="1043" t="s">
        <v>549</v>
      </c>
      <c r="U849" s="286">
        <v>300000000</v>
      </c>
      <c r="V849" s="1043"/>
      <c r="W849" s="1043"/>
      <c r="X849" s="1043"/>
      <c r="Y849" s="1043"/>
      <c r="Z849" s="1043"/>
      <c r="AA849" s="1043"/>
      <c r="AB849" s="1043"/>
      <c r="AC849" s="1043"/>
      <c r="AD849" s="1043"/>
      <c r="AE849" s="1043" t="s">
        <v>55</v>
      </c>
      <c r="AF849" s="286">
        <v>300000000</v>
      </c>
      <c r="AG849" s="268">
        <v>0</v>
      </c>
      <c r="AH849" s="162">
        <f t="shared" si="161"/>
        <v>0</v>
      </c>
      <c r="AI849" s="1043" t="s">
        <v>2948</v>
      </c>
      <c r="AJ849" s="1043" t="s">
        <v>3115</v>
      </c>
      <c r="AK849" s="983"/>
      <c r="AL849" s="983"/>
      <c r="AM849" s="1043"/>
    </row>
    <row r="850" spans="1:39" ht="112.5" x14ac:dyDescent="0.25">
      <c r="A850" s="351"/>
      <c r="B850" s="351"/>
      <c r="C850" s="351"/>
      <c r="D850" s="266"/>
      <c r="E850" s="266"/>
      <c r="F850" s="351"/>
      <c r="G850" s="981" t="s">
        <v>3116</v>
      </c>
      <c r="H850" s="981" t="s">
        <v>3117</v>
      </c>
      <c r="I850" s="981" t="s">
        <v>3118</v>
      </c>
      <c r="J850" s="1047"/>
      <c r="K850" s="352"/>
      <c r="L850" s="352"/>
      <c r="M850" s="352"/>
      <c r="N850" s="352"/>
      <c r="O850" s="352"/>
      <c r="P850" s="1057"/>
      <c r="Q850" s="1043" t="s">
        <v>3119</v>
      </c>
      <c r="R850" s="1043" t="s">
        <v>3120</v>
      </c>
      <c r="S850" s="1043" t="s">
        <v>3121</v>
      </c>
      <c r="T850" s="1043" t="s">
        <v>432</v>
      </c>
      <c r="U850" s="286">
        <v>600000000</v>
      </c>
      <c r="V850" s="1043"/>
      <c r="W850" s="1043"/>
      <c r="X850" s="1043"/>
      <c r="Y850" s="1043"/>
      <c r="Z850" s="1043"/>
      <c r="AA850" s="1043"/>
      <c r="AB850" s="1043"/>
      <c r="AC850" s="1043"/>
      <c r="AD850" s="1043"/>
      <c r="AE850" s="1043" t="s">
        <v>55</v>
      </c>
      <c r="AF850" s="286">
        <v>600000000</v>
      </c>
      <c r="AG850" s="268">
        <v>587922068.47000003</v>
      </c>
      <c r="AH850" s="162">
        <f t="shared" si="161"/>
        <v>0.97987011411666669</v>
      </c>
      <c r="AI850" s="1043" t="s">
        <v>169</v>
      </c>
      <c r="AJ850" s="1043"/>
      <c r="AK850" s="983"/>
      <c r="AL850" s="983"/>
      <c r="AM850" s="1043"/>
    </row>
    <row r="851" spans="1:39" ht="123.75" x14ac:dyDescent="0.25">
      <c r="A851" s="351"/>
      <c r="B851" s="351"/>
      <c r="C851" s="351"/>
      <c r="D851" s="266"/>
      <c r="E851" s="266"/>
      <c r="F851" s="351"/>
      <c r="G851" s="981" t="s">
        <v>3122</v>
      </c>
      <c r="H851" s="981" t="s">
        <v>3123</v>
      </c>
      <c r="I851" s="1043" t="s">
        <v>3124</v>
      </c>
      <c r="J851" s="1047"/>
      <c r="K851" s="352"/>
      <c r="L851" s="352"/>
      <c r="M851" s="352"/>
      <c r="N851" s="352"/>
      <c r="O851" s="352"/>
      <c r="P851" s="1057"/>
      <c r="Q851" s="1043" t="s">
        <v>3124</v>
      </c>
      <c r="R851" s="1043" t="s">
        <v>3120</v>
      </c>
      <c r="S851" s="1043" t="s">
        <v>549</v>
      </c>
      <c r="T851" s="1043" t="s">
        <v>90</v>
      </c>
      <c r="U851" s="286">
        <v>500000000</v>
      </c>
      <c r="V851" s="1043"/>
      <c r="W851" s="1043"/>
      <c r="X851" s="1043"/>
      <c r="Y851" s="1043"/>
      <c r="Z851" s="1043"/>
      <c r="AA851" s="1043"/>
      <c r="AB851" s="1043"/>
      <c r="AC851" s="1043"/>
      <c r="AD851" s="1043"/>
      <c r="AE851" s="1043" t="s">
        <v>55</v>
      </c>
      <c r="AF851" s="286">
        <v>500000000</v>
      </c>
      <c r="AG851" s="268">
        <v>0</v>
      </c>
      <c r="AH851" s="162">
        <f t="shared" si="161"/>
        <v>0</v>
      </c>
      <c r="AI851" s="1043" t="s">
        <v>169</v>
      </c>
      <c r="AJ851" s="1043" t="s">
        <v>3125</v>
      </c>
      <c r="AK851" s="983"/>
      <c r="AL851" s="983"/>
      <c r="AM851" s="1043"/>
    </row>
    <row r="852" spans="1:39" ht="123.75" x14ac:dyDescent="0.25">
      <c r="A852" s="351"/>
      <c r="B852" s="351"/>
      <c r="C852" s="351"/>
      <c r="D852" s="266"/>
      <c r="E852" s="266"/>
      <c r="F852" s="351"/>
      <c r="G852" s="981" t="s">
        <v>3126</v>
      </c>
      <c r="H852" s="981" t="s">
        <v>3127</v>
      </c>
      <c r="I852" s="981" t="s">
        <v>3128</v>
      </c>
      <c r="J852" s="1047"/>
      <c r="K852" s="352"/>
      <c r="L852" s="352"/>
      <c r="M852" s="352"/>
      <c r="N852" s="352"/>
      <c r="O852" s="352"/>
      <c r="P852" s="1057"/>
      <c r="Q852" s="1043" t="s">
        <v>3129</v>
      </c>
      <c r="R852" s="1043" t="s">
        <v>3042</v>
      </c>
      <c r="S852" s="1043" t="s">
        <v>90</v>
      </c>
      <c r="T852" s="1043" t="s">
        <v>516</v>
      </c>
      <c r="U852" s="286">
        <v>27000000</v>
      </c>
      <c r="V852" s="1043"/>
      <c r="W852" s="1043"/>
      <c r="X852" s="1043"/>
      <c r="Y852" s="1043"/>
      <c r="Z852" s="1043"/>
      <c r="AA852" s="1043"/>
      <c r="AB852" s="1043"/>
      <c r="AC852" s="1043"/>
      <c r="AD852" s="1043"/>
      <c r="AE852" s="1043" t="s">
        <v>55</v>
      </c>
      <c r="AF852" s="286">
        <v>27000000</v>
      </c>
      <c r="AG852" s="286">
        <v>27000000</v>
      </c>
      <c r="AH852" s="162">
        <f t="shared" si="161"/>
        <v>1</v>
      </c>
      <c r="AI852" s="1043" t="s">
        <v>2948</v>
      </c>
      <c r="AJ852" s="1043"/>
      <c r="AK852" s="983"/>
      <c r="AL852" s="983"/>
      <c r="AM852" s="1043"/>
    </row>
    <row r="853" spans="1:39" ht="78.75" x14ac:dyDescent="0.25">
      <c r="A853" s="351"/>
      <c r="B853" s="351"/>
      <c r="C853" s="351"/>
      <c r="D853" s="266"/>
      <c r="E853" s="266"/>
      <c r="F853" s="351"/>
      <c r="G853" s="981" t="s">
        <v>3130</v>
      </c>
      <c r="H853" s="981" t="s">
        <v>3131</v>
      </c>
      <c r="I853" s="981" t="s">
        <v>3132</v>
      </c>
      <c r="J853" s="1047"/>
      <c r="K853" s="352"/>
      <c r="L853" s="352"/>
      <c r="M853" s="352"/>
      <c r="N853" s="352"/>
      <c r="O853" s="352"/>
      <c r="P853" s="1057"/>
      <c r="Q853" s="1043" t="s">
        <v>3133</v>
      </c>
      <c r="R853" s="1043" t="s">
        <v>3134</v>
      </c>
      <c r="S853" s="1043" t="s">
        <v>966</v>
      </c>
      <c r="T853" s="1043" t="s">
        <v>194</v>
      </c>
      <c r="U853" s="286">
        <v>300000000</v>
      </c>
      <c r="V853" s="1043"/>
      <c r="W853" s="1043"/>
      <c r="X853" s="1043"/>
      <c r="Y853" s="1043"/>
      <c r="Z853" s="1043"/>
      <c r="AA853" s="1043"/>
      <c r="AB853" s="1043"/>
      <c r="AC853" s="1043"/>
      <c r="AD853" s="1043"/>
      <c r="AE853" s="1043" t="s">
        <v>55</v>
      </c>
      <c r="AF853" s="286">
        <v>300000000</v>
      </c>
      <c r="AG853" s="286">
        <v>300000000</v>
      </c>
      <c r="AH853" s="162">
        <f t="shared" si="161"/>
        <v>1</v>
      </c>
      <c r="AI853" s="1043" t="s">
        <v>2948</v>
      </c>
      <c r="AJ853" s="1043" t="s">
        <v>3135</v>
      </c>
      <c r="AK853" s="983"/>
      <c r="AL853" s="983"/>
      <c r="AM853" s="1043"/>
    </row>
    <row r="854" spans="1:39" ht="112.5" x14ac:dyDescent="0.25">
      <c r="A854" s="351"/>
      <c r="B854" s="351"/>
      <c r="C854" s="351"/>
      <c r="D854" s="266"/>
      <c r="E854" s="266"/>
      <c r="F854" s="351"/>
      <c r="G854" s="981" t="s">
        <v>3136</v>
      </c>
      <c r="H854" s="981" t="s">
        <v>3137</v>
      </c>
      <c r="I854" s="981" t="s">
        <v>3138</v>
      </c>
      <c r="J854" s="1047"/>
      <c r="K854" s="352"/>
      <c r="L854" s="352"/>
      <c r="M854" s="352"/>
      <c r="N854" s="352"/>
      <c r="O854" s="352"/>
      <c r="P854" s="1057"/>
      <c r="Q854" s="1043" t="s">
        <v>3136</v>
      </c>
      <c r="R854" s="1043" t="s">
        <v>3139</v>
      </c>
      <c r="S854" s="1043" t="s">
        <v>966</v>
      </c>
      <c r="T854" s="1043" t="s">
        <v>549</v>
      </c>
      <c r="U854" s="286">
        <v>300000000</v>
      </c>
      <c r="V854" s="1043"/>
      <c r="W854" s="1043"/>
      <c r="X854" s="1043"/>
      <c r="Y854" s="1043"/>
      <c r="Z854" s="1043"/>
      <c r="AA854" s="1043"/>
      <c r="AB854" s="1043"/>
      <c r="AC854" s="1043"/>
      <c r="AD854" s="1043"/>
      <c r="AE854" s="1043" t="s">
        <v>55</v>
      </c>
      <c r="AF854" s="286">
        <v>300000000</v>
      </c>
      <c r="AG854" s="268">
        <v>0</v>
      </c>
      <c r="AH854" s="162">
        <f t="shared" si="161"/>
        <v>0</v>
      </c>
      <c r="AI854" s="1043" t="s">
        <v>2948</v>
      </c>
      <c r="AJ854" s="1043" t="s">
        <v>3140</v>
      </c>
      <c r="AK854" s="983"/>
      <c r="AL854" s="983"/>
      <c r="AM854" s="1043"/>
    </row>
    <row r="855" spans="1:39" ht="146.25" x14ac:dyDescent="0.25">
      <c r="A855" s="351"/>
      <c r="B855" s="351"/>
      <c r="C855" s="351"/>
      <c r="D855" s="266"/>
      <c r="E855" s="266"/>
      <c r="F855" s="351"/>
      <c r="G855" s="981" t="s">
        <v>3141</v>
      </c>
      <c r="H855" s="981" t="s">
        <v>3142</v>
      </c>
      <c r="I855" s="981" t="s">
        <v>3143</v>
      </c>
      <c r="J855" s="1047"/>
      <c r="K855" s="352"/>
      <c r="L855" s="352"/>
      <c r="M855" s="352"/>
      <c r="N855" s="352"/>
      <c r="O855" s="352"/>
      <c r="P855" s="1057"/>
      <c r="Q855" s="1043" t="s">
        <v>3144</v>
      </c>
      <c r="R855" s="1043" t="s">
        <v>3120</v>
      </c>
      <c r="S855" s="1043" t="s">
        <v>966</v>
      </c>
      <c r="T855" s="1043" t="s">
        <v>90</v>
      </c>
      <c r="U855" s="286">
        <v>450000000</v>
      </c>
      <c r="V855" s="1043"/>
      <c r="W855" s="1043"/>
      <c r="X855" s="1043"/>
      <c r="Y855" s="1043"/>
      <c r="Z855" s="1043"/>
      <c r="AA855" s="1043"/>
      <c r="AB855" s="1043"/>
      <c r="AC855" s="1043"/>
      <c r="AD855" s="1043"/>
      <c r="AE855" s="1043" t="s">
        <v>55</v>
      </c>
      <c r="AF855" s="286">
        <v>450000000</v>
      </c>
      <c r="AG855" s="286">
        <v>450000000</v>
      </c>
      <c r="AH855" s="162">
        <f t="shared" si="161"/>
        <v>1</v>
      </c>
      <c r="AI855" s="1043" t="s">
        <v>169</v>
      </c>
      <c r="AJ855" s="1043"/>
      <c r="AK855" s="983"/>
      <c r="AL855" s="983"/>
      <c r="AM855" s="1043"/>
    </row>
    <row r="856" spans="1:39" ht="78.75" x14ac:dyDescent="0.25">
      <c r="A856" s="351"/>
      <c r="B856" s="351"/>
      <c r="C856" s="351"/>
      <c r="D856" s="266"/>
      <c r="E856" s="266"/>
      <c r="F856" s="351"/>
      <c r="G856" s="981" t="s">
        <v>3145</v>
      </c>
      <c r="H856" s="981" t="s">
        <v>3146</v>
      </c>
      <c r="I856" s="981" t="s">
        <v>3147</v>
      </c>
      <c r="J856" s="1047"/>
      <c r="K856" s="352"/>
      <c r="L856" s="352"/>
      <c r="M856" s="352"/>
      <c r="N856" s="352"/>
      <c r="O856" s="352"/>
      <c r="P856" s="1057"/>
      <c r="Q856" s="1043" t="s">
        <v>3148</v>
      </c>
      <c r="R856" s="1058" t="s">
        <v>1242</v>
      </c>
      <c r="S856" s="1043" t="s">
        <v>90</v>
      </c>
      <c r="T856" s="1043" t="s">
        <v>432</v>
      </c>
      <c r="U856" s="286">
        <v>420000000</v>
      </c>
      <c r="V856" s="1043"/>
      <c r="W856" s="1043"/>
      <c r="X856" s="1043"/>
      <c r="Y856" s="1043"/>
      <c r="Z856" s="1043"/>
      <c r="AA856" s="1043"/>
      <c r="AB856" s="1043"/>
      <c r="AC856" s="1043"/>
      <c r="AD856" s="1043"/>
      <c r="AE856" s="1043" t="s">
        <v>55</v>
      </c>
      <c r="AF856" s="286">
        <v>420000000</v>
      </c>
      <c r="AG856" s="268">
        <v>0</v>
      </c>
      <c r="AH856" s="162">
        <f t="shared" si="161"/>
        <v>0</v>
      </c>
      <c r="AI856" s="1043" t="s">
        <v>2948</v>
      </c>
      <c r="AJ856" s="1043" t="s">
        <v>3140</v>
      </c>
      <c r="AK856" s="983"/>
      <c r="AL856" s="983"/>
      <c r="AM856" s="1043"/>
    </row>
    <row r="857" spans="1:39" ht="123.75" x14ac:dyDescent="0.25">
      <c r="A857" s="351"/>
      <c r="B857" s="351"/>
      <c r="C857" s="351"/>
      <c r="D857" s="266"/>
      <c r="E857" s="266"/>
      <c r="F857" s="351"/>
      <c r="G857" s="981" t="s">
        <v>3149</v>
      </c>
      <c r="H857" s="981" t="s">
        <v>3150</v>
      </c>
      <c r="I857" s="981" t="s">
        <v>3151</v>
      </c>
      <c r="J857" s="1047"/>
      <c r="K857" s="352"/>
      <c r="L857" s="352"/>
      <c r="M857" s="352"/>
      <c r="N857" s="352"/>
      <c r="O857" s="352"/>
      <c r="P857" s="1057"/>
      <c r="Q857" s="1043" t="s">
        <v>3152</v>
      </c>
      <c r="R857" s="1058" t="s">
        <v>2981</v>
      </c>
      <c r="S857" s="1043" t="s">
        <v>90</v>
      </c>
      <c r="T857" s="1043" t="s">
        <v>90</v>
      </c>
      <c r="U857" s="286">
        <v>217010012.82999998</v>
      </c>
      <c r="V857" s="1043"/>
      <c r="W857" s="1043"/>
      <c r="X857" s="1043"/>
      <c r="Y857" s="1043"/>
      <c r="Z857" s="1043"/>
      <c r="AA857" s="1043"/>
      <c r="AB857" s="1043"/>
      <c r="AC857" s="1043"/>
      <c r="AD857" s="1043"/>
      <c r="AE857" s="1043" t="s">
        <v>55</v>
      </c>
      <c r="AF857" s="286">
        <v>217010012.82999998</v>
      </c>
      <c r="AG857" s="1043">
        <v>0</v>
      </c>
      <c r="AH857" s="162">
        <f t="shared" si="161"/>
        <v>0</v>
      </c>
      <c r="AI857" s="1043" t="s">
        <v>2948</v>
      </c>
      <c r="AJ857" s="1043" t="s">
        <v>3153</v>
      </c>
      <c r="AK857" s="983"/>
      <c r="AL857" s="983"/>
      <c r="AM857" s="1043"/>
    </row>
    <row r="858" spans="1:39" ht="135" x14ac:dyDescent="0.25">
      <c r="A858" s="351"/>
      <c r="B858" s="351"/>
      <c r="C858" s="351"/>
      <c r="D858" s="266"/>
      <c r="E858" s="266"/>
      <c r="F858" s="351"/>
      <c r="G858" s="981" t="s">
        <v>3154</v>
      </c>
      <c r="H858" s="981" t="s">
        <v>3155</v>
      </c>
      <c r="I858" s="981" t="s">
        <v>3156</v>
      </c>
      <c r="J858" s="1047"/>
      <c r="K858" s="352"/>
      <c r="L858" s="352"/>
      <c r="M858" s="352"/>
      <c r="N858" s="352"/>
      <c r="O858" s="352"/>
      <c r="P858" s="1057"/>
      <c r="Q858" s="1043" t="s">
        <v>3157</v>
      </c>
      <c r="R858" s="1058" t="s">
        <v>3158</v>
      </c>
      <c r="S858" s="1043" t="s">
        <v>90</v>
      </c>
      <c r="T858" s="1043" t="s">
        <v>90</v>
      </c>
      <c r="U858" s="286">
        <v>650000000</v>
      </c>
      <c r="V858" s="1043"/>
      <c r="W858" s="1043"/>
      <c r="X858" s="1043"/>
      <c r="Y858" s="1043"/>
      <c r="Z858" s="1043"/>
      <c r="AA858" s="1043"/>
      <c r="AB858" s="1043"/>
      <c r="AC858" s="1043"/>
      <c r="AD858" s="1043"/>
      <c r="AE858" s="1043" t="s">
        <v>55</v>
      </c>
      <c r="AF858" s="286">
        <v>650000000</v>
      </c>
      <c r="AG858" s="268">
        <v>617499040.44000006</v>
      </c>
      <c r="AH858" s="162">
        <f t="shared" si="161"/>
        <v>0.94999852375384619</v>
      </c>
      <c r="AI858" s="1043" t="s">
        <v>2948</v>
      </c>
      <c r="AJ858" s="1043" t="s">
        <v>3159</v>
      </c>
      <c r="AK858" s="983"/>
      <c r="AL858" s="983"/>
      <c r="AM858" s="1043"/>
    </row>
    <row r="859" spans="1:39" ht="146.25" x14ac:dyDescent="0.25">
      <c r="A859" s="351"/>
      <c r="B859" s="351"/>
      <c r="C859" s="351"/>
      <c r="D859" s="266"/>
      <c r="E859" s="266"/>
      <c r="F859" s="351"/>
      <c r="G859" s="981" t="s">
        <v>3160</v>
      </c>
      <c r="H859" s="981" t="s">
        <v>3161</v>
      </c>
      <c r="I859" s="981" t="s">
        <v>3162</v>
      </c>
      <c r="J859" s="1047"/>
      <c r="K859" s="352"/>
      <c r="L859" s="352"/>
      <c r="M859" s="352"/>
      <c r="N859" s="352"/>
      <c r="O859" s="352"/>
      <c r="P859" s="1057"/>
      <c r="Q859" s="1043" t="s">
        <v>3163</v>
      </c>
      <c r="R859" s="1059"/>
      <c r="S859" s="1043" t="s">
        <v>90</v>
      </c>
      <c r="T859" s="1043" t="s">
        <v>432</v>
      </c>
      <c r="U859" s="286">
        <v>200000000</v>
      </c>
      <c r="V859" s="1043"/>
      <c r="W859" s="1043"/>
      <c r="X859" s="1043"/>
      <c r="Y859" s="1043"/>
      <c r="Z859" s="1043"/>
      <c r="AA859" s="1043"/>
      <c r="AB859" s="1043"/>
      <c r="AC859" s="1043"/>
      <c r="AD859" s="1043"/>
      <c r="AE859" s="1043" t="s">
        <v>55</v>
      </c>
      <c r="AF859" s="286">
        <v>200000000</v>
      </c>
      <c r="AG859" s="268">
        <v>196116212.81999999</v>
      </c>
      <c r="AH859" s="162">
        <f t="shared" si="161"/>
        <v>0.98058106410000001</v>
      </c>
      <c r="AI859" s="1043" t="s">
        <v>169</v>
      </c>
      <c r="AJ859" s="1043"/>
      <c r="AK859" s="983"/>
      <c r="AL859" s="983"/>
      <c r="AM859" s="1043"/>
    </row>
    <row r="860" spans="1:39" ht="67.5" x14ac:dyDescent="0.25">
      <c r="A860" s="351"/>
      <c r="B860" s="351"/>
      <c r="C860" s="351"/>
      <c r="D860" s="266"/>
      <c r="E860" s="266"/>
      <c r="F860" s="351"/>
      <c r="G860" s="981" t="s">
        <v>3164</v>
      </c>
      <c r="H860" s="981" t="s">
        <v>3165</v>
      </c>
      <c r="I860" s="981" t="s">
        <v>3166</v>
      </c>
      <c r="J860" s="1047"/>
      <c r="K860" s="352"/>
      <c r="L860" s="352"/>
      <c r="M860" s="352"/>
      <c r="N860" s="352"/>
      <c r="O860" s="352"/>
      <c r="P860" s="1057"/>
      <c r="Q860" s="1043" t="s">
        <v>3167</v>
      </c>
      <c r="R860" s="1043" t="s">
        <v>1242</v>
      </c>
      <c r="S860" s="1043" t="s">
        <v>90</v>
      </c>
      <c r="T860" s="1043" t="s">
        <v>432</v>
      </c>
      <c r="U860" s="286">
        <v>150000000</v>
      </c>
      <c r="V860" s="1043"/>
      <c r="W860" s="1043"/>
      <c r="X860" s="1043"/>
      <c r="Y860" s="1043"/>
      <c r="Z860" s="1043"/>
      <c r="AA860" s="1043"/>
      <c r="AB860" s="1043"/>
      <c r="AC860" s="1043"/>
      <c r="AD860" s="1043"/>
      <c r="AE860" s="1043" t="s">
        <v>55</v>
      </c>
      <c r="AF860" s="286">
        <v>150000000</v>
      </c>
      <c r="AG860" s="268">
        <v>0</v>
      </c>
      <c r="AH860" s="162">
        <f t="shared" si="161"/>
        <v>0</v>
      </c>
      <c r="AI860" s="1043" t="s">
        <v>2948</v>
      </c>
      <c r="AJ860" s="1043"/>
      <c r="AK860" s="983"/>
      <c r="AL860" s="983"/>
      <c r="AM860" s="1043"/>
    </row>
    <row r="861" spans="1:39" ht="146.25" x14ac:dyDescent="0.25">
      <c r="A861" s="351"/>
      <c r="B861" s="351"/>
      <c r="C861" s="351"/>
      <c r="D861" s="266"/>
      <c r="E861" s="266"/>
      <c r="F861" s="351"/>
      <c r="G861" s="1043" t="s">
        <v>3168</v>
      </c>
      <c r="H861" s="981" t="s">
        <v>3169</v>
      </c>
      <c r="I861" s="981" t="s">
        <v>3170</v>
      </c>
      <c r="J861" s="1047"/>
      <c r="K861" s="1047"/>
      <c r="L861" s="1047"/>
      <c r="M861" s="362"/>
      <c r="N861" s="362"/>
      <c r="O861" s="362"/>
      <c r="P861" s="1050"/>
      <c r="Q861" s="1043" t="s">
        <v>3168</v>
      </c>
      <c r="R861" s="1043" t="s">
        <v>3171</v>
      </c>
      <c r="S861" s="1043" t="s">
        <v>966</v>
      </c>
      <c r="T861" s="1043" t="s">
        <v>90</v>
      </c>
      <c r="U861" s="286">
        <v>200000000</v>
      </c>
      <c r="V861" s="1043"/>
      <c r="W861" s="1043"/>
      <c r="X861" s="1043"/>
      <c r="Y861" s="1043"/>
      <c r="Z861" s="1043"/>
      <c r="AA861" s="1043"/>
      <c r="AB861" s="1043"/>
      <c r="AC861" s="1043"/>
      <c r="AD861" s="1043"/>
      <c r="AE861" s="1043" t="s">
        <v>55</v>
      </c>
      <c r="AF861" s="286">
        <v>200000000</v>
      </c>
      <c r="AG861" s="268">
        <v>0</v>
      </c>
      <c r="AH861" s="162">
        <f t="shared" si="161"/>
        <v>0</v>
      </c>
      <c r="AI861" s="1043" t="s">
        <v>2948</v>
      </c>
      <c r="AJ861" s="1043" t="s">
        <v>3172</v>
      </c>
      <c r="AK861" s="983"/>
      <c r="AL861" s="983"/>
      <c r="AM861" s="1043"/>
    </row>
    <row r="862" spans="1:39" ht="67.5" x14ac:dyDescent="0.25">
      <c r="A862" s="351"/>
      <c r="B862" s="351"/>
      <c r="C862" s="351"/>
      <c r="D862" s="266"/>
      <c r="E862" s="266"/>
      <c r="F862" s="351"/>
      <c r="G862" s="1060" t="s">
        <v>3173</v>
      </c>
      <c r="H862" s="981" t="s">
        <v>3174</v>
      </c>
      <c r="I862" s="981" t="s">
        <v>3175</v>
      </c>
      <c r="J862" s="1047"/>
      <c r="K862" s="1061"/>
      <c r="L862" s="352"/>
      <c r="M862" s="348"/>
      <c r="N862" s="1055">
        <v>1</v>
      </c>
      <c r="O862" s="1043">
        <v>0</v>
      </c>
      <c r="P862" s="119">
        <f t="shared" ref="P862:P864" si="162">+O862/N862</f>
        <v>0</v>
      </c>
      <c r="Q862" s="1043" t="s">
        <v>3176</v>
      </c>
      <c r="R862" s="1043" t="s">
        <v>3177</v>
      </c>
      <c r="S862" s="1043" t="s">
        <v>331</v>
      </c>
      <c r="T862" s="1043" t="s">
        <v>90</v>
      </c>
      <c r="U862" s="286">
        <v>160000000</v>
      </c>
      <c r="V862" s="1043"/>
      <c r="W862" s="1043"/>
      <c r="X862" s="1043"/>
      <c r="Y862" s="1043"/>
      <c r="Z862" s="1043"/>
      <c r="AA862" s="1043"/>
      <c r="AB862" s="1043"/>
      <c r="AC862" s="1043"/>
      <c r="AD862" s="1043"/>
      <c r="AE862" s="1043" t="s">
        <v>55</v>
      </c>
      <c r="AF862" s="286">
        <v>160000000</v>
      </c>
      <c r="AG862" s="268">
        <v>99954500</v>
      </c>
      <c r="AH862" s="162">
        <f t="shared" si="161"/>
        <v>0.624715625</v>
      </c>
      <c r="AI862" s="1043"/>
      <c r="AJ862" s="1043"/>
      <c r="AK862" s="983"/>
      <c r="AL862" s="983"/>
      <c r="AM862" s="1043"/>
    </row>
    <row r="863" spans="1:39" ht="123.75" x14ac:dyDescent="0.25">
      <c r="A863" s="351"/>
      <c r="B863" s="351"/>
      <c r="C863" s="351"/>
      <c r="D863" s="266"/>
      <c r="E863" s="266"/>
      <c r="F863" s="351"/>
      <c r="G863" s="981" t="s">
        <v>3178</v>
      </c>
      <c r="H863" s="981" t="s">
        <v>3179</v>
      </c>
      <c r="I863" s="1044" t="s">
        <v>3180</v>
      </c>
      <c r="J863" s="985" t="s">
        <v>3181</v>
      </c>
      <c r="K863" s="305">
        <f t="shared" si="154"/>
        <v>6.666666666666667</v>
      </c>
      <c r="L863" s="985" t="s">
        <v>3182</v>
      </c>
      <c r="M863" s="981"/>
      <c r="N863" s="1043">
        <v>1</v>
      </c>
      <c r="O863" s="1043">
        <v>1</v>
      </c>
      <c r="P863" s="119">
        <f t="shared" si="162"/>
        <v>1</v>
      </c>
      <c r="Q863" s="1043" t="s">
        <v>3183</v>
      </c>
      <c r="R863" s="1043" t="s">
        <v>3184</v>
      </c>
      <c r="S863" s="1043" t="s">
        <v>966</v>
      </c>
      <c r="T863" s="1043" t="s">
        <v>549</v>
      </c>
      <c r="U863" s="286">
        <v>80000000</v>
      </c>
      <c r="V863" s="1043"/>
      <c r="W863" s="1043"/>
      <c r="X863" s="1043"/>
      <c r="Y863" s="1043"/>
      <c r="Z863" s="1043"/>
      <c r="AA863" s="1043"/>
      <c r="AB863" s="1043"/>
      <c r="AC863" s="1043"/>
      <c r="AD863" s="1043"/>
      <c r="AE863" s="1043" t="s">
        <v>55</v>
      </c>
      <c r="AF863" s="286">
        <v>80000000</v>
      </c>
      <c r="AG863" s="286">
        <v>80000000</v>
      </c>
      <c r="AH863" s="162">
        <f t="shared" si="161"/>
        <v>1</v>
      </c>
      <c r="AI863" s="1043" t="s">
        <v>2948</v>
      </c>
      <c r="AJ863" s="1043"/>
      <c r="AK863" s="983"/>
      <c r="AL863" s="983"/>
      <c r="AM863" s="1043">
        <v>1</v>
      </c>
    </row>
    <row r="864" spans="1:39" ht="135" x14ac:dyDescent="0.25">
      <c r="A864" s="351"/>
      <c r="B864" s="351"/>
      <c r="C864" s="351"/>
      <c r="D864" s="266"/>
      <c r="E864" s="266"/>
      <c r="F864" s="351"/>
      <c r="G864" s="981" t="s">
        <v>3185</v>
      </c>
      <c r="H864" s="981" t="s">
        <v>3186</v>
      </c>
      <c r="I864" s="1044" t="s">
        <v>3187</v>
      </c>
      <c r="J864" s="1046"/>
      <c r="K864" s="1062"/>
      <c r="L864" s="1046"/>
      <c r="M864" s="1030"/>
      <c r="N864" s="1051">
        <v>1</v>
      </c>
      <c r="O864" s="1051">
        <v>1</v>
      </c>
      <c r="P864" s="26">
        <f t="shared" si="162"/>
        <v>1</v>
      </c>
      <c r="Q864" s="1043" t="s">
        <v>3188</v>
      </c>
      <c r="R864" s="1043" t="s">
        <v>3189</v>
      </c>
      <c r="S864" s="1043" t="s">
        <v>386</v>
      </c>
      <c r="T864" s="1043" t="s">
        <v>286</v>
      </c>
      <c r="U864" s="286">
        <v>1099999786.47</v>
      </c>
      <c r="V864" s="1043"/>
      <c r="W864" s="1043"/>
      <c r="X864" s="1043"/>
      <c r="Y864" s="1043"/>
      <c r="Z864" s="1043"/>
      <c r="AA864" s="1043"/>
      <c r="AB864" s="1043"/>
      <c r="AC864" s="1043"/>
      <c r="AD864" s="1043"/>
      <c r="AE864" s="1043" t="s">
        <v>55</v>
      </c>
      <c r="AF864" s="286">
        <v>1099999786.47</v>
      </c>
      <c r="AG864" s="268">
        <v>1099961012</v>
      </c>
      <c r="AH864" s="162">
        <f t="shared" si="161"/>
        <v>0.99996475047497557</v>
      </c>
      <c r="AI864" s="1043" t="s">
        <v>169</v>
      </c>
      <c r="AJ864" s="1043"/>
      <c r="AK864" s="983"/>
      <c r="AL864" s="983"/>
      <c r="AM864" s="1063"/>
    </row>
    <row r="865" spans="1:39" ht="146.25" x14ac:dyDescent="0.25">
      <c r="A865" s="351"/>
      <c r="B865" s="351"/>
      <c r="C865" s="351"/>
      <c r="D865" s="266"/>
      <c r="E865" s="266"/>
      <c r="F865" s="351"/>
      <c r="G865" s="981" t="s">
        <v>3190</v>
      </c>
      <c r="H865" s="981" t="s">
        <v>3179</v>
      </c>
      <c r="I865" s="1044" t="s">
        <v>3180</v>
      </c>
      <c r="J865" s="1046"/>
      <c r="K865" s="1062"/>
      <c r="L865" s="1046"/>
      <c r="M865" s="1049"/>
      <c r="N865" s="1052"/>
      <c r="O865" s="1052"/>
      <c r="P865" s="162"/>
      <c r="Q865" s="1043" t="s">
        <v>3191</v>
      </c>
      <c r="R865" s="1043" t="s">
        <v>3184</v>
      </c>
      <c r="S865" s="1043" t="s">
        <v>1170</v>
      </c>
      <c r="T865" s="1043" t="s">
        <v>1905</v>
      </c>
      <c r="U865" s="286">
        <v>79996900</v>
      </c>
      <c r="V865" s="1043"/>
      <c r="W865" s="1043"/>
      <c r="X865" s="1043"/>
      <c r="Y865" s="1043"/>
      <c r="Z865" s="1043"/>
      <c r="AA865" s="1043"/>
      <c r="AB865" s="1043"/>
      <c r="AC865" s="1043"/>
      <c r="AD865" s="1043"/>
      <c r="AE865" s="1043" t="s">
        <v>55</v>
      </c>
      <c r="AF865" s="286">
        <v>79996900</v>
      </c>
      <c r="AG865" s="268">
        <v>79555650</v>
      </c>
      <c r="AH865" s="162">
        <f t="shared" si="161"/>
        <v>0.99448416126124883</v>
      </c>
      <c r="AI865" s="1043"/>
      <c r="AJ865" s="1043"/>
      <c r="AK865" s="983"/>
      <c r="AL865" s="983"/>
      <c r="AM865" s="1063"/>
    </row>
    <row r="866" spans="1:39" ht="112.5" x14ac:dyDescent="0.25">
      <c r="A866" s="351"/>
      <c r="B866" s="351"/>
      <c r="C866" s="351"/>
      <c r="D866" s="266"/>
      <c r="E866" s="266"/>
      <c r="F866" s="351"/>
      <c r="G866" s="981" t="s">
        <v>3192</v>
      </c>
      <c r="H866" s="981" t="s">
        <v>3193</v>
      </c>
      <c r="I866" s="981" t="s">
        <v>3194</v>
      </c>
      <c r="J866" s="1046"/>
      <c r="K866" s="1062"/>
      <c r="L866" s="1046"/>
      <c r="M866" s="981"/>
      <c r="N866" s="1043">
        <v>1</v>
      </c>
      <c r="O866" s="1043">
        <v>1</v>
      </c>
      <c r="P866" s="119">
        <f t="shared" ref="P866:P868" si="163">+O866/N866</f>
        <v>1</v>
      </c>
      <c r="Q866" s="1043" t="s">
        <v>3195</v>
      </c>
      <c r="R866" s="1043" t="s">
        <v>1242</v>
      </c>
      <c r="S866" s="1043" t="s">
        <v>90</v>
      </c>
      <c r="T866" s="1043" t="s">
        <v>549</v>
      </c>
      <c r="U866" s="286">
        <v>20782729.699999999</v>
      </c>
      <c r="V866" s="1043"/>
      <c r="W866" s="1043"/>
      <c r="X866" s="1043"/>
      <c r="Y866" s="1043"/>
      <c r="Z866" s="1043"/>
      <c r="AA866" s="1043"/>
      <c r="AB866" s="1043"/>
      <c r="AC866" s="1043"/>
      <c r="AD866" s="1043"/>
      <c r="AE866" s="1043" t="s">
        <v>55</v>
      </c>
      <c r="AF866" s="286">
        <v>20782729.699999999</v>
      </c>
      <c r="AG866" s="268">
        <v>20782729.359999999</v>
      </c>
      <c r="AH866" s="162">
        <f t="shared" si="161"/>
        <v>0.99999998364026266</v>
      </c>
      <c r="AI866" s="1043" t="s">
        <v>2948</v>
      </c>
      <c r="AJ866" s="1043"/>
      <c r="AK866" s="983"/>
      <c r="AL866" s="983"/>
      <c r="AM866" s="1063"/>
    </row>
    <row r="867" spans="1:39" ht="191.25" x14ac:dyDescent="0.25">
      <c r="A867" s="351"/>
      <c r="B867" s="351"/>
      <c r="C867" s="351"/>
      <c r="D867" s="266"/>
      <c r="E867" s="266"/>
      <c r="F867" s="351"/>
      <c r="G867" s="981" t="s">
        <v>3196</v>
      </c>
      <c r="H867" s="981" t="s">
        <v>3197</v>
      </c>
      <c r="I867" s="981" t="s">
        <v>3198</v>
      </c>
      <c r="J867" s="1046"/>
      <c r="K867" s="1062"/>
      <c r="L867" s="1046"/>
      <c r="M867" s="981"/>
      <c r="N867" s="1043">
        <v>1</v>
      </c>
      <c r="O867" s="1043">
        <v>0</v>
      </c>
      <c r="P867" s="119">
        <f t="shared" si="163"/>
        <v>0</v>
      </c>
      <c r="Q867" s="1043" t="s">
        <v>3199</v>
      </c>
      <c r="R867" s="1043" t="s">
        <v>3200</v>
      </c>
      <c r="S867" s="1043" t="s">
        <v>90</v>
      </c>
      <c r="T867" s="1043" t="s">
        <v>549</v>
      </c>
      <c r="U867" s="286">
        <v>173000000</v>
      </c>
      <c r="V867" s="1043"/>
      <c r="W867" s="1043"/>
      <c r="X867" s="1043"/>
      <c r="Y867" s="1043"/>
      <c r="Z867" s="1043"/>
      <c r="AA867" s="1043"/>
      <c r="AB867" s="1043"/>
      <c r="AC867" s="1043"/>
      <c r="AD867" s="1043"/>
      <c r="AE867" s="1043" t="s">
        <v>55</v>
      </c>
      <c r="AF867" s="286">
        <v>173000000</v>
      </c>
      <c r="AG867" s="268">
        <v>0</v>
      </c>
      <c r="AH867" s="162">
        <f t="shared" si="161"/>
        <v>0</v>
      </c>
      <c r="AI867" s="1043" t="s">
        <v>2948</v>
      </c>
      <c r="AJ867" s="1043"/>
      <c r="AK867" s="983"/>
      <c r="AL867" s="983"/>
      <c r="AM867" s="1063"/>
    </row>
    <row r="868" spans="1:39" ht="213.75" x14ac:dyDescent="0.25">
      <c r="A868" s="351"/>
      <c r="B868" s="351"/>
      <c r="C868" s="351"/>
      <c r="D868" s="266"/>
      <c r="E868" s="266"/>
      <c r="F868" s="351"/>
      <c r="G868" s="981" t="s">
        <v>3201</v>
      </c>
      <c r="H868" s="981" t="s">
        <v>3202</v>
      </c>
      <c r="I868" s="981" t="s">
        <v>3203</v>
      </c>
      <c r="J868" s="1046"/>
      <c r="K868" s="1062"/>
      <c r="L868" s="1046"/>
      <c r="M868" s="981"/>
      <c r="N868" s="1043">
        <v>1</v>
      </c>
      <c r="O868" s="1043">
        <v>1</v>
      </c>
      <c r="P868" s="119">
        <f t="shared" si="163"/>
        <v>1</v>
      </c>
      <c r="Q868" s="1043" t="s">
        <v>3204</v>
      </c>
      <c r="R868" s="1043" t="s">
        <v>3205</v>
      </c>
      <c r="S868" s="1043" t="s">
        <v>966</v>
      </c>
      <c r="T868" s="1043" t="s">
        <v>549</v>
      </c>
      <c r="U868" s="286">
        <v>700000000</v>
      </c>
      <c r="V868" s="1043"/>
      <c r="W868" s="1043"/>
      <c r="X868" s="1043"/>
      <c r="Y868" s="1043"/>
      <c r="Z868" s="1043"/>
      <c r="AA868" s="1043"/>
      <c r="AB868" s="1043"/>
      <c r="AC868" s="1043"/>
      <c r="AD868" s="1043"/>
      <c r="AE868" s="1043" t="s">
        <v>55</v>
      </c>
      <c r="AF868" s="286">
        <v>700000000</v>
      </c>
      <c r="AG868" s="268">
        <v>699999993.20000005</v>
      </c>
      <c r="AH868" s="162">
        <f t="shared" si="161"/>
        <v>0.9999999902857144</v>
      </c>
      <c r="AI868" s="1043" t="s">
        <v>2948</v>
      </c>
      <c r="AJ868" s="1043"/>
      <c r="AK868" s="983"/>
      <c r="AL868" s="983"/>
    </row>
    <row r="869" spans="1:39" ht="33.75" x14ac:dyDescent="0.25">
      <c r="A869" s="351"/>
      <c r="B869" s="351"/>
      <c r="C869" s="351"/>
      <c r="D869" s="266"/>
      <c r="E869" s="266"/>
      <c r="F869" s="110" t="s">
        <v>158</v>
      </c>
      <c r="G869" s="110"/>
      <c r="H869" s="110"/>
      <c r="I869" s="110"/>
      <c r="J869" s="1064"/>
      <c r="K869" s="1029">
        <f>SUM(K817:K863)</f>
        <v>100.00000000000001</v>
      </c>
      <c r="L869" s="1009"/>
      <c r="M869" s="1009"/>
      <c r="N869" s="1009"/>
      <c r="O869" s="1009"/>
      <c r="P869" s="1012"/>
      <c r="Q869" s="1009"/>
      <c r="R869" s="1009"/>
      <c r="S869" s="1009"/>
      <c r="T869" s="1009"/>
      <c r="U869" s="1009"/>
      <c r="V869" s="1009"/>
      <c r="W869" s="1009"/>
      <c r="X869" s="1009"/>
      <c r="Y869" s="1009"/>
      <c r="Z869" s="1009"/>
      <c r="AA869" s="1009"/>
      <c r="AB869" s="1009"/>
      <c r="AC869" s="1009"/>
      <c r="AD869" s="1009"/>
      <c r="AE869" s="1009"/>
      <c r="AF869" s="1009"/>
      <c r="AG869" s="1009"/>
      <c r="AH869" s="1012"/>
      <c r="AI869" s="1009"/>
      <c r="AJ869" s="1009"/>
      <c r="AK869" s="1013"/>
      <c r="AL869" s="1014"/>
      <c r="AM869" s="1015"/>
    </row>
    <row r="870" spans="1:39" ht="45" x14ac:dyDescent="0.25">
      <c r="A870" s="351"/>
      <c r="B870" s="351"/>
      <c r="C870" s="351"/>
      <c r="D870" s="266"/>
      <c r="E870" s="266"/>
      <c r="F870" s="140" t="s">
        <v>3206</v>
      </c>
      <c r="G870" s="383"/>
      <c r="H870" s="383"/>
      <c r="I870" s="383"/>
      <c r="J870" s="981" t="s">
        <v>3207</v>
      </c>
      <c r="K870" s="284">
        <f>+(0.547*100)/1</f>
        <v>54.7</v>
      </c>
      <c r="L870" s="981" t="s">
        <v>3208</v>
      </c>
      <c r="M870" s="981"/>
      <c r="N870" s="981"/>
      <c r="O870" s="981"/>
      <c r="P870" s="982"/>
      <c r="Q870" s="981"/>
      <c r="R870" s="981"/>
      <c r="S870" s="981"/>
      <c r="T870" s="981"/>
      <c r="U870" s="981"/>
      <c r="V870" s="981"/>
      <c r="W870" s="981"/>
      <c r="X870" s="981"/>
      <c r="Y870" s="981"/>
      <c r="Z870" s="981"/>
      <c r="AA870" s="981"/>
      <c r="AB870" s="981"/>
      <c r="AC870" s="981"/>
      <c r="AD870" s="981"/>
      <c r="AE870" s="981"/>
      <c r="AF870" s="981"/>
      <c r="AG870" s="981"/>
      <c r="AH870" s="982"/>
      <c r="AI870" s="981"/>
      <c r="AJ870" s="981"/>
      <c r="AK870" s="983" t="s">
        <v>2938</v>
      </c>
      <c r="AL870" s="984" t="s">
        <v>247</v>
      </c>
      <c r="AM870" s="265">
        <v>1</v>
      </c>
    </row>
    <row r="871" spans="1:39" ht="90" x14ac:dyDescent="0.25">
      <c r="A871" s="351"/>
      <c r="B871" s="351"/>
      <c r="C871" s="351"/>
      <c r="D871" s="266"/>
      <c r="E871" s="266"/>
      <c r="F871" s="351"/>
      <c r="G871" s="981" t="s">
        <v>3209</v>
      </c>
      <c r="H871" s="981" t="s">
        <v>3210</v>
      </c>
      <c r="I871" s="981" t="s">
        <v>3211</v>
      </c>
      <c r="J871" s="981" t="s">
        <v>3212</v>
      </c>
      <c r="K871" s="284">
        <f>+(0.151*100)/1</f>
        <v>15.1</v>
      </c>
      <c r="L871" s="981" t="s">
        <v>3213</v>
      </c>
      <c r="M871" s="981"/>
      <c r="N871" s="265">
        <v>1</v>
      </c>
      <c r="O871" s="265">
        <v>0</v>
      </c>
      <c r="P871" s="119">
        <f t="shared" ref="P871:P873" si="164">+O871/N871</f>
        <v>0</v>
      </c>
      <c r="Q871" s="265" t="s">
        <v>3214</v>
      </c>
      <c r="R871" s="265" t="s">
        <v>3215</v>
      </c>
      <c r="S871" s="265" t="s">
        <v>3216</v>
      </c>
      <c r="T871" s="265" t="s">
        <v>90</v>
      </c>
      <c r="U871" s="286">
        <f>+'[2]POAI '!$K$74</f>
        <v>100000000</v>
      </c>
      <c r="V871" s="265" t="s">
        <v>55</v>
      </c>
      <c r="W871" s="265"/>
      <c r="X871" s="265"/>
      <c r="Y871" s="265" t="s">
        <v>55</v>
      </c>
      <c r="Z871" s="265"/>
      <c r="AA871" s="265"/>
      <c r="AB871" s="265"/>
      <c r="AC871" s="265"/>
      <c r="AD871" s="265"/>
      <c r="AE871" s="265"/>
      <c r="AF871" s="286">
        <f>+'[2]POAI '!$K$74</f>
        <v>100000000</v>
      </c>
      <c r="AG871" s="268">
        <v>99992000</v>
      </c>
      <c r="AH871" s="162">
        <f t="shared" ref="AH871:AH873" si="165">+AG871/AF871</f>
        <v>0.99992000000000003</v>
      </c>
      <c r="AI871" s="265"/>
      <c r="AJ871" s="265" t="s">
        <v>3217</v>
      </c>
      <c r="AK871" s="983" t="s">
        <v>2938</v>
      </c>
      <c r="AL871" s="983" t="s">
        <v>247</v>
      </c>
      <c r="AM871" s="265">
        <v>1</v>
      </c>
    </row>
    <row r="872" spans="1:39" ht="78.75" x14ac:dyDescent="0.25">
      <c r="A872" s="351"/>
      <c r="B872" s="351"/>
      <c r="C872" s="351"/>
      <c r="D872" s="266"/>
      <c r="E872" s="266"/>
      <c r="F872" s="351"/>
      <c r="G872" s="981" t="s">
        <v>3218</v>
      </c>
      <c r="H872" s="981" t="s">
        <v>3219</v>
      </c>
      <c r="I872" s="981" t="s">
        <v>3220</v>
      </c>
      <c r="J872" s="981" t="s">
        <v>3221</v>
      </c>
      <c r="K872" s="284">
        <f>+(0.151*100)/1</f>
        <v>15.1</v>
      </c>
      <c r="L872" s="981" t="s">
        <v>3222</v>
      </c>
      <c r="M872" s="981"/>
      <c r="N872" s="265">
        <v>1</v>
      </c>
      <c r="O872" s="265">
        <v>0</v>
      </c>
      <c r="P872" s="119">
        <f t="shared" si="164"/>
        <v>0</v>
      </c>
      <c r="Q872" s="265" t="s">
        <v>3223</v>
      </c>
      <c r="R872" s="265" t="s">
        <v>1242</v>
      </c>
      <c r="S872" s="265" t="s">
        <v>90</v>
      </c>
      <c r="T872" s="265" t="s">
        <v>90</v>
      </c>
      <c r="U872" s="286">
        <v>45000000</v>
      </c>
      <c r="V872" s="265"/>
      <c r="W872" s="265"/>
      <c r="X872" s="265"/>
      <c r="Y872" s="265"/>
      <c r="Z872" s="265"/>
      <c r="AA872" s="265"/>
      <c r="AB872" s="265"/>
      <c r="AC872" s="265"/>
      <c r="AD872" s="265"/>
      <c r="AE872" s="265" t="s">
        <v>55</v>
      </c>
      <c r="AF872" s="286">
        <v>45000000</v>
      </c>
      <c r="AG872" s="268">
        <v>0</v>
      </c>
      <c r="AH872" s="162">
        <f t="shared" si="165"/>
        <v>0</v>
      </c>
      <c r="AI872" s="265"/>
      <c r="AJ872" s="265" t="s">
        <v>1220</v>
      </c>
      <c r="AK872" s="983" t="s">
        <v>3224</v>
      </c>
      <c r="AL872" s="983" t="s">
        <v>247</v>
      </c>
      <c r="AM872" s="265">
        <v>1</v>
      </c>
    </row>
    <row r="873" spans="1:39" ht="90" x14ac:dyDescent="0.25">
      <c r="A873" s="351"/>
      <c r="B873" s="351"/>
      <c r="C873" s="351"/>
      <c r="D873" s="266"/>
      <c r="E873" s="266"/>
      <c r="F873" s="1065"/>
      <c r="G873" s="981" t="s">
        <v>3225</v>
      </c>
      <c r="H873" s="981" t="s">
        <v>3226</v>
      </c>
      <c r="I873" s="981" t="s">
        <v>3227</v>
      </c>
      <c r="J873" s="981" t="s">
        <v>3228</v>
      </c>
      <c r="K873" s="284">
        <f>+(0.151*100)/1</f>
        <v>15.1</v>
      </c>
      <c r="L873" s="981" t="s">
        <v>3229</v>
      </c>
      <c r="M873" s="981"/>
      <c r="N873" s="265">
        <v>2</v>
      </c>
      <c r="O873" s="265">
        <v>0</v>
      </c>
      <c r="P873" s="119">
        <f t="shared" si="164"/>
        <v>0</v>
      </c>
      <c r="Q873" s="265" t="s">
        <v>3230</v>
      </c>
      <c r="R873" s="265" t="s">
        <v>3231</v>
      </c>
      <c r="S873" s="265" t="s">
        <v>90</v>
      </c>
      <c r="T873" s="265" t="s">
        <v>90</v>
      </c>
      <c r="U873" s="286">
        <v>50000000</v>
      </c>
      <c r="V873" s="265" t="s">
        <v>55</v>
      </c>
      <c r="W873" s="265"/>
      <c r="X873" s="265"/>
      <c r="Y873" s="265"/>
      <c r="Z873" s="265"/>
      <c r="AA873" s="265"/>
      <c r="AB873" s="265"/>
      <c r="AC873" s="265"/>
      <c r="AD873" s="265"/>
      <c r="AE873" s="265"/>
      <c r="AF873" s="268">
        <v>50000000</v>
      </c>
      <c r="AG873" s="268">
        <v>50000000</v>
      </c>
      <c r="AH873" s="162">
        <f t="shared" si="165"/>
        <v>1</v>
      </c>
      <c r="AI873" s="265"/>
      <c r="AJ873" s="265" t="s">
        <v>1220</v>
      </c>
      <c r="AK873" s="983" t="s">
        <v>2938</v>
      </c>
      <c r="AL873" s="983" t="s">
        <v>247</v>
      </c>
      <c r="AM873" s="265">
        <v>2</v>
      </c>
    </row>
    <row r="874" spans="1:39" ht="33.75" x14ac:dyDescent="0.25">
      <c r="A874" s="351"/>
      <c r="B874" s="351"/>
      <c r="C874" s="351"/>
      <c r="D874" s="266"/>
      <c r="E874" s="266"/>
      <c r="F874" s="110" t="s">
        <v>158</v>
      </c>
      <c r="G874" s="110"/>
      <c r="H874" s="110"/>
      <c r="I874" s="110"/>
      <c r="J874" s="1009"/>
      <c r="K874" s="1029">
        <f>+SUM(K870:K873)</f>
        <v>99.999999999999986</v>
      </c>
      <c r="L874" s="1009"/>
      <c r="M874" s="1009"/>
      <c r="N874" s="1009"/>
      <c r="O874" s="1009"/>
      <c r="P874" s="1012"/>
      <c r="Q874" s="1009"/>
      <c r="R874" s="1009"/>
      <c r="S874" s="1009"/>
      <c r="T874" s="1009"/>
      <c r="U874" s="1009"/>
      <c r="V874" s="1009"/>
      <c r="W874" s="1009"/>
      <c r="X874" s="1009"/>
      <c r="Y874" s="1009"/>
      <c r="Z874" s="1009"/>
      <c r="AA874" s="1009"/>
      <c r="AB874" s="1009"/>
      <c r="AC874" s="1009"/>
      <c r="AD874" s="1009"/>
      <c r="AE874" s="1009"/>
      <c r="AF874" s="1009"/>
      <c r="AG874" s="1009"/>
      <c r="AH874" s="1012"/>
      <c r="AI874" s="1009"/>
      <c r="AJ874" s="1009"/>
      <c r="AK874" s="1066"/>
      <c r="AL874" s="1067"/>
      <c r="AM874" s="1015"/>
    </row>
    <row r="875" spans="1:39" ht="67.5" x14ac:dyDescent="0.25">
      <c r="A875" s="351"/>
      <c r="B875" s="351"/>
      <c r="C875" s="351"/>
      <c r="D875" s="266"/>
      <c r="E875" s="266"/>
      <c r="F875" s="1068" t="s">
        <v>3232</v>
      </c>
      <c r="G875" s="1068"/>
      <c r="H875" s="1068"/>
      <c r="I875" s="1068"/>
      <c r="J875" s="981" t="s">
        <v>3233</v>
      </c>
      <c r="K875" s="284">
        <f t="shared" ref="K875:K887" si="166">+(0.15*100)/1.5</f>
        <v>10</v>
      </c>
      <c r="L875" s="981" t="s">
        <v>229</v>
      </c>
      <c r="M875" s="981"/>
      <c r="N875" s="981"/>
      <c r="O875" s="981"/>
      <c r="P875" s="982"/>
      <c r="Q875" s="981"/>
      <c r="R875" s="981"/>
      <c r="S875" s="981"/>
      <c r="T875" s="981"/>
      <c r="U875" s="981"/>
      <c r="V875" s="981"/>
      <c r="W875" s="981"/>
      <c r="X875" s="981"/>
      <c r="Y875" s="981"/>
      <c r="Z875" s="981"/>
      <c r="AA875" s="981"/>
      <c r="AB875" s="981"/>
      <c r="AC875" s="981"/>
      <c r="AD875" s="981"/>
      <c r="AE875" s="981"/>
      <c r="AF875" s="981"/>
      <c r="AG875" s="981"/>
      <c r="AH875" s="982"/>
      <c r="AI875" s="981"/>
      <c r="AJ875" s="981"/>
      <c r="AK875" s="983" t="s">
        <v>2938</v>
      </c>
      <c r="AL875" s="984" t="s">
        <v>247</v>
      </c>
      <c r="AM875" s="265">
        <v>2</v>
      </c>
    </row>
    <row r="876" spans="1:39" ht="45" x14ac:dyDescent="0.25">
      <c r="A876" s="351"/>
      <c r="B876" s="351"/>
      <c r="C876" s="351"/>
      <c r="D876" s="266"/>
      <c r="E876" s="266"/>
      <c r="F876" s="1068"/>
      <c r="G876" s="1068"/>
      <c r="H876" s="1068"/>
      <c r="I876" s="1068"/>
      <c r="J876" s="981" t="s">
        <v>3234</v>
      </c>
      <c r="K876" s="284">
        <f t="shared" si="166"/>
        <v>10</v>
      </c>
      <c r="L876" s="981" t="s">
        <v>3235</v>
      </c>
      <c r="M876" s="981"/>
      <c r="N876" s="981"/>
      <c r="O876" s="981"/>
      <c r="P876" s="982"/>
      <c r="Q876" s="981"/>
      <c r="R876" s="981"/>
      <c r="S876" s="981"/>
      <c r="T876" s="981"/>
      <c r="U876" s="981"/>
      <c r="V876" s="981"/>
      <c r="W876" s="981"/>
      <c r="X876" s="981"/>
      <c r="Y876" s="981"/>
      <c r="Z876" s="981"/>
      <c r="AA876" s="981"/>
      <c r="AB876" s="981"/>
      <c r="AC876" s="981"/>
      <c r="AD876" s="981"/>
      <c r="AE876" s="981"/>
      <c r="AF876" s="981"/>
      <c r="AG876" s="981"/>
      <c r="AH876" s="982"/>
      <c r="AI876" s="981"/>
      <c r="AJ876" s="981"/>
      <c r="AK876" s="983" t="s">
        <v>2938</v>
      </c>
      <c r="AL876" s="984" t="s">
        <v>247</v>
      </c>
      <c r="AM876" s="265">
        <v>1</v>
      </c>
    </row>
    <row r="877" spans="1:39" ht="45" x14ac:dyDescent="0.25">
      <c r="A877" s="351"/>
      <c r="B877" s="351"/>
      <c r="C877" s="351"/>
      <c r="D877" s="266"/>
      <c r="E877" s="266"/>
      <c r="F877" s="1068"/>
      <c r="G877" s="1068"/>
      <c r="H877" s="1068"/>
      <c r="I877" s="1068"/>
      <c r="J877" s="981" t="s">
        <v>3236</v>
      </c>
      <c r="K877" s="284">
        <f t="shared" si="166"/>
        <v>10</v>
      </c>
      <c r="L877" s="981" t="s">
        <v>3237</v>
      </c>
      <c r="M877" s="981"/>
      <c r="N877" s="981"/>
      <c r="O877" s="981"/>
      <c r="P877" s="982"/>
      <c r="Q877" s="981"/>
      <c r="R877" s="981"/>
      <c r="S877" s="981"/>
      <c r="T877" s="981"/>
      <c r="U877" s="981"/>
      <c r="V877" s="981"/>
      <c r="W877" s="981"/>
      <c r="X877" s="981"/>
      <c r="Y877" s="981"/>
      <c r="Z877" s="981"/>
      <c r="AA877" s="981"/>
      <c r="AB877" s="981"/>
      <c r="AC877" s="981"/>
      <c r="AD877" s="981"/>
      <c r="AE877" s="981"/>
      <c r="AF877" s="981"/>
      <c r="AG877" s="981"/>
      <c r="AH877" s="982"/>
      <c r="AI877" s="981"/>
      <c r="AJ877" s="981"/>
      <c r="AK877" s="983" t="s">
        <v>2938</v>
      </c>
      <c r="AL877" s="984" t="s">
        <v>247</v>
      </c>
      <c r="AM877" s="265">
        <v>1</v>
      </c>
    </row>
    <row r="878" spans="1:39" ht="45" x14ac:dyDescent="0.25">
      <c r="A878" s="351"/>
      <c r="B878" s="351"/>
      <c r="C878" s="351"/>
      <c r="D878" s="266"/>
      <c r="E878" s="266"/>
      <c r="F878" s="1068"/>
      <c r="G878" s="1068"/>
      <c r="H878" s="1068"/>
      <c r="I878" s="1068"/>
      <c r="J878" s="981" t="s">
        <v>3238</v>
      </c>
      <c r="K878" s="366">
        <f t="shared" si="166"/>
        <v>10</v>
      </c>
      <c r="L878" s="981" t="s">
        <v>3239</v>
      </c>
      <c r="M878" s="981"/>
      <c r="N878" s="981"/>
      <c r="O878" s="981"/>
      <c r="P878" s="982"/>
      <c r="Q878" s="981"/>
      <c r="R878" s="981"/>
      <c r="S878" s="981"/>
      <c r="T878" s="981"/>
      <c r="U878" s="981"/>
      <c r="V878" s="981"/>
      <c r="W878" s="981"/>
      <c r="X878" s="981"/>
      <c r="Y878" s="981"/>
      <c r="Z878" s="981"/>
      <c r="AA878" s="981"/>
      <c r="AB878" s="981"/>
      <c r="AC878" s="981"/>
      <c r="AD878" s="981"/>
      <c r="AE878" s="981"/>
      <c r="AF878" s="981"/>
      <c r="AG878" s="981"/>
      <c r="AH878" s="982"/>
      <c r="AI878" s="981"/>
      <c r="AJ878" s="981"/>
      <c r="AK878" s="983" t="s">
        <v>2938</v>
      </c>
      <c r="AL878" s="984" t="s">
        <v>247</v>
      </c>
      <c r="AM878" s="118">
        <v>1</v>
      </c>
    </row>
    <row r="879" spans="1:39" ht="101.25" x14ac:dyDescent="0.25">
      <c r="A879" s="351"/>
      <c r="B879" s="351"/>
      <c r="C879" s="351"/>
      <c r="D879" s="266"/>
      <c r="E879" s="266"/>
      <c r="F879" s="1068"/>
      <c r="G879" s="1030" t="s">
        <v>3240</v>
      </c>
      <c r="H879" s="1030" t="s">
        <v>3241</v>
      </c>
      <c r="I879" s="1030" t="s">
        <v>3242</v>
      </c>
      <c r="J879" s="1062" t="s">
        <v>3243</v>
      </c>
      <c r="K879" s="366">
        <f t="shared" si="166"/>
        <v>10</v>
      </c>
      <c r="L879" s="1062" t="s">
        <v>102</v>
      </c>
      <c r="M879" s="1030"/>
      <c r="N879" s="358">
        <v>1</v>
      </c>
      <c r="O879" s="358">
        <v>1</v>
      </c>
      <c r="P879" s="26">
        <f t="shared" ref="P879" si="167">+O879/N879</f>
        <v>1</v>
      </c>
      <c r="Q879" s="118" t="s">
        <v>3244</v>
      </c>
      <c r="R879" s="118" t="s">
        <v>3245</v>
      </c>
      <c r="S879" s="1069">
        <v>41944</v>
      </c>
      <c r="T879" s="1069">
        <v>41974</v>
      </c>
      <c r="U879" s="1070">
        <v>50000000</v>
      </c>
      <c r="V879" s="1069" t="s">
        <v>55</v>
      </c>
      <c r="W879" s="1069"/>
      <c r="X879" s="1069"/>
      <c r="Y879" s="1069"/>
      <c r="Z879" s="1069"/>
      <c r="AA879" s="1069"/>
      <c r="AB879" s="1069"/>
      <c r="AC879" s="1069"/>
      <c r="AD879" s="1069"/>
      <c r="AE879" s="1069"/>
      <c r="AF879" s="1070">
        <v>50000000</v>
      </c>
      <c r="AG879" s="1070">
        <v>50000000</v>
      </c>
      <c r="AH879" s="26">
        <f t="shared" ref="AH879" si="168">+AG879/AF879</f>
        <v>1</v>
      </c>
      <c r="AI879" s="1069" t="s">
        <v>2026</v>
      </c>
      <c r="AJ879" s="1069"/>
      <c r="AK879" s="1069" t="s">
        <v>2938</v>
      </c>
      <c r="AL879" s="1069" t="s">
        <v>247</v>
      </c>
      <c r="AM879" s="265">
        <v>1</v>
      </c>
    </row>
    <row r="880" spans="1:39" ht="45" x14ac:dyDescent="0.25">
      <c r="A880" s="351"/>
      <c r="B880" s="351"/>
      <c r="C880" s="351"/>
      <c r="D880" s="266"/>
      <c r="E880" s="266"/>
      <c r="F880" s="1068"/>
      <c r="G880" s="1047"/>
      <c r="H880" s="1047"/>
      <c r="I880" s="1047"/>
      <c r="J880" s="1062"/>
      <c r="K880" s="370"/>
      <c r="L880" s="1062"/>
      <c r="M880" s="1047"/>
      <c r="N880" s="264"/>
      <c r="O880" s="264"/>
      <c r="P880" s="567"/>
      <c r="Q880" s="118" t="s">
        <v>3246</v>
      </c>
      <c r="R880" s="118" t="s">
        <v>3231</v>
      </c>
      <c r="S880" s="1071"/>
      <c r="T880" s="1071"/>
      <c r="U880" s="1072"/>
      <c r="V880" s="1071"/>
      <c r="W880" s="1071"/>
      <c r="X880" s="1071"/>
      <c r="Y880" s="1071"/>
      <c r="Z880" s="1071"/>
      <c r="AA880" s="1071"/>
      <c r="AB880" s="1071"/>
      <c r="AC880" s="1071"/>
      <c r="AD880" s="1071"/>
      <c r="AE880" s="1071"/>
      <c r="AF880" s="1072"/>
      <c r="AG880" s="1072"/>
      <c r="AH880" s="567"/>
      <c r="AI880" s="1071"/>
      <c r="AJ880" s="1071"/>
      <c r="AK880" s="1071"/>
      <c r="AL880" s="1071"/>
      <c r="AM880" s="265"/>
    </row>
    <row r="881" spans="1:39" ht="123.75" x14ac:dyDescent="0.25">
      <c r="A881" s="351"/>
      <c r="B881" s="351"/>
      <c r="C881" s="351"/>
      <c r="D881" s="266"/>
      <c r="E881" s="266"/>
      <c r="F881" s="1068"/>
      <c r="G881" s="1030" t="s">
        <v>3247</v>
      </c>
      <c r="H881" s="1030" t="s">
        <v>3241</v>
      </c>
      <c r="I881" s="1030" t="s">
        <v>3242</v>
      </c>
      <c r="J881" s="1062"/>
      <c r="K881" s="370"/>
      <c r="L881" s="1062"/>
      <c r="M881" s="1030"/>
      <c r="N881" s="140">
        <v>1</v>
      </c>
      <c r="O881" s="140">
        <v>1</v>
      </c>
      <c r="P881" s="119">
        <f t="shared" ref="P881" si="169">+O881/N881</f>
        <v>1</v>
      </c>
      <c r="Q881" s="118" t="s">
        <v>3244</v>
      </c>
      <c r="R881" s="265" t="s">
        <v>3245</v>
      </c>
      <c r="S881" s="1073">
        <v>41699</v>
      </c>
      <c r="T881" s="1073">
        <v>41730</v>
      </c>
      <c r="U881" s="1074">
        <f>+'[2]POAI '!$K$80</f>
        <v>54889996.869999997</v>
      </c>
      <c r="V881" s="1074" t="s">
        <v>55</v>
      </c>
      <c r="W881" s="1074"/>
      <c r="X881" s="1074"/>
      <c r="Y881" s="1074"/>
      <c r="Z881" s="1074"/>
      <c r="AA881" s="1074"/>
      <c r="AB881" s="1074"/>
      <c r="AC881" s="1074"/>
      <c r="AD881" s="1074"/>
      <c r="AE881" s="1074"/>
      <c r="AF881" s="1074">
        <f>+'[2]POAI '!$K$80</f>
        <v>54889996.869999997</v>
      </c>
      <c r="AG881" s="358">
        <v>54889996.870000005</v>
      </c>
      <c r="AH881" s="26">
        <f t="shared" ref="AH881" si="170">+AG881/AF881</f>
        <v>1.0000000000000002</v>
      </c>
      <c r="AI881" s="1074" t="s">
        <v>3248</v>
      </c>
      <c r="AJ881" s="1074"/>
      <c r="AK881" s="1074" t="s">
        <v>2938</v>
      </c>
      <c r="AL881" s="1074" t="s">
        <v>247</v>
      </c>
      <c r="AM881" s="265"/>
    </row>
    <row r="882" spans="1:39" ht="90" x14ac:dyDescent="0.25">
      <c r="A882" s="351"/>
      <c r="B882" s="351"/>
      <c r="C882" s="351"/>
      <c r="D882" s="266"/>
      <c r="E882" s="266"/>
      <c r="F882" s="1068"/>
      <c r="G882" s="1049"/>
      <c r="H882" s="1049"/>
      <c r="I882" s="1049"/>
      <c r="J882" s="1075"/>
      <c r="K882" s="373"/>
      <c r="L882" s="1075"/>
      <c r="M882" s="1049"/>
      <c r="N882" s="287"/>
      <c r="O882" s="1049"/>
      <c r="P882" s="119"/>
      <c r="Q882" s="118" t="s">
        <v>3249</v>
      </c>
      <c r="R882" s="265" t="s">
        <v>135</v>
      </c>
      <c r="S882" s="1076"/>
      <c r="T882" s="1076"/>
      <c r="U882" s="291"/>
      <c r="V882" s="291"/>
      <c r="W882" s="291"/>
      <c r="X882" s="291"/>
      <c r="Y882" s="291"/>
      <c r="Z882" s="291"/>
      <c r="AA882" s="291"/>
      <c r="AB882" s="291"/>
      <c r="AC882" s="291"/>
      <c r="AD882" s="291"/>
      <c r="AE882" s="291"/>
      <c r="AF882" s="291"/>
      <c r="AG882" s="291"/>
      <c r="AH882" s="1077"/>
      <c r="AI882" s="291"/>
      <c r="AJ882" s="291"/>
      <c r="AK882" s="291"/>
      <c r="AL882" s="291"/>
      <c r="AM882" s="265"/>
    </row>
    <row r="883" spans="1:39" ht="112.5" x14ac:dyDescent="0.25">
      <c r="A883" s="351"/>
      <c r="B883" s="351"/>
      <c r="C883" s="351"/>
      <c r="D883" s="266"/>
      <c r="E883" s="266"/>
      <c r="F883" s="1068"/>
      <c r="G883" s="1030" t="s">
        <v>3250</v>
      </c>
      <c r="H883" s="1068" t="s">
        <v>3251</v>
      </c>
      <c r="I883" s="1068" t="s">
        <v>3252</v>
      </c>
      <c r="J883" s="981" t="s">
        <v>3253</v>
      </c>
      <c r="K883" s="373">
        <f t="shared" si="166"/>
        <v>10</v>
      </c>
      <c r="L883" s="981" t="s">
        <v>113</v>
      </c>
      <c r="M883" s="981"/>
      <c r="N883" s="265">
        <v>1</v>
      </c>
      <c r="O883" s="140">
        <v>1</v>
      </c>
      <c r="P883" s="119">
        <f t="shared" ref="P883:P884" si="171">+O883/N883</f>
        <v>1</v>
      </c>
      <c r="Q883" s="140" t="s">
        <v>3254</v>
      </c>
      <c r="R883" s="140" t="s">
        <v>3255</v>
      </c>
      <c r="S883" s="140" t="s">
        <v>386</v>
      </c>
      <c r="T883" s="140" t="s">
        <v>386</v>
      </c>
      <c r="U883" s="1078">
        <v>50000000</v>
      </c>
      <c r="V883" s="1078" t="s">
        <v>55</v>
      </c>
      <c r="W883" s="1078"/>
      <c r="X883" s="1078"/>
      <c r="Y883" s="1078"/>
      <c r="Z883" s="1078"/>
      <c r="AA883" s="1078"/>
      <c r="AB883" s="1078"/>
      <c r="AC883" s="1078"/>
      <c r="AD883" s="1078"/>
      <c r="AE883" s="1078"/>
      <c r="AF883" s="1078">
        <v>50000000</v>
      </c>
      <c r="AG883" s="1078">
        <v>50000000</v>
      </c>
      <c r="AH883" s="26">
        <f t="shared" ref="AH883" si="172">+AG883/AF883</f>
        <v>1</v>
      </c>
      <c r="AI883" s="140" t="s">
        <v>3248</v>
      </c>
      <c r="AJ883" s="140"/>
      <c r="AK883" s="140" t="s">
        <v>2938</v>
      </c>
      <c r="AL883" s="140" t="s">
        <v>247</v>
      </c>
      <c r="AM883" s="265">
        <v>1</v>
      </c>
    </row>
    <row r="884" spans="1:39" ht="67.5" x14ac:dyDescent="0.25">
      <c r="A884" s="351"/>
      <c r="B884" s="351"/>
      <c r="C884" s="351"/>
      <c r="D884" s="266"/>
      <c r="E884" s="266"/>
      <c r="F884" s="1068"/>
      <c r="G884" s="1049"/>
      <c r="H884" s="1068"/>
      <c r="I884" s="1068"/>
      <c r="J884" s="981" t="s">
        <v>3256</v>
      </c>
      <c r="K884" s="284">
        <f t="shared" si="166"/>
        <v>10</v>
      </c>
      <c r="L884" s="981" t="s">
        <v>3257</v>
      </c>
      <c r="M884" s="981"/>
      <c r="N884" s="265">
        <v>1</v>
      </c>
      <c r="O884" s="265">
        <v>1</v>
      </c>
      <c r="P884" s="119">
        <f t="shared" si="171"/>
        <v>1</v>
      </c>
      <c r="Q884" s="287"/>
      <c r="R884" s="287"/>
      <c r="S884" s="287"/>
      <c r="T884" s="287"/>
      <c r="U884" s="287"/>
      <c r="V884" s="287"/>
      <c r="W884" s="287"/>
      <c r="X884" s="287"/>
      <c r="Y884" s="287"/>
      <c r="Z884" s="287"/>
      <c r="AA884" s="287"/>
      <c r="AB884" s="287"/>
      <c r="AC884" s="287"/>
      <c r="AD884" s="287"/>
      <c r="AE884" s="287"/>
      <c r="AF884" s="287"/>
      <c r="AG884" s="287"/>
      <c r="AH884" s="522"/>
      <c r="AI884" s="287"/>
      <c r="AJ884" s="287"/>
      <c r="AK884" s="287"/>
      <c r="AL884" s="287"/>
      <c r="AM884" s="265">
        <v>1</v>
      </c>
    </row>
    <row r="885" spans="1:39" ht="67.5" x14ac:dyDescent="0.25">
      <c r="A885" s="351"/>
      <c r="B885" s="351"/>
      <c r="C885" s="351"/>
      <c r="D885" s="266"/>
      <c r="E885" s="266"/>
      <c r="F885" s="1068"/>
      <c r="G885" s="1068"/>
      <c r="H885" s="1068"/>
      <c r="I885" s="1068"/>
      <c r="J885" s="981" t="s">
        <v>3258</v>
      </c>
      <c r="K885" s="284">
        <f t="shared" si="166"/>
        <v>10</v>
      </c>
      <c r="L885" s="981" t="s">
        <v>3259</v>
      </c>
      <c r="M885" s="981"/>
      <c r="N885" s="981"/>
      <c r="O885" s="981"/>
      <c r="P885" s="982"/>
      <c r="Q885" s="981"/>
      <c r="R885" s="981"/>
      <c r="S885" s="981"/>
      <c r="T885" s="981"/>
      <c r="U885" s="981"/>
      <c r="V885" s="981"/>
      <c r="W885" s="981"/>
      <c r="X885" s="981"/>
      <c r="Y885" s="981"/>
      <c r="Z885" s="981"/>
      <c r="AA885" s="981"/>
      <c r="AB885" s="981"/>
      <c r="AC885" s="981"/>
      <c r="AD885" s="981"/>
      <c r="AE885" s="981"/>
      <c r="AF885" s="981"/>
      <c r="AG885" s="981"/>
      <c r="AH885" s="982"/>
      <c r="AI885" s="981"/>
      <c r="AJ885" s="981"/>
      <c r="AK885" s="983" t="s">
        <v>2938</v>
      </c>
      <c r="AL885" s="984" t="s">
        <v>247</v>
      </c>
      <c r="AM885" s="265">
        <v>1</v>
      </c>
    </row>
    <row r="886" spans="1:39" ht="112.5" x14ac:dyDescent="0.25">
      <c r="A886" s="351"/>
      <c r="B886" s="351"/>
      <c r="C886" s="351"/>
      <c r="D886" s="266"/>
      <c r="E886" s="266"/>
      <c r="F886" s="1068"/>
      <c r="G886" s="1079" t="s">
        <v>3260</v>
      </c>
      <c r="H886" s="1079" t="s">
        <v>3261</v>
      </c>
      <c r="I886" s="1079" t="s">
        <v>3262</v>
      </c>
      <c r="J886" s="981" t="s">
        <v>3263</v>
      </c>
      <c r="K886" s="284">
        <f t="shared" si="166"/>
        <v>10</v>
      </c>
      <c r="L886" s="981" t="s">
        <v>3264</v>
      </c>
      <c r="M886" s="265">
        <v>1</v>
      </c>
      <c r="N886" s="265">
        <v>1</v>
      </c>
      <c r="O886" s="265">
        <v>1</v>
      </c>
      <c r="P886" s="119">
        <f t="shared" ref="P886:P889" si="173">+O886/N886</f>
        <v>1</v>
      </c>
      <c r="Q886" s="265" t="s">
        <v>3265</v>
      </c>
      <c r="R886" s="265" t="s">
        <v>3266</v>
      </c>
      <c r="S886" s="265" t="s">
        <v>3267</v>
      </c>
      <c r="T886" s="1053">
        <v>41944</v>
      </c>
      <c r="U886" s="286">
        <v>25000000</v>
      </c>
      <c r="V886" s="265" t="s">
        <v>55</v>
      </c>
      <c r="W886" s="265"/>
      <c r="X886" s="265"/>
      <c r="Y886" s="265"/>
      <c r="Z886" s="265"/>
      <c r="AA886" s="265"/>
      <c r="AB886" s="265"/>
      <c r="AC886" s="265"/>
      <c r="AD886" s="265"/>
      <c r="AE886" s="265"/>
      <c r="AF886" s="286">
        <v>25000000</v>
      </c>
      <c r="AG886" s="268">
        <v>25000000</v>
      </c>
      <c r="AH886" s="162">
        <f t="shared" ref="AH886:AH887" si="174">+AG886/AF886</f>
        <v>1</v>
      </c>
      <c r="AI886" s="118" t="s">
        <v>3248</v>
      </c>
      <c r="AJ886" s="265"/>
      <c r="AK886" s="983" t="s">
        <v>2938</v>
      </c>
      <c r="AL886" s="983" t="s">
        <v>247</v>
      </c>
      <c r="AM886" s="265">
        <v>1</v>
      </c>
    </row>
    <row r="887" spans="1:39" ht="146.25" x14ac:dyDescent="0.25">
      <c r="A887" s="351"/>
      <c r="B887" s="351"/>
      <c r="C887" s="351"/>
      <c r="D887" s="266"/>
      <c r="E887" s="266"/>
      <c r="F887" s="1068"/>
      <c r="G887" s="1030" t="s">
        <v>3268</v>
      </c>
      <c r="H887" s="1030" t="s">
        <v>3269</v>
      </c>
      <c r="I887" s="1030" t="s">
        <v>3270</v>
      </c>
      <c r="J887" s="1068" t="s">
        <v>3271</v>
      </c>
      <c r="K887" s="284">
        <f t="shared" si="166"/>
        <v>10</v>
      </c>
      <c r="L887" s="1068" t="s">
        <v>3272</v>
      </c>
      <c r="M887" s="1068"/>
      <c r="N887" s="1030">
        <v>1</v>
      </c>
      <c r="O887" s="1030">
        <v>1</v>
      </c>
      <c r="P887" s="119">
        <f t="shared" si="173"/>
        <v>1</v>
      </c>
      <c r="Q887" s="265" t="s">
        <v>3273</v>
      </c>
      <c r="R887" s="265" t="s">
        <v>3274</v>
      </c>
      <c r="S887" s="1073" t="s">
        <v>286</v>
      </c>
      <c r="T887" s="1073" t="s">
        <v>2969</v>
      </c>
      <c r="U887" s="310">
        <v>60000000</v>
      </c>
      <c r="V887" s="310"/>
      <c r="W887" s="310" t="s">
        <v>55</v>
      </c>
      <c r="X887" s="310"/>
      <c r="Y887" s="310"/>
      <c r="Z887" s="310"/>
      <c r="AA887" s="310"/>
      <c r="AB887" s="310"/>
      <c r="AC887" s="310"/>
      <c r="AD887" s="310"/>
      <c r="AE887" s="310"/>
      <c r="AF887" s="310">
        <v>60000000</v>
      </c>
      <c r="AG887" s="310">
        <v>60000000</v>
      </c>
      <c r="AH887" s="26">
        <f t="shared" si="174"/>
        <v>1</v>
      </c>
      <c r="AI887" s="310" t="s">
        <v>1922</v>
      </c>
      <c r="AJ887" s="310"/>
      <c r="AK887" s="310" t="s">
        <v>2938</v>
      </c>
      <c r="AL887" s="310" t="s">
        <v>247</v>
      </c>
      <c r="AM887" s="265">
        <v>1</v>
      </c>
    </row>
    <row r="888" spans="1:39" ht="78.75" x14ac:dyDescent="0.25">
      <c r="A888" s="351"/>
      <c r="B888" s="351"/>
      <c r="C888" s="351"/>
      <c r="D888" s="266"/>
      <c r="E888" s="266"/>
      <c r="F888" s="1068"/>
      <c r="G888" s="1068"/>
      <c r="H888" s="1068"/>
      <c r="I888" s="1068"/>
      <c r="J888" s="1068"/>
      <c r="K888" s="1068"/>
      <c r="L888" s="1068"/>
      <c r="M888" s="1068"/>
      <c r="N888" s="1047"/>
      <c r="O888" s="1047"/>
      <c r="P888" s="119" t="e">
        <f t="shared" si="173"/>
        <v>#DIV/0!</v>
      </c>
      <c r="Q888" s="265" t="s">
        <v>3275</v>
      </c>
      <c r="R888" s="265" t="s">
        <v>3276</v>
      </c>
      <c r="S888" s="1080"/>
      <c r="T888" s="1080"/>
      <c r="U888" s="1081"/>
      <c r="V888" s="1081"/>
      <c r="W888" s="1081"/>
      <c r="X888" s="1081"/>
      <c r="Y888" s="1081"/>
      <c r="Z888" s="1081"/>
      <c r="AA888" s="1081"/>
      <c r="AB888" s="1081"/>
      <c r="AC888" s="1081"/>
      <c r="AD888" s="1081"/>
      <c r="AE888" s="1081"/>
      <c r="AF888" s="1081"/>
      <c r="AG888" s="1081"/>
      <c r="AH888" s="652"/>
      <c r="AI888" s="1081"/>
      <c r="AJ888" s="1081"/>
      <c r="AK888" s="1081"/>
      <c r="AL888" s="1081"/>
      <c r="AM888" s="265"/>
    </row>
    <row r="889" spans="1:39" ht="56.25" x14ac:dyDescent="0.25">
      <c r="A889" s="351"/>
      <c r="B889" s="351"/>
      <c r="C889" s="351"/>
      <c r="D889" s="266"/>
      <c r="E889" s="266"/>
      <c r="F889" s="1068"/>
      <c r="G889" s="1068"/>
      <c r="H889" s="1068"/>
      <c r="I889" s="1068"/>
      <c r="J889" s="1068"/>
      <c r="K889" s="1068"/>
      <c r="L889" s="1068"/>
      <c r="M889" s="1068"/>
      <c r="N889" s="1049"/>
      <c r="O889" s="1049"/>
      <c r="P889" s="119" t="e">
        <f t="shared" si="173"/>
        <v>#DIV/0!</v>
      </c>
      <c r="Q889" s="265" t="s">
        <v>3277</v>
      </c>
      <c r="R889" s="265" t="s">
        <v>321</v>
      </c>
      <c r="S889" s="1076"/>
      <c r="T889" s="1076"/>
      <c r="U889" s="312"/>
      <c r="V889" s="312"/>
      <c r="W889" s="312"/>
      <c r="X889" s="312"/>
      <c r="Y889" s="312"/>
      <c r="Z889" s="312"/>
      <c r="AA889" s="312"/>
      <c r="AB889" s="312"/>
      <c r="AC889" s="312"/>
      <c r="AD889" s="312"/>
      <c r="AE889" s="312"/>
      <c r="AF889" s="312"/>
      <c r="AG889" s="312"/>
      <c r="AH889" s="191"/>
      <c r="AI889" s="312"/>
      <c r="AJ889" s="312"/>
      <c r="AK889" s="312"/>
      <c r="AL889" s="312"/>
      <c r="AM889" s="265"/>
    </row>
    <row r="890" spans="1:39" ht="33.75" x14ac:dyDescent="0.25">
      <c r="A890" s="351"/>
      <c r="B890" s="351"/>
      <c r="C890" s="351"/>
      <c r="D890" s="266"/>
      <c r="E890" s="266"/>
      <c r="F890" s="110" t="s">
        <v>158</v>
      </c>
      <c r="G890" s="110"/>
      <c r="H890" s="110"/>
      <c r="I890" s="110"/>
      <c r="J890" s="1009"/>
      <c r="K890" s="1029">
        <f>SUM(K875:K887)</f>
        <v>100</v>
      </c>
      <c r="L890" s="1009"/>
      <c r="M890" s="1009"/>
      <c r="N890" s="1009"/>
      <c r="O890" s="1009"/>
      <c r="P890" s="1012"/>
      <c r="Q890" s="1009"/>
      <c r="R890" s="1009"/>
      <c r="S890" s="1009"/>
      <c r="T890" s="1009"/>
      <c r="U890" s="1009"/>
      <c r="V890" s="1009"/>
      <c r="W890" s="1009"/>
      <c r="X890" s="1009"/>
      <c r="Y890" s="1009"/>
      <c r="Z890" s="1009"/>
      <c r="AA890" s="1009"/>
      <c r="AB890" s="1009"/>
      <c r="AC890" s="1009"/>
      <c r="AD890" s="1009"/>
      <c r="AE890" s="1009"/>
      <c r="AF890" s="1009"/>
      <c r="AG890" s="1009"/>
      <c r="AH890" s="1012"/>
      <c r="AI890" s="1009"/>
      <c r="AJ890" s="1009"/>
      <c r="AK890" s="1066"/>
      <c r="AL890" s="1067"/>
      <c r="AM890" s="1015"/>
    </row>
    <row r="891" spans="1:39" ht="56.25" x14ac:dyDescent="0.25">
      <c r="A891" s="351"/>
      <c r="B891" s="351"/>
      <c r="C891" s="351"/>
      <c r="D891" s="278"/>
      <c r="E891" s="266"/>
      <c r="F891" s="1068" t="s">
        <v>3278</v>
      </c>
      <c r="G891" s="1068"/>
      <c r="H891" s="1068"/>
      <c r="I891" s="1068"/>
      <c r="J891" s="981" t="s">
        <v>3279</v>
      </c>
      <c r="K891" s="349">
        <f>+(1*100)/1</f>
        <v>100</v>
      </c>
      <c r="L891" s="981" t="s">
        <v>3280</v>
      </c>
      <c r="M891" s="981"/>
      <c r="N891" s="981"/>
      <c r="O891" s="981"/>
      <c r="P891" s="982"/>
      <c r="Q891" s="981"/>
      <c r="R891" s="981"/>
      <c r="S891" s="981"/>
      <c r="T891" s="981"/>
      <c r="U891" s="981"/>
      <c r="V891" s="981"/>
      <c r="W891" s="981"/>
      <c r="X891" s="981"/>
      <c r="Y891" s="981"/>
      <c r="Z891" s="981"/>
      <c r="AA891" s="981"/>
      <c r="AB891" s="981"/>
      <c r="AC891" s="981"/>
      <c r="AD891" s="981"/>
      <c r="AE891" s="981"/>
      <c r="AF891" s="981"/>
      <c r="AG891" s="981"/>
      <c r="AH891" s="982"/>
      <c r="AI891" s="981"/>
      <c r="AJ891" s="981"/>
      <c r="AK891" s="983" t="s">
        <v>2884</v>
      </c>
      <c r="AL891" s="984" t="s">
        <v>247</v>
      </c>
      <c r="AM891" s="265">
        <v>1</v>
      </c>
    </row>
    <row r="892" spans="1:39" ht="33.75" x14ac:dyDescent="0.25">
      <c r="A892" s="142"/>
      <c r="B892" s="1082"/>
      <c r="C892" s="1082"/>
      <c r="D892" s="1083"/>
      <c r="E892" s="1083"/>
      <c r="F892" s="110" t="s">
        <v>158</v>
      </c>
      <c r="G892" s="110"/>
      <c r="H892" s="110"/>
      <c r="I892" s="110"/>
      <c r="J892" s="1082"/>
      <c r="K892" s="1029">
        <f t="shared" ref="K892" si="175">SUM(K891)</f>
        <v>100</v>
      </c>
      <c r="L892" s="1009"/>
      <c r="M892" s="1009"/>
      <c r="N892" s="1009"/>
      <c r="O892" s="1009"/>
      <c r="P892" s="1012"/>
      <c r="Q892" s="1009"/>
      <c r="R892" s="1009"/>
      <c r="S892" s="1009"/>
      <c r="T892" s="1009"/>
      <c r="U892" s="1009"/>
      <c r="V892" s="1009"/>
      <c r="W892" s="1009"/>
      <c r="X892" s="1009"/>
      <c r="Y892" s="1009"/>
      <c r="Z892" s="1009"/>
      <c r="AA892" s="1009"/>
      <c r="AB892" s="1009"/>
      <c r="AC892" s="1009"/>
      <c r="AD892" s="1009"/>
      <c r="AE892" s="1009"/>
      <c r="AF892" s="1009"/>
      <c r="AG892" s="1009"/>
      <c r="AH892" s="1012"/>
      <c r="AI892" s="1009"/>
      <c r="AJ892" s="1009"/>
      <c r="AK892" s="1009"/>
      <c r="AL892" s="1084"/>
      <c r="AM892" s="144"/>
    </row>
    <row r="893" spans="1:39" x14ac:dyDescent="0.25">
      <c r="A893" s="279"/>
      <c r="B893" s="279"/>
      <c r="C893" s="279"/>
      <c r="D893" s="279"/>
      <c r="E893" s="279"/>
      <c r="F893" s="279"/>
      <c r="G893" s="279"/>
      <c r="H893" s="279"/>
      <c r="I893" s="279"/>
      <c r="J893" s="279"/>
      <c r="K893" s="978"/>
      <c r="L893" s="279"/>
      <c r="M893" s="279"/>
      <c r="N893" s="279"/>
      <c r="O893" s="279"/>
      <c r="P893" s="142"/>
      <c r="Q893" s="279"/>
      <c r="R893" s="279"/>
      <c r="S893" s="279"/>
      <c r="T893" s="279"/>
      <c r="U893" s="279"/>
      <c r="V893" s="279"/>
      <c r="W893" s="279"/>
      <c r="X893" s="279"/>
      <c r="Y893" s="279"/>
      <c r="Z893" s="279"/>
      <c r="AA893" s="279"/>
      <c r="AB893" s="279"/>
      <c r="AC893" s="279"/>
      <c r="AD893" s="279"/>
      <c r="AE893" s="279"/>
      <c r="AF893" s="279"/>
      <c r="AG893" s="279"/>
      <c r="AH893" s="142"/>
      <c r="AI893" s="279"/>
      <c r="AJ893" s="279"/>
      <c r="AK893" s="1085"/>
      <c r="AL893" s="639"/>
      <c r="AM893" s="279"/>
    </row>
    <row r="894" spans="1:39" x14ac:dyDescent="0.25">
      <c r="A894" s="887" t="s">
        <v>527</v>
      </c>
      <c r="B894" s="887"/>
      <c r="C894" s="887"/>
      <c r="D894" s="887"/>
      <c r="E894" s="887"/>
      <c r="F894" s="887"/>
      <c r="G894" s="887"/>
      <c r="H894" s="887"/>
      <c r="I894" s="887"/>
      <c r="J894" s="887"/>
      <c r="K894" s="979"/>
      <c r="L894" s="887"/>
      <c r="M894" s="887"/>
      <c r="N894" s="887"/>
      <c r="O894" s="887"/>
      <c r="P894" s="980"/>
      <c r="Q894" s="887"/>
      <c r="R894" s="887"/>
      <c r="S894" s="887"/>
      <c r="T894" s="887"/>
      <c r="U894" s="887"/>
      <c r="V894" s="887"/>
      <c r="W894" s="887"/>
      <c r="X894" s="887"/>
      <c r="Y894" s="887"/>
      <c r="Z894" s="887"/>
      <c r="AA894" s="887"/>
      <c r="AB894" s="887"/>
      <c r="AC894" s="887"/>
      <c r="AD894" s="887"/>
      <c r="AE894" s="887"/>
      <c r="AF894" s="887"/>
      <c r="AG894" s="887"/>
      <c r="AH894" s="980"/>
      <c r="AI894" s="887"/>
      <c r="AJ894" s="887"/>
      <c r="AK894" s="887"/>
      <c r="AL894" s="887"/>
      <c r="AM894" s="887"/>
    </row>
    <row r="895" spans="1:39" ht="15" customHeight="1" x14ac:dyDescent="0.25">
      <c r="A895" s="1086" t="s">
        <v>3281</v>
      </c>
      <c r="B895" s="1087"/>
      <c r="C895" s="1087"/>
      <c r="D895" s="1088"/>
      <c r="E895" s="1088"/>
      <c r="F895" s="1087"/>
      <c r="G895" s="1087"/>
      <c r="H895" s="1087"/>
      <c r="I895" s="1087"/>
      <c r="J895" s="1087"/>
      <c r="K895" s="1089"/>
      <c r="L895" s="1087"/>
      <c r="M895" s="1087"/>
      <c r="N895" s="1087"/>
      <c r="O895" s="1087"/>
      <c r="P895" s="1082"/>
      <c r="Q895" s="1087"/>
      <c r="R895" s="1087"/>
      <c r="S895" s="1087"/>
      <c r="T895" s="1087"/>
      <c r="U895" s="1087"/>
      <c r="V895" s="1087"/>
      <c r="W895" s="1087"/>
      <c r="X895" s="1087"/>
      <c r="Y895" s="1087"/>
      <c r="Z895" s="1087"/>
      <c r="AA895" s="1087"/>
      <c r="AB895" s="1087"/>
      <c r="AC895" s="1087"/>
      <c r="AD895" s="1087"/>
      <c r="AE895" s="1087"/>
      <c r="AF895" s="1087"/>
      <c r="AG895" s="1087"/>
      <c r="AH895" s="1082"/>
      <c r="AI895" s="1087"/>
      <c r="AJ895" s="1087"/>
      <c r="AK895" s="1087"/>
      <c r="AL895" s="1090"/>
      <c r="AM895" s="1087"/>
    </row>
    <row r="896" spans="1:39" x14ac:dyDescent="0.25">
      <c r="U896" s="1092">
        <f>SUM(U7:U895)</f>
        <v>520690951384.13989</v>
      </c>
      <c r="V896" s="1092">
        <f>SUM(V7:V895)</f>
        <v>462456501798.3299</v>
      </c>
      <c r="AF896" s="1092">
        <f>SUM(AF7:AF895)</f>
        <v>474311130441.53992</v>
      </c>
      <c r="AG896" s="1092">
        <f>SUM(AG7:AG895)</f>
        <v>375023492472.32983</v>
      </c>
    </row>
    <row r="902" spans="16:34" x14ac:dyDescent="0.25">
      <c r="P902" s="3"/>
      <c r="AH902" s="3"/>
    </row>
    <row r="904" spans="16:34" x14ac:dyDescent="0.25">
      <c r="P904" s="3"/>
      <c r="AH904" s="3"/>
    </row>
    <row r="905" spans="16:34" x14ac:dyDescent="0.25">
      <c r="P905" s="3"/>
      <c r="AH905" s="3"/>
    </row>
    <row r="907" spans="16:34" x14ac:dyDescent="0.25">
      <c r="P907" s="3"/>
      <c r="AH907" s="3"/>
    </row>
    <row r="908" spans="16:34" x14ac:dyDescent="0.25">
      <c r="P908" s="3"/>
      <c r="AH908" s="3"/>
    </row>
    <row r="1156" spans="4:34" x14ac:dyDescent="0.25">
      <c r="D1156" s="266"/>
      <c r="E1156" s="1091"/>
      <c r="P1156" s="3"/>
      <c r="AH1156" s="3"/>
    </row>
    <row r="1157" spans="4:34" x14ac:dyDescent="0.25">
      <c r="D1157" s="266"/>
      <c r="E1157" s="1091"/>
      <c r="P1157" s="3"/>
      <c r="AH1157" s="3"/>
    </row>
    <row r="1158" spans="4:34" x14ac:dyDescent="0.25">
      <c r="D1158" s="266"/>
      <c r="E1158" s="1091"/>
      <c r="P1158" s="3"/>
      <c r="AH1158" s="3"/>
    </row>
    <row r="1159" spans="4:34" x14ac:dyDescent="0.25">
      <c r="D1159" s="266"/>
      <c r="E1159" s="1091"/>
      <c r="P1159" s="3"/>
      <c r="AH1159" s="3"/>
    </row>
    <row r="1160" spans="4:34" x14ac:dyDescent="0.25">
      <c r="D1160" s="266"/>
      <c r="E1160" s="1091"/>
      <c r="P1160" s="3"/>
      <c r="AH1160" s="3"/>
    </row>
    <row r="1161" spans="4:34" x14ac:dyDescent="0.25">
      <c r="D1161" s="266"/>
      <c r="E1161" s="1091"/>
      <c r="P1161" s="3"/>
      <c r="AH1161" s="3"/>
    </row>
    <row r="1162" spans="4:34" x14ac:dyDescent="0.25">
      <c r="D1162" s="266"/>
      <c r="E1162" s="1091"/>
      <c r="P1162" s="3"/>
      <c r="AH1162" s="3"/>
    </row>
    <row r="1163" spans="4:34" x14ac:dyDescent="0.25">
      <c r="D1163" s="266"/>
      <c r="E1163" s="1091"/>
      <c r="P1163" s="3"/>
      <c r="AH1163" s="3"/>
    </row>
    <row r="1164" spans="4:34" x14ac:dyDescent="0.25">
      <c r="D1164" s="266"/>
      <c r="E1164" s="1091"/>
      <c r="P1164" s="3"/>
      <c r="AH1164" s="3"/>
    </row>
    <row r="1165" spans="4:34" x14ac:dyDescent="0.25">
      <c r="D1165" s="266"/>
      <c r="E1165" s="1091"/>
      <c r="P1165" s="3"/>
      <c r="AH1165" s="3"/>
    </row>
    <row r="1166" spans="4:34" x14ac:dyDescent="0.25">
      <c r="D1166" s="266"/>
      <c r="E1166" s="1091"/>
      <c r="P1166" s="3"/>
      <c r="AH1166" s="3"/>
    </row>
    <row r="1167" spans="4:34" x14ac:dyDescent="0.25">
      <c r="D1167" s="266"/>
      <c r="E1167" s="1091"/>
      <c r="P1167" s="3"/>
      <c r="AH1167" s="3"/>
    </row>
    <row r="1168" spans="4:34" x14ac:dyDescent="0.25">
      <c r="D1168" s="266"/>
      <c r="E1168" s="1091"/>
      <c r="P1168" s="3"/>
      <c r="AH1168" s="3"/>
    </row>
    <row r="1169" spans="4:5" s="3" customFormat="1" x14ac:dyDescent="0.25">
      <c r="D1169" s="266"/>
      <c r="E1169" s="1091"/>
    </row>
    <row r="1170" spans="4:5" s="3" customFormat="1" x14ac:dyDescent="0.25">
      <c r="D1170" s="266"/>
      <c r="E1170" s="1091"/>
    </row>
    <row r="1171" spans="4:5" s="3" customFormat="1" x14ac:dyDescent="0.25">
      <c r="D1171" s="266"/>
      <c r="E1171" s="1091"/>
    </row>
    <row r="1172" spans="4:5" s="3" customFormat="1" x14ac:dyDescent="0.25">
      <c r="D1172" s="266"/>
      <c r="E1172" s="1091"/>
    </row>
    <row r="1173" spans="4:5" s="3" customFormat="1" x14ac:dyDescent="0.25">
      <c r="D1173" s="266"/>
      <c r="E1173" s="1091"/>
    </row>
    <row r="1174" spans="4:5" s="3" customFormat="1" x14ac:dyDescent="0.25">
      <c r="D1174" s="266"/>
      <c r="E1174" s="1091"/>
    </row>
    <row r="1175" spans="4:5" s="3" customFormat="1" x14ac:dyDescent="0.25">
      <c r="D1175" s="266"/>
      <c r="E1175" s="1091"/>
    </row>
    <row r="1176" spans="4:5" s="3" customFormat="1" x14ac:dyDescent="0.25">
      <c r="D1176" s="266"/>
      <c r="E1176" s="1091"/>
    </row>
    <row r="1177" spans="4:5" s="3" customFormat="1" x14ac:dyDescent="0.25">
      <c r="D1177" s="266"/>
      <c r="E1177" s="1091"/>
    </row>
    <row r="1178" spans="4:5" s="3" customFormat="1" x14ac:dyDescent="0.25">
      <c r="D1178" s="266"/>
      <c r="E1178" s="1091"/>
    </row>
    <row r="1179" spans="4:5" s="3" customFormat="1" x14ac:dyDescent="0.25">
      <c r="D1179" s="266"/>
      <c r="E1179" s="1091"/>
    </row>
    <row r="1180" spans="4:5" s="3" customFormat="1" x14ac:dyDescent="0.25">
      <c r="D1180" s="266"/>
      <c r="E1180" s="1091"/>
    </row>
    <row r="1181" spans="4:5" s="3" customFormat="1" x14ac:dyDescent="0.25">
      <c r="D1181" s="266"/>
      <c r="E1181" s="1091"/>
    </row>
    <row r="1182" spans="4:5" s="3" customFormat="1" x14ac:dyDescent="0.25">
      <c r="D1182" s="266"/>
      <c r="E1182" s="1091"/>
    </row>
    <row r="1183" spans="4:5" s="3" customFormat="1" x14ac:dyDescent="0.25">
      <c r="D1183" s="266"/>
      <c r="E1183" s="1091"/>
    </row>
    <row r="1184" spans="4:5" s="3" customFormat="1" x14ac:dyDescent="0.25">
      <c r="D1184" s="266"/>
      <c r="E1184" s="1091"/>
    </row>
    <row r="1185" spans="4:5" s="3" customFormat="1" x14ac:dyDescent="0.25">
      <c r="D1185" s="266"/>
      <c r="E1185" s="1091"/>
    </row>
    <row r="1186" spans="4:5" s="3" customFormat="1" x14ac:dyDescent="0.25">
      <c r="D1186" s="266"/>
      <c r="E1186" s="1091"/>
    </row>
    <row r="1187" spans="4:5" s="3" customFormat="1" x14ac:dyDescent="0.25">
      <c r="D1187" s="266"/>
      <c r="E1187" s="1091"/>
    </row>
    <row r="1188" spans="4:5" s="3" customFormat="1" x14ac:dyDescent="0.25">
      <c r="D1188" s="266"/>
      <c r="E1188" s="1091"/>
    </row>
    <row r="1189" spans="4:5" s="3" customFormat="1" x14ac:dyDescent="0.25">
      <c r="D1189" s="266"/>
      <c r="E1189" s="1091"/>
    </row>
    <row r="1190" spans="4:5" s="3" customFormat="1" x14ac:dyDescent="0.25">
      <c r="D1190" s="266"/>
      <c r="E1190" s="1091"/>
    </row>
    <row r="1191" spans="4:5" s="3" customFormat="1" x14ac:dyDescent="0.25">
      <c r="D1191" s="266"/>
      <c r="E1191" s="1091"/>
    </row>
    <row r="1192" spans="4:5" s="3" customFormat="1" x14ac:dyDescent="0.25">
      <c r="D1192" s="266"/>
      <c r="E1192" s="1091"/>
    </row>
    <row r="1193" spans="4:5" s="3" customFormat="1" x14ac:dyDescent="0.25">
      <c r="D1193" s="266"/>
      <c r="E1193" s="1091"/>
    </row>
    <row r="1194" spans="4:5" s="3" customFormat="1" x14ac:dyDescent="0.25">
      <c r="D1194" s="266"/>
      <c r="E1194" s="1091"/>
    </row>
    <row r="1195" spans="4:5" s="3" customFormat="1" x14ac:dyDescent="0.25">
      <c r="D1195" s="266"/>
      <c r="E1195" s="1091"/>
    </row>
    <row r="1196" spans="4:5" s="3" customFormat="1" x14ac:dyDescent="0.25">
      <c r="D1196" s="266"/>
      <c r="E1196" s="1091"/>
    </row>
    <row r="1197" spans="4:5" s="3" customFormat="1" x14ac:dyDescent="0.25">
      <c r="D1197" s="266"/>
      <c r="E1197" s="1091"/>
    </row>
    <row r="1198" spans="4:5" s="3" customFormat="1" x14ac:dyDescent="0.25">
      <c r="D1198" s="266"/>
      <c r="E1198" s="1091"/>
    </row>
    <row r="1199" spans="4:5" s="3" customFormat="1" x14ac:dyDescent="0.25">
      <c r="D1199" s="266"/>
      <c r="E1199" s="1091"/>
    </row>
    <row r="1200" spans="4:5" s="3" customFormat="1" x14ac:dyDescent="0.25">
      <c r="D1200" s="266"/>
      <c r="E1200" s="1091"/>
    </row>
    <row r="1201" spans="4:5" s="3" customFormat="1" x14ac:dyDescent="0.25">
      <c r="D1201" s="266"/>
      <c r="E1201" s="1091"/>
    </row>
    <row r="1202" spans="4:5" s="3" customFormat="1" x14ac:dyDescent="0.25">
      <c r="D1202" s="266"/>
      <c r="E1202" s="1091"/>
    </row>
    <row r="1203" spans="4:5" s="3" customFormat="1" x14ac:dyDescent="0.25">
      <c r="D1203" s="266"/>
      <c r="E1203" s="1091"/>
    </row>
    <row r="1204" spans="4:5" s="3" customFormat="1" x14ac:dyDescent="0.25">
      <c r="D1204" s="266"/>
      <c r="E1204" s="1091"/>
    </row>
    <row r="1205" spans="4:5" s="3" customFormat="1" x14ac:dyDescent="0.25">
      <c r="D1205" s="266"/>
      <c r="E1205" s="1091"/>
    </row>
    <row r="1206" spans="4:5" s="3" customFormat="1" x14ac:dyDescent="0.25">
      <c r="D1206" s="266"/>
      <c r="E1206" s="1091"/>
    </row>
    <row r="1207" spans="4:5" s="3" customFormat="1" x14ac:dyDescent="0.25">
      <c r="D1207" s="266"/>
      <c r="E1207" s="1091"/>
    </row>
    <row r="1208" spans="4:5" s="3" customFormat="1" x14ac:dyDescent="0.25">
      <c r="D1208" s="266"/>
      <c r="E1208" s="1091"/>
    </row>
    <row r="1209" spans="4:5" s="3" customFormat="1" x14ac:dyDescent="0.25">
      <c r="D1209" s="266"/>
      <c r="E1209" s="1091"/>
    </row>
    <row r="1210" spans="4:5" s="3" customFormat="1" x14ac:dyDescent="0.25">
      <c r="D1210" s="266"/>
      <c r="E1210" s="1091"/>
    </row>
    <row r="1211" spans="4:5" s="3" customFormat="1" x14ac:dyDescent="0.25">
      <c r="D1211" s="266"/>
      <c r="E1211" s="1091"/>
    </row>
    <row r="1212" spans="4:5" s="3" customFormat="1" x14ac:dyDescent="0.25">
      <c r="D1212" s="266"/>
      <c r="E1212" s="1091"/>
    </row>
    <row r="1213" spans="4:5" s="3" customFormat="1" x14ac:dyDescent="0.25">
      <c r="D1213" s="266"/>
      <c r="E1213" s="1091"/>
    </row>
    <row r="1214" spans="4:5" s="3" customFormat="1" x14ac:dyDescent="0.25">
      <c r="D1214" s="266"/>
      <c r="E1214" s="1091"/>
    </row>
    <row r="1215" spans="4:5" s="3" customFormat="1" x14ac:dyDescent="0.25">
      <c r="D1215" s="266"/>
      <c r="E1215" s="1091"/>
    </row>
    <row r="1216" spans="4:5" s="3" customFormat="1" x14ac:dyDescent="0.25">
      <c r="D1216" s="266"/>
      <c r="E1216" s="1091"/>
    </row>
    <row r="1217" spans="4:5" s="3" customFormat="1" x14ac:dyDescent="0.25">
      <c r="D1217" s="266"/>
      <c r="E1217" s="1091"/>
    </row>
    <row r="1218" spans="4:5" s="3" customFormat="1" x14ac:dyDescent="0.25">
      <c r="D1218" s="266"/>
      <c r="E1218" s="1091"/>
    </row>
    <row r="1219" spans="4:5" s="3" customFormat="1" x14ac:dyDescent="0.25">
      <c r="D1219" s="266"/>
      <c r="E1219" s="1091"/>
    </row>
    <row r="1220" spans="4:5" s="3" customFormat="1" x14ac:dyDescent="0.25">
      <c r="D1220" s="266"/>
      <c r="E1220" s="1091"/>
    </row>
    <row r="1221" spans="4:5" s="3" customFormat="1" x14ac:dyDescent="0.25">
      <c r="D1221" s="266"/>
      <c r="E1221" s="1091"/>
    </row>
    <row r="1222" spans="4:5" s="3" customFormat="1" x14ac:dyDescent="0.25">
      <c r="D1222" s="266"/>
      <c r="E1222" s="1091"/>
    </row>
    <row r="1223" spans="4:5" s="3" customFormat="1" x14ac:dyDescent="0.25">
      <c r="D1223" s="266"/>
      <c r="E1223" s="1091"/>
    </row>
    <row r="1224" spans="4:5" s="3" customFormat="1" x14ac:dyDescent="0.25">
      <c r="D1224" s="266"/>
      <c r="E1224" s="1091"/>
    </row>
    <row r="1225" spans="4:5" s="3" customFormat="1" x14ac:dyDescent="0.25">
      <c r="D1225" s="266"/>
      <c r="E1225" s="1091"/>
    </row>
    <row r="1226" spans="4:5" s="3" customFormat="1" x14ac:dyDescent="0.25">
      <c r="D1226" s="266"/>
      <c r="E1226" s="1091"/>
    </row>
    <row r="1227" spans="4:5" s="3" customFormat="1" x14ac:dyDescent="0.25">
      <c r="D1227" s="266"/>
      <c r="E1227" s="1091"/>
    </row>
    <row r="1228" spans="4:5" s="3" customFormat="1" x14ac:dyDescent="0.25">
      <c r="D1228" s="266"/>
      <c r="E1228" s="1091"/>
    </row>
    <row r="1229" spans="4:5" s="3" customFormat="1" x14ac:dyDescent="0.25">
      <c r="D1229" s="266"/>
      <c r="E1229" s="1091"/>
    </row>
    <row r="1230" spans="4:5" s="3" customFormat="1" x14ac:dyDescent="0.25">
      <c r="D1230" s="266"/>
      <c r="E1230" s="1091"/>
    </row>
    <row r="1231" spans="4:5" s="3" customFormat="1" x14ac:dyDescent="0.25">
      <c r="D1231" s="266"/>
      <c r="E1231" s="1091"/>
    </row>
    <row r="1232" spans="4:5" s="3" customFormat="1" x14ac:dyDescent="0.25">
      <c r="D1232" s="266"/>
      <c r="E1232" s="1091"/>
    </row>
    <row r="1233" spans="4:5" s="3" customFormat="1" x14ac:dyDescent="0.25">
      <c r="D1233" s="266"/>
      <c r="E1233" s="1091"/>
    </row>
    <row r="1234" spans="4:5" s="3" customFormat="1" x14ac:dyDescent="0.25">
      <c r="D1234" s="266"/>
      <c r="E1234" s="1091"/>
    </row>
    <row r="1235" spans="4:5" s="3" customFormat="1" x14ac:dyDescent="0.25">
      <c r="D1235" s="266"/>
      <c r="E1235" s="1091"/>
    </row>
    <row r="1236" spans="4:5" s="3" customFormat="1" x14ac:dyDescent="0.25">
      <c r="D1236" s="266"/>
      <c r="E1236" s="1091"/>
    </row>
    <row r="1237" spans="4:5" s="3" customFormat="1" x14ac:dyDescent="0.25">
      <c r="D1237" s="266"/>
      <c r="E1237" s="1091"/>
    </row>
    <row r="1238" spans="4:5" s="3" customFormat="1" x14ac:dyDescent="0.25">
      <c r="D1238" s="266"/>
      <c r="E1238" s="1091"/>
    </row>
    <row r="1239" spans="4:5" s="3" customFormat="1" x14ac:dyDescent="0.25">
      <c r="D1239" s="266"/>
      <c r="E1239" s="1091"/>
    </row>
    <row r="1240" spans="4:5" s="3" customFormat="1" x14ac:dyDescent="0.25">
      <c r="D1240" s="266"/>
      <c r="E1240" s="1091"/>
    </row>
    <row r="1241" spans="4:5" s="3" customFormat="1" x14ac:dyDescent="0.25">
      <c r="D1241" s="266"/>
      <c r="E1241" s="1091"/>
    </row>
    <row r="1242" spans="4:5" s="3" customFormat="1" x14ac:dyDescent="0.25">
      <c r="D1242" s="266"/>
      <c r="E1242" s="1091"/>
    </row>
    <row r="1243" spans="4:5" s="3" customFormat="1" x14ac:dyDescent="0.25">
      <c r="D1243" s="266"/>
      <c r="E1243" s="1091"/>
    </row>
    <row r="1244" spans="4:5" s="3" customFormat="1" x14ac:dyDescent="0.25">
      <c r="D1244" s="266"/>
      <c r="E1244" s="1091"/>
    </row>
    <row r="1245" spans="4:5" s="3" customFormat="1" x14ac:dyDescent="0.25">
      <c r="D1245" s="266"/>
      <c r="E1245" s="1091"/>
    </row>
    <row r="1246" spans="4:5" s="3" customFormat="1" x14ac:dyDescent="0.25">
      <c r="D1246" s="266"/>
      <c r="E1246" s="1091"/>
    </row>
    <row r="1247" spans="4:5" s="3" customFormat="1" x14ac:dyDescent="0.25">
      <c r="D1247" s="266"/>
      <c r="E1247" s="1091"/>
    </row>
    <row r="1248" spans="4:5" s="3" customFormat="1" x14ac:dyDescent="0.25">
      <c r="D1248" s="266"/>
      <c r="E1248" s="1091"/>
    </row>
    <row r="1249" spans="4:5" s="3" customFormat="1" x14ac:dyDescent="0.25">
      <c r="D1249" s="266"/>
      <c r="E1249" s="1091"/>
    </row>
    <row r="1250" spans="4:5" s="3" customFormat="1" x14ac:dyDescent="0.25">
      <c r="D1250" s="266"/>
      <c r="E1250" s="1091"/>
    </row>
    <row r="1251" spans="4:5" s="3" customFormat="1" x14ac:dyDescent="0.25">
      <c r="D1251" s="266"/>
      <c r="E1251" s="1091"/>
    </row>
    <row r="1252" spans="4:5" s="3" customFormat="1" x14ac:dyDescent="0.25">
      <c r="D1252" s="266"/>
      <c r="E1252" s="1091"/>
    </row>
    <row r="1253" spans="4:5" s="3" customFormat="1" x14ac:dyDescent="0.25">
      <c r="D1253" s="266"/>
      <c r="E1253" s="1091"/>
    </row>
    <row r="1254" spans="4:5" s="3" customFormat="1" x14ac:dyDescent="0.25">
      <c r="D1254" s="266"/>
      <c r="E1254" s="1091"/>
    </row>
    <row r="1255" spans="4:5" s="3" customFormat="1" x14ac:dyDescent="0.25">
      <c r="D1255" s="266"/>
      <c r="E1255" s="1091"/>
    </row>
    <row r="1256" spans="4:5" s="3" customFormat="1" x14ac:dyDescent="0.25">
      <c r="D1256" s="266"/>
      <c r="E1256" s="1091"/>
    </row>
    <row r="1257" spans="4:5" s="3" customFormat="1" x14ac:dyDescent="0.25">
      <c r="D1257" s="266"/>
      <c r="E1257" s="1091"/>
    </row>
    <row r="1258" spans="4:5" s="3" customFormat="1" x14ac:dyDescent="0.25">
      <c r="D1258" s="266"/>
      <c r="E1258" s="1091"/>
    </row>
    <row r="1259" spans="4:5" s="3" customFormat="1" x14ac:dyDescent="0.25">
      <c r="D1259" s="266"/>
      <c r="E1259" s="1091"/>
    </row>
    <row r="1260" spans="4:5" s="3" customFormat="1" x14ac:dyDescent="0.25">
      <c r="D1260" s="266"/>
      <c r="E1260" s="1091"/>
    </row>
    <row r="1261" spans="4:5" s="3" customFormat="1" x14ac:dyDescent="0.25">
      <c r="D1261" s="266"/>
      <c r="E1261" s="1091"/>
    </row>
    <row r="1262" spans="4:5" s="3" customFormat="1" x14ac:dyDescent="0.25">
      <c r="D1262" s="266"/>
      <c r="E1262" s="1091"/>
    </row>
    <row r="1263" spans="4:5" s="3" customFormat="1" x14ac:dyDescent="0.25">
      <c r="D1263" s="266"/>
      <c r="E1263" s="1091"/>
    </row>
    <row r="1264" spans="4:5" s="3" customFormat="1" x14ac:dyDescent="0.25">
      <c r="D1264" s="266"/>
      <c r="E1264" s="1091"/>
    </row>
    <row r="1265" spans="4:5" s="3" customFormat="1" x14ac:dyDescent="0.25">
      <c r="D1265" s="266"/>
      <c r="E1265" s="1091"/>
    </row>
    <row r="1266" spans="4:5" s="3" customFormat="1" x14ac:dyDescent="0.25">
      <c r="D1266" s="266"/>
      <c r="E1266" s="1091"/>
    </row>
    <row r="1267" spans="4:5" s="3" customFormat="1" x14ac:dyDescent="0.25">
      <c r="D1267" s="266"/>
      <c r="E1267" s="1091"/>
    </row>
    <row r="1268" spans="4:5" s="3" customFormat="1" x14ac:dyDescent="0.25">
      <c r="D1268" s="266"/>
      <c r="E1268" s="1091"/>
    </row>
    <row r="1269" spans="4:5" s="3" customFormat="1" x14ac:dyDescent="0.25">
      <c r="D1269" s="266"/>
      <c r="E1269" s="1091"/>
    </row>
    <row r="1270" spans="4:5" s="3" customFormat="1" x14ac:dyDescent="0.25">
      <c r="D1270" s="266"/>
      <c r="E1270" s="1091"/>
    </row>
    <row r="1271" spans="4:5" s="3" customFormat="1" x14ac:dyDescent="0.25">
      <c r="D1271" s="266"/>
      <c r="E1271" s="1091"/>
    </row>
    <row r="1272" spans="4:5" s="3" customFormat="1" x14ac:dyDescent="0.25">
      <c r="D1272" s="266"/>
      <c r="E1272" s="1091"/>
    </row>
    <row r="1273" spans="4:5" s="3" customFormat="1" x14ac:dyDescent="0.25">
      <c r="D1273" s="266"/>
      <c r="E1273" s="1091"/>
    </row>
    <row r="1274" spans="4:5" s="3" customFormat="1" x14ac:dyDescent="0.25">
      <c r="D1274" s="266"/>
      <c r="E1274" s="1091"/>
    </row>
    <row r="1275" spans="4:5" s="3" customFormat="1" x14ac:dyDescent="0.25">
      <c r="D1275" s="266"/>
      <c r="E1275" s="1091"/>
    </row>
    <row r="1276" spans="4:5" s="3" customFormat="1" x14ac:dyDescent="0.25">
      <c r="D1276" s="266"/>
      <c r="E1276" s="1091"/>
    </row>
    <row r="1277" spans="4:5" s="3" customFormat="1" x14ac:dyDescent="0.25">
      <c r="D1277" s="266"/>
      <c r="E1277" s="1091"/>
    </row>
    <row r="1278" spans="4:5" s="3" customFormat="1" x14ac:dyDescent="0.25">
      <c r="D1278" s="266"/>
      <c r="E1278" s="1091"/>
    </row>
    <row r="1279" spans="4:5" s="3" customFormat="1" x14ac:dyDescent="0.25">
      <c r="D1279" s="266"/>
      <c r="E1279" s="1091"/>
    </row>
    <row r="1280" spans="4:5" s="3" customFormat="1" x14ac:dyDescent="0.25">
      <c r="D1280" s="266"/>
      <c r="E1280" s="1091"/>
    </row>
    <row r="1281" spans="4:5" s="3" customFormat="1" x14ac:dyDescent="0.25">
      <c r="D1281" s="266"/>
      <c r="E1281" s="1091"/>
    </row>
    <row r="1282" spans="4:5" s="3" customFormat="1" x14ac:dyDescent="0.25">
      <c r="D1282" s="266"/>
      <c r="E1282" s="1091"/>
    </row>
    <row r="1283" spans="4:5" s="3" customFormat="1" x14ac:dyDescent="0.25">
      <c r="D1283" s="266"/>
      <c r="E1283" s="1091"/>
    </row>
    <row r="1284" spans="4:5" s="3" customFormat="1" x14ac:dyDescent="0.25">
      <c r="D1284" s="266"/>
      <c r="E1284" s="1091"/>
    </row>
    <row r="1285" spans="4:5" s="3" customFormat="1" x14ac:dyDescent="0.25">
      <c r="D1285" s="266"/>
      <c r="E1285" s="1091"/>
    </row>
    <row r="1286" spans="4:5" s="3" customFormat="1" x14ac:dyDescent="0.25">
      <c r="D1286" s="266"/>
      <c r="E1286" s="1091"/>
    </row>
    <row r="1287" spans="4:5" s="3" customFormat="1" x14ac:dyDescent="0.25">
      <c r="D1287" s="266"/>
      <c r="E1287" s="1091"/>
    </row>
    <row r="1288" spans="4:5" s="3" customFormat="1" x14ac:dyDescent="0.25">
      <c r="D1288" s="266"/>
      <c r="E1288" s="1091"/>
    </row>
    <row r="1289" spans="4:5" s="3" customFormat="1" x14ac:dyDescent="0.25">
      <c r="D1289" s="266"/>
      <c r="E1289" s="1091"/>
    </row>
    <row r="1290" spans="4:5" s="3" customFormat="1" x14ac:dyDescent="0.25">
      <c r="D1290" s="266"/>
      <c r="E1290" s="1091"/>
    </row>
    <row r="1291" spans="4:5" s="3" customFormat="1" x14ac:dyDescent="0.25">
      <c r="D1291" s="266"/>
      <c r="E1291" s="1091"/>
    </row>
    <row r="1292" spans="4:5" s="3" customFormat="1" x14ac:dyDescent="0.25">
      <c r="D1292" s="266"/>
      <c r="E1292" s="1091"/>
    </row>
    <row r="1293" spans="4:5" s="3" customFormat="1" x14ac:dyDescent="0.25">
      <c r="D1293" s="266"/>
      <c r="E1293" s="1091"/>
    </row>
    <row r="1294" spans="4:5" s="3" customFormat="1" x14ac:dyDescent="0.25">
      <c r="D1294" s="266"/>
      <c r="E1294" s="1091"/>
    </row>
    <row r="1295" spans="4:5" s="3" customFormat="1" x14ac:dyDescent="0.25">
      <c r="D1295" s="266"/>
      <c r="E1295" s="1091"/>
    </row>
    <row r="1296" spans="4:5" s="3" customFormat="1" x14ac:dyDescent="0.25">
      <c r="D1296" s="266"/>
      <c r="E1296" s="1091"/>
    </row>
    <row r="1297" spans="4:5" s="3" customFormat="1" x14ac:dyDescent="0.25">
      <c r="D1297" s="266"/>
      <c r="E1297" s="1091"/>
    </row>
    <row r="1298" spans="4:5" s="3" customFormat="1" x14ac:dyDescent="0.25">
      <c r="D1298" s="266"/>
      <c r="E1298" s="1091"/>
    </row>
    <row r="1299" spans="4:5" s="3" customFormat="1" x14ac:dyDescent="0.25">
      <c r="D1299" s="266"/>
      <c r="E1299" s="1091"/>
    </row>
    <row r="1300" spans="4:5" s="3" customFormat="1" x14ac:dyDescent="0.25">
      <c r="D1300" s="266"/>
      <c r="E1300" s="1091"/>
    </row>
    <row r="1301" spans="4:5" s="3" customFormat="1" x14ac:dyDescent="0.25">
      <c r="D1301" s="266"/>
      <c r="E1301" s="1091"/>
    </row>
    <row r="1302" spans="4:5" s="3" customFormat="1" x14ac:dyDescent="0.25">
      <c r="D1302" s="266"/>
      <c r="E1302" s="1091"/>
    </row>
    <row r="1303" spans="4:5" s="3" customFormat="1" x14ac:dyDescent="0.25">
      <c r="D1303" s="266"/>
      <c r="E1303" s="1091"/>
    </row>
    <row r="1304" spans="4:5" s="3" customFormat="1" x14ac:dyDescent="0.25">
      <c r="D1304" s="266"/>
      <c r="E1304" s="1091"/>
    </row>
    <row r="1305" spans="4:5" s="3" customFormat="1" x14ac:dyDescent="0.25">
      <c r="D1305" s="266"/>
      <c r="E1305" s="1091"/>
    </row>
  </sheetData>
  <mergeCells count="30">
    <mergeCell ref="J781:J783"/>
    <mergeCell ref="L781:L783"/>
    <mergeCell ref="AH5:AH6"/>
    <mergeCell ref="AI5:AI6"/>
    <mergeCell ref="AJ5:AJ6"/>
    <mergeCell ref="AK5:AK6"/>
    <mergeCell ref="AL5:AL6"/>
    <mergeCell ref="AM5:AM6"/>
    <mergeCell ref="N5:N6"/>
    <mergeCell ref="O5:O6"/>
    <mergeCell ref="P5:P6"/>
    <mergeCell ref="W5:AE5"/>
    <mergeCell ref="AF5:AF6"/>
    <mergeCell ref="AG5:AG6"/>
    <mergeCell ref="H5:H6"/>
    <mergeCell ref="I5:I6"/>
    <mergeCell ref="J5:J6"/>
    <mergeCell ref="K5:K6"/>
    <mergeCell ref="L5:L6"/>
    <mergeCell ref="M5:M6"/>
    <mergeCell ref="A1:AM1"/>
    <mergeCell ref="A2:AM2"/>
    <mergeCell ref="A3:AM3"/>
    <mergeCell ref="A5:A6"/>
    <mergeCell ref="B5:B6"/>
    <mergeCell ref="C5:C6"/>
    <mergeCell ref="D5:D6"/>
    <mergeCell ref="E5:E6"/>
    <mergeCell ref="F5:F6"/>
    <mergeCell ref="G5:G6"/>
  </mergeCells>
  <dataValidations count="1">
    <dataValidation allowBlank="1" showErrorMessage="1" error="El usuario solamente puede seleccionar una de las dimensiones definidas" promptTitle="Dimensión" prompt="Seleccione la dimensión al que pertenece el proyecto de inversión" sqref="J537:J538 L536:M536 Q536:AJ536"/>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[1]Hoja1!#REF!</xm:f>
          </x14:formula1>
          <xm:sqref>AK393:AK397 AK796:AK801 AK885 AK809:AK814 AK817:AK818 AK870 AK891 AK803 AK805:AK806 AK875:AK878 AK771:AK792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2015-06-24T16:55:39Z</dcterms:created>
  <dcterms:modified xsi:type="dcterms:W3CDTF">2015-06-24T17:07:52Z</dcterms:modified>
</cp:coreProperties>
</file>